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D32B717B-5508-400A-B31D-347DB2FEEC5E}" xr6:coauthVersionLast="45" xr6:coauthVersionMax="45" xr10:uidLastSave="{00000000-0000-0000-0000-000000000000}"/>
  <bookViews>
    <workbookView xWindow="-110" yWindow="-110" windowWidth="19420" windowHeight="1042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0" r:id="rId18"/>
    <sheet name="结果表" sheetId="9" r:id="rId19"/>
    <sheet name="比较法-办公" sheetId="34" r:id="rId20"/>
    <sheet name="收益法" sheetId="15" r:id="rId21"/>
    <sheet name="Sheet1" sheetId="77" r:id="rId22"/>
    <sheet name="成本法" sheetId="68" r:id="rId23"/>
    <sheet name="成本法 (元)" sheetId="69" state="hidden" r:id="rId24"/>
    <sheet name="假设开发法" sheetId="12" state="hidden" r:id="rId25"/>
    <sheet name="收益法 (车库)" sheetId="79" r:id="rId26"/>
    <sheet name="土地比较法-住宅、综合" sheetId="39" r:id="rId27"/>
    <sheet name="Sheet2" sheetId="78"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5">'收益法 (车库)'!$A$1:$AK$69</definedName>
    <definedName name="_xlnm.Print_Area" localSheetId="28">'收益法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79" l="1"/>
  <c r="F8" i="79"/>
  <c r="F7" i="79"/>
  <c r="F9" i="79"/>
  <c r="C6" i="79"/>
  <c r="F4" i="73"/>
  <c r="I1" i="73"/>
  <c r="B39" i="1"/>
  <c r="F11" i="79"/>
  <c r="C10" i="79"/>
  <c r="C5" i="79"/>
  <c r="C32" i="79"/>
  <c r="C33" i="79"/>
  <c r="R7" i="1"/>
  <c r="F35" i="79"/>
  <c r="C34" i="79"/>
  <c r="C31" i="79"/>
  <c r="C14" i="79"/>
  <c r="C15" i="79"/>
  <c r="F16" i="79"/>
  <c r="C16" i="79"/>
  <c r="F43" i="79"/>
  <c r="C17" i="79"/>
  <c r="C18" i="79"/>
  <c r="C19" i="79"/>
  <c r="C20" i="79"/>
  <c r="D5" i="73"/>
  <c r="G1" i="73"/>
  <c r="B40" i="1"/>
  <c r="F24" i="79"/>
  <c r="C23" i="79"/>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60" i="79"/>
  <c r="L46" i="79"/>
  <c r="B2" i="79"/>
  <c r="C19" i="80"/>
  <c r="D19" i="80"/>
  <c r="G19" i="80"/>
  <c r="C32" i="80"/>
  <c r="H118" i="80"/>
  <c r="D15" i="74"/>
  <c r="G15" i="74"/>
  <c r="C15" i="74"/>
  <c r="B15" i="74"/>
  <c r="E111" i="80"/>
  <c r="H111" i="80"/>
  <c r="D126" i="80"/>
  <c r="D127" i="80"/>
  <c r="A126" i="80"/>
  <c r="E109" i="80"/>
  <c r="H109" i="80"/>
  <c r="D124" i="80"/>
  <c r="D125" i="80"/>
  <c r="A124" i="80"/>
  <c r="E107" i="80"/>
  <c r="D10" i="68"/>
  <c r="C10" i="68"/>
  <c r="B29" i="1"/>
  <c r="C8" i="68"/>
  <c r="C5" i="68"/>
  <c r="C20" i="68"/>
  <c r="F22" i="68"/>
  <c r="C23" i="68"/>
  <c r="C24" i="68"/>
  <c r="C25" i="68"/>
  <c r="C22" i="68"/>
  <c r="Q16" i="1"/>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7" i="80"/>
  <c r="D17" i="80"/>
  <c r="C18" i="80"/>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8" i="80"/>
  <c r="C24" i="80"/>
  <c r="H101" i="80"/>
  <c r="H105" i="80"/>
  <c r="H106" i="80"/>
  <c r="H103" i="80"/>
  <c r="H107" i="80"/>
  <c r="D122" i="80"/>
  <c r="D123" i="80"/>
  <c r="A122" i="80"/>
  <c r="D120" i="80"/>
  <c r="D121" i="80"/>
  <c r="A120" i="80"/>
  <c r="K120" i="80"/>
  <c r="H119" i="80"/>
  <c r="D35" i="80"/>
  <c r="C35" i="80"/>
  <c r="F118" i="80"/>
  <c r="F119" i="80"/>
  <c r="C34" i="80"/>
  <c r="D118" i="80"/>
  <c r="D119" i="80"/>
  <c r="M18" i="80"/>
  <c r="B118" i="80"/>
  <c r="I118" i="80"/>
  <c r="G118" i="80"/>
  <c r="E118" i="80"/>
  <c r="M19" i="80"/>
  <c r="C118" i="80"/>
  <c r="A118" i="80"/>
  <c r="H112" i="80"/>
  <c r="H110" i="80"/>
  <c r="H108" i="80"/>
  <c r="C105" i="80"/>
  <c r="H104" i="80"/>
  <c r="C104" i="80"/>
  <c r="B3" i="15"/>
  <c r="B3" i="79"/>
  <c r="D20" i="80"/>
  <c r="D103" i="80"/>
  <c r="B3" i="68"/>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M69" i="80"/>
  <c r="N69" i="80"/>
  <c r="L68" i="80"/>
  <c r="M68" i="80"/>
  <c r="D68" i="80"/>
  <c r="C64" i="80"/>
  <c r="C63" i="80"/>
  <c r="C67" i="80"/>
  <c r="C68" i="80"/>
  <c r="L67" i="80"/>
  <c r="M67" i="80"/>
  <c r="L66" i="80"/>
  <c r="M66" i="80"/>
  <c r="L65" i="80"/>
  <c r="M65" i="80"/>
  <c r="L64" i="80"/>
  <c r="M64"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D34" i="80"/>
  <c r="F33" i="80"/>
  <c r="D27" i="80"/>
  <c r="C25" i="80"/>
  <c r="D22" i="80"/>
  <c r="L19" i="80"/>
  <c r="G21" i="80"/>
  <c r="D21" i="80"/>
  <c r="C21" i="80"/>
  <c r="G20" i="80"/>
  <c r="L18" i="80"/>
  <c r="L4" i="80"/>
  <c r="K4" i="80"/>
  <c r="A2" i="80"/>
  <c r="H1" i="80"/>
  <c r="AH7" i="1"/>
  <c r="Y7" i="1"/>
  <c r="G1" i="79"/>
  <c r="F15" i="79"/>
  <c r="F17" i="79"/>
  <c r="F18" i="79"/>
  <c r="F20" i="79"/>
  <c r="F23" i="79"/>
  <c r="F21" i="79"/>
  <c r="F28" i="79"/>
  <c r="C28" i="79"/>
  <c r="F32" i="79"/>
  <c r="F33" i="79"/>
  <c r="F34" i="79"/>
  <c r="C83" i="79"/>
  <c r="C82" i="79"/>
  <c r="C76" i="79"/>
  <c r="C75" i="79"/>
  <c r="C80" i="79"/>
  <c r="C79" i="79"/>
  <c r="Q65" i="79"/>
  <c r="M47"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6" i="68"/>
  <c r="I46" i="39"/>
  <c r="G46" i="39"/>
  <c r="E46" i="39"/>
  <c r="E71" i="39"/>
  <c r="F71" i="39"/>
  <c r="G71" i="39"/>
  <c r="H71" i="39"/>
  <c r="I71" i="39"/>
  <c r="J71" i="39"/>
  <c r="K71" i="39"/>
  <c r="L71" i="39"/>
  <c r="M71" i="39"/>
  <c r="D71" i="39"/>
  <c r="I7" i="39"/>
  <c r="I38" i="39"/>
  <c r="G38" i="39"/>
  <c r="E38" i="39"/>
  <c r="C38" i="39"/>
  <c r="C11" i="39"/>
  <c r="G7" i="39"/>
  <c r="E7" i="39"/>
  <c r="I7" i="34"/>
  <c r="G7" i="34"/>
  <c r="E7" i="34"/>
  <c r="Y6" i="1"/>
  <c r="N7" i="1"/>
  <c r="N6" i="1"/>
  <c r="G20" i="6"/>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F57" i="39"/>
  <c r="B58" i="39"/>
  <c r="F58" i="39"/>
  <c r="B59" i="39"/>
  <c r="F59" i="39"/>
  <c r="B60" i="39"/>
  <c r="F60" i="39"/>
  <c r="B62" i="39"/>
  <c r="F62" i="39"/>
  <c r="B63" i="39"/>
  <c r="F63" i="39"/>
  <c r="B64" i="39"/>
  <c r="F64" i="39"/>
  <c r="B65" i="39"/>
  <c r="F65" i="39"/>
  <c r="F66" i="39"/>
  <c r="B2" i="39"/>
  <c r="B3" i="39"/>
  <c r="L48" i="67"/>
  <c r="D2" i="34"/>
  <c r="F26" i="67"/>
  <c r="D2" i="33"/>
  <c r="M9" i="67"/>
  <c r="B10" i="76"/>
  <c r="M27" i="67"/>
  <c r="B8" i="76"/>
  <c r="M29" i="67"/>
  <c r="AO7" i="1"/>
  <c r="F20" i="31"/>
  <c r="M21" i="15"/>
  <c r="F5" i="73"/>
  <c r="D2" i="21"/>
  <c r="J57" i="15"/>
  <c r="J55" i="15"/>
  <c r="J58" i="15"/>
  <c r="J59" i="15"/>
  <c r="C76" i="15"/>
  <c r="L51" i="15"/>
  <c r="L57" i="15"/>
  <c r="L47" i="15"/>
  <c r="L58" i="15"/>
  <c r="L59" i="15"/>
  <c r="L60" i="15"/>
  <c r="AO6" i="1"/>
  <c r="E11" i="76"/>
  <c r="F7" i="73"/>
  <c r="F36" i="67"/>
  <c r="M6" i="67"/>
  <c r="AO12" i="1"/>
  <c r="F6" i="67"/>
  <c r="D34" i="9"/>
  <c r="D20" i="9"/>
  <c r="E9" i="76"/>
  <c r="F40" i="67"/>
  <c r="F42" i="67"/>
  <c r="M21" i="67"/>
  <c r="E2" i="68"/>
  <c r="F35" i="67"/>
  <c r="J15" i="15"/>
  <c r="F7" i="67"/>
  <c r="D2" i="36"/>
  <c r="M24" i="67"/>
  <c r="F13" i="67"/>
  <c r="AO13" i="1"/>
  <c r="C76" i="67"/>
  <c r="B13" i="76"/>
  <c r="B9" i="76"/>
  <c r="M28" i="67"/>
  <c r="B7" i="76"/>
  <c r="M23" i="15"/>
  <c r="D19" i="9"/>
  <c r="J15" i="67"/>
  <c r="AO8" i="1"/>
  <c r="F3" i="73"/>
  <c r="C19" i="9"/>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D3" i="73"/>
  <c r="F31" i="67"/>
  <c r="F31" i="15"/>
  <c r="E9" i="49"/>
  <c r="E13" i="49"/>
  <c r="B11" i="49"/>
  <c r="E21" i="49"/>
  <c r="E8" i="49"/>
  <c r="B10" i="49"/>
  <c r="E11" i="49"/>
  <c r="E22" i="49"/>
  <c r="B4" i="49"/>
  <c r="C29" i="69"/>
  <c r="D27" i="69"/>
  <c r="B6" i="49"/>
  <c r="R16" i="1"/>
  <c r="C12" i="12"/>
  <c r="C8" i="69"/>
  <c r="C5" i="69"/>
  <c r="K1" i="73"/>
  <c r="F69" i="67"/>
  <c r="F71" i="67"/>
  <c r="B2" i="76"/>
  <c r="E2" i="76"/>
  <c r="E20" i="43"/>
  <c r="B2" i="35"/>
  <c r="B3" i="35"/>
  <c r="F66" i="67"/>
  <c r="B10" i="70"/>
  <c r="F51" i="67"/>
  <c r="F69" i="15"/>
  <c r="B11" i="70"/>
  <c r="F65" i="15"/>
  <c r="F65" i="67"/>
  <c r="B9" i="70"/>
  <c r="N59" i="15"/>
  <c r="M59" i="15"/>
  <c r="C103" i="9"/>
  <c r="G20" i="9"/>
  <c r="B2" i="37"/>
  <c r="B3" i="37"/>
  <c r="M59" i="67"/>
  <c r="L58" i="67"/>
  <c r="N59" i="67"/>
  <c r="L59" i="67"/>
  <c r="D22" i="9"/>
  <c r="G19"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4582D185-113B-4887-B0DF-5A55118337D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A798FFD9-E952-4219-ADFD-ACBA948296F6}">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F465F5D8-41C0-490E-A416-57A6869CA57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9AA57A31-F875-4059-AC2A-E8E5582F5ED6}">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DF7084D2-4132-4893-A736-F403F82EBA62}">
      <text>
        <r>
          <rPr>
            <sz val="11"/>
            <color indexed="81"/>
            <rFont val="宋体"/>
            <family val="3"/>
            <charset val="134"/>
          </rPr>
          <t>在建项目均选择“是”</t>
        </r>
      </text>
    </comment>
    <comment ref="F59" authorId="0" shapeId="0" xr:uid="{0AFE37A5-346D-4952-8281-C155E2FB446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2541CEE9-D95F-44D8-B5D0-0EC811E6B2F5}">
      <text>
        <r>
          <rPr>
            <sz val="10"/>
            <color indexed="81"/>
            <rFont val="宋体"/>
            <family val="3"/>
            <charset val="134"/>
          </rPr>
          <t xml:space="preserve">在建
</t>
        </r>
      </text>
    </comment>
    <comment ref="N59" authorId="1" shapeId="0" xr:uid="{29FCC666-E9EE-4468-8AEB-F69FD38A8F04}">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F63A41C-AE90-479C-9D56-2E4FE1B147D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37BC397-931D-4E1B-BEDF-0E829B2324E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1813D9A-6E7E-4BE6-BFCD-949C7FF3CD4A}">
      <text>
        <r>
          <rPr>
            <sz val="11"/>
            <color indexed="81"/>
            <rFont val="宋体"/>
            <family val="3"/>
            <charset val="134"/>
          </rPr>
          <t>需在下方列示计算过程</t>
        </r>
        <r>
          <rPr>
            <sz val="9"/>
            <color indexed="81"/>
            <rFont val="宋体"/>
            <family val="3"/>
            <charset val="134"/>
          </rPr>
          <t xml:space="preserve">
</t>
        </r>
      </text>
    </comment>
    <comment ref="H75" authorId="2" shapeId="0" xr:uid="{70BDC5F3-9AF5-4775-AFE3-F6A5ACE1FB7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<sst xmlns="http://schemas.openxmlformats.org/spreadsheetml/2006/main" count="8148" uniqueCount="3139">
  <si>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</si>
  <si>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</si>
  <si>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</si>
  <si>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</si>
  <si>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</si>
  <si>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</si>
  <si>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</si>
  <si>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</si>
  <si>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</si>
  <si>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</si>
  <si>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</si>
  <si>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</si>
  <si>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</si>
  <si>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</si>
  <si>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</si>
  <si>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</si>
  <si>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</si>
  <si>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</si>
  <si>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</si>
  <si>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</si>
  <si>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</si>
  <si>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</si>
  <si>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</si>
  <si>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</si>
  <si>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</si>
  <si>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</si>
  <si>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</si>
  <si>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</si>
  <si>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</si>
  <si>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</si>
  <si>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</si>
  <si>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</si>
  <si>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</si>
  <si>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</si>
  <si>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</si>
  <si>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</si>
  <si>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</si>
  <si>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</si>
  <si>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</si>
  <si>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</si>
  <si>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</si>
  <si>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</si>
  <si>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</si>
  <si>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</si>
  <si>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</si>
  <si>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</si>
  <si>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</si>
  <si>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</si>
  <si>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</si>
  <si>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</si>
  <si>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</si>
  <si>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</si>
  <si>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</si>
  <si>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</si>
  <si>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</si>
  <si>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</si>
  <si>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</si>
  <si>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</si>
  <si>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</si>
  <si>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</si>
  <si>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</si>
  <si>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</si>
  <si>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</si>
  <si>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</si>
  <si>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</si>
  <si>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</si>
  <si>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</si>
  <si>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</si>
  <si>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</si>
  <si>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</si>
  <si>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</si>
  <si>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</si>
  <si>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</si>
  <si>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</si>
  <si>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</si>
  <si>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</si>
  <si>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</si>
  <si>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</si>
  <si>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</si>
  <si>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</si>
  <si>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</si>
  <si>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</si>
  <si>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</si>
  <si>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</si>
  <si>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</si>
  <si>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</si>
  <si>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</si>
  <si>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</si>
  <si>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</si>
  <si>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</si>
  <si>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</si>
  <si>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</si>
  <si>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</si>
  <si>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</si>
  <si>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</si>
  <si>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</si>
  <si>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</si>
  <si>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</si>
  <si>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</si>
  <si>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</si>
  <si>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</si>
  <si>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</si>
  <si>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</si>
  <si>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</si>
  <si>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</si>
  <si>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</si>
  <si>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</si>
  <si>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</si>
  <si>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</si>
  <si>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</si>
  <si>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</si>
  <si>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</si>
  <si>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</si>
  <si>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</si>
  <si>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</si>
  <si>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</si>
  <si>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</si>
  <si>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</si>
  <si>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</si>
  <si>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</si>
  <si>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</si>
  <si>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</si>
  <si>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</si>
  <si>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</si>
  <si>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</si>
  <si>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</si>
  <si>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</si>
  <si>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</si>
  <si>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</si>
  <si>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</si>
  <si>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</si>
  <si>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</si>
  <si>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</si>
  <si>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</si>
  <si>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</si>
  <si>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</si>
  <si>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</si>
  <si>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</si>
  <si>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</si>
  <si>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</si>
  <si>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</si>
  <si>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</si>
  <si>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</si>
  <si>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</si>
  <si>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</si>
  <si>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</si>
  <si>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</si>
  <si>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</si>
  <si>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</si>
  <si>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</si>
  <si>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</si>
  <si>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</si>
  <si>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</si>
  <si>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</si>
  <si>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</si>
  <si>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</si>
  <si>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</si>
  <si>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</si>
  <si>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</si>
  <si>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</si>
  <si>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</si>
  <si>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</si>
  <si>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</si>
  <si>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</si>
  <si>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</si>
  <si>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</si>
  <si>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</si>
  <si>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</si>
  <si>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</si>
  <si>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</si>
  <si>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</si>
  <si>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</si>
  <si>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</si>
  <si>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</si>
  <si>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</si>
  <si>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</si>
  <si>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</si>
  <si>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</si>
  <si>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</si>
  <si>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</si>
  <si>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</si>
  <si>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</si>
  <si>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</si>
  <si>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</si>
  <si>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</si>
  <si>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</si>
  <si>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</si>
  <si>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</si>
  <si>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</si>
  <si>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</si>
  <si>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</si>
  <si>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</si>
  <si>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</si>
  <si>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</si>
  <si>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</si>
  <si>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</si>
  <si>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</si>
  <si>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</si>
  <si>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</si>
  <si>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</si>
  <si>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</si>
  <si>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</si>
  <si>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</si>
  <si>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</si>
  <si>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</si>
  <si>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</si>
  <si>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</si>
  <si>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</si>
  <si>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</si>
  <si>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</si>
  <si>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</si>
  <si>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</si>
  <si>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</si>
  <si>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</si>
  <si>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</si>
  <si>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</si>
  <si>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</si>
  <si>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</si>
  <si>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</si>
  <si>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</si>
  <si>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</si>
  <si>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</si>
  <si>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</si>
  <si>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</si>
  <si>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</si>
  <si>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</si>
  <si>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</si>
  <si>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</si>
  <si>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</si>
  <si>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</si>
  <si>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</si>
  <si>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</si>
  <si>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</si>
  <si>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</si>
  <si>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</si>
  <si>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</si>
  <si>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</si>
  <si>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</si>
  <si>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</si>
  <si>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</si>
  <si>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</si>
  <si>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</si>
  <si>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</si>
  <si>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</si>
  <si>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</si>
  <si>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</si>
  <si>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</si>
  <si>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</si>
  <si>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</si>
  <si>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</si>
  <si>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</si>
  <si>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</si>
  <si>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</si>
  <si>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</si>
  <si>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</si>
  <si>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</si>
  <si>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</si>
  <si>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</si>
  <si>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</si>
  <si>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</si>
  <si>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</si>
  <si>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</si>
  <si>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</si>
  <si>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</si>
  <si>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</si>
  <si>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</si>
  <si>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</si>
  <si>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</si>
  <si>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</si>
  <si>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</si>
  <si>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</si>
  <si>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</si>
  <si>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</si>
  <si>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</si>
  <si>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</si>
  <si>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</si>
  <si>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</si>
  <si>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</si>
  <si>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</si>
  <si>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</si>
  <si>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</si>
  <si>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</si>
  <si>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</si>
  <si>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</si>
  <si>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</si>
  <si>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</si>
  <si>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</si>
  <si>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</si>
  <si>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</si>
  <si>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</si>
  <si>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</si>
  <si>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</si>
  <si>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</si>
  <si>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</si>
  <si>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</si>
  <si>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</si>
  <si>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</si>
  <si>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</si>
  <si>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</si>
  <si>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</si>
  <si>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</si>
  <si>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</si>
  <si>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</si>
  <si>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</si>
  <si>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</si>
  <si>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</si>
  <si>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</si>
  <si>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</si>
  <si>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</si>
  <si>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</si>
  <si>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</si>
  <si>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</si>
  <si>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</si>
  <si>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</si>
  <si>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</si>
  <si>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</si>
  <si>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</si>
  <si>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</si>
  <si>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</si>
  <si>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</si>
  <si>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</si>
  <si>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</si>
  <si>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</si>
  <si>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</si>
  <si>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</si>
  <si>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</si>
  <si>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</si>
  <si>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</si>
  <si>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</si>
  <si>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</si>
  <si>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</si>
  <si>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</si>
  <si>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</si>
  <si>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</si>
  <si>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</si>
  <si>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</si>
  <si>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</si>
  <si>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</si>
  <si>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</si>
  <si>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</si>
  <si>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</si>
  <si>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</si>
  <si>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</si>
  <si>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</si>
  <si>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</si>
  <si>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</si>
  <si>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</si>
  <si>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</si>
  <si>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</si>
  <si>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</si>
  <si>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</si>
  <si>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</si>
  <si>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</si>
  <si>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</si>
  <si>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</si>
  <si>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</si>
  <si>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</si>
  <si>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</si>
  <si>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</si>
  <si>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</si>
  <si>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</si>
  <si>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</si>
  <si>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</si>
  <si>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</si>
  <si>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</si>
  <si>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</si>
  <si>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</si>
  <si>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</si>
  <si>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</si>
  <si>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</si>
  <si>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</si>
  <si>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</si>
  <si>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</si>
  <si>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</si>
  <si>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</si>
  <si>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</si>
  <si>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</si>
  <si>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</si>
  <si>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</si>
  <si>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</si>
  <si>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</si>
  <si>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</si>
  <si>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</si>
  <si>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</si>
  <si>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</si>
  <si>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</si>
  <si>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</si>
  <si>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</si>
  <si>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</si>
  <si>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</si>
  <si>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</si>
  <si>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</si>
  <si>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</si>
  <si>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</si>
  <si>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</si>
  <si>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</si>
  <si>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</si>
  <si>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</si>
  <si>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</si>
  <si>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</si>
  <si>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</si>
  <si>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</si>
  <si>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</si>
  <si>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</si>
  <si>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</si>
  <si>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</si>
  <si>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</si>
  <si>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</si>
  <si>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</si>
  <si>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</si>
  <si>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</si>
  <si>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</si>
  <si>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</si>
  <si>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</si>
  <si>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</si>
  <si>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</si>
  <si>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</si>
  <si>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</si>
  <si>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</si>
  <si>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</si>
  <si>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</si>
  <si>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</si>
  <si>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</si>
  <si>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</si>
  <si>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</si>
  <si>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</si>
  <si>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</si>
  <si>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</si>
  <si>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</si>
  <si>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</si>
  <si>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</si>
  <si>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</si>
  <si>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</si>
  <si>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</si>
  <si>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</si>
  <si>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</si>
  <si>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</si>
  <si>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</si>
  <si>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</si>
  <si>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</si>
  <si>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</si>
  <si>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</si>
  <si>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</si>
  <si>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</si>
  <si>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</si>
  <si>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</si>
  <si>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</si>
  <si>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</si>
  <si>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</si>
  <si>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</si>
  <si>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</si>
  <si>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</si>
  <si>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</si>
  <si>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</si>
  <si>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</si>
  <si>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</si>
  <si>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</si>
  <si>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</si>
  <si>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</si>
  <si>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</si>
  <si>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</si>
  <si>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</si>
  <si>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</si>
  <si>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</si>
  <si>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</si>
  <si>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</si>
  <si>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</si>
  <si>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</si>
  <si>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</si>
  <si>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</si>
  <si>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</si>
  <si>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</si>
  <si>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</si>
  <si>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</si>
  <si>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</si>
  <si>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</si>
  <si>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</si>
  <si>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</si>
  <si>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</si>
  <si>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</si>
  <si>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</si>
  <si>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</si>
  <si>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</si>
  <si>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</si>
  <si>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</si>
  <si>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</si>
  <si>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</si>
  <si>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</si>
  <si>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</si>
  <si>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</si>
  <si>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</si>
  <si>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</si>
  <si>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</si>
  <si>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</si>
  <si>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</si>
  <si>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</si>
  <si>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</si>
  <si>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</si>
  <si>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</si>
  <si>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</si>
  <si>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</si>
  <si>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</si>
  <si>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</si>
  <si>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</si>
  <si>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</si>
  <si>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</si>
  <si>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</si>
  <si>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</si>
  <si>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</si>
  <si>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</si>
  <si>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</si>
  <si>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</si>
  <si>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</si>
  <si>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</si>
  <si>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</si>
  <si>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</si>
  <si>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</si>
  <si>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</si>
  <si>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</si>
  <si>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</si>
  <si>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</si>
  <si>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</si>
  <si>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</si>
  <si>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</si>
  <si>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</si>
  <si>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</si>
  <si>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</si>
  <si>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</si>
  <si>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</si>
  <si>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</si>
  <si>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</si>
  <si>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</si>
  <si>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</si>
  <si>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</si>
  <si>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</si>
  <si>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</si>
  <si>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</si>
  <si>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</si>
  <si>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</si>
  <si>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</si>
  <si>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</si>
  <si>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</si>
  <si>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</si>
  <si>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</si>
  <si>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</si>
  <si>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</si>
  <si>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</si>
  <si>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</si>
  <si>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</si>
  <si>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</si>
  <si>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</si>
  <si>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</si>
  <si>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</si>
  <si>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</si>
  <si>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</si>
  <si>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</si>
  <si>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</si>
  <si>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</si>
  <si>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</si>
  <si>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</si>
  <si>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</si>
  <si>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</si>
  <si>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</si>
  <si>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</si>
  <si>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</si>
  <si>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</si>
  <si>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</si>
  <si>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</si>
  <si>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</si>
  <si>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</si>
  <si>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</si>
  <si>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</si>
  <si>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</si>
  <si>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</si>
  <si>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</si>
  <si>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</si>
  <si>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</si>
  <si>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</si>
  <si>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</si>
  <si>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</si>
  <si>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</si>
  <si>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</si>
  <si>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</si>
  <si>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</si>
  <si>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</si>
  <si>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</si>
  <si>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</si>
  <si>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</si>
  <si>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</si>
  <si>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</si>
  <si>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</si>
  <si>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</si>
  <si>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</si>
  <si>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</si>
  <si>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</si>
  <si>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</si>
  <si>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</si>
  <si>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</si>
  <si>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</si>
  <si>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</si>
  <si>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</si>
  <si>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</si>
  <si>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</si>
  <si>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</si>
  <si>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</si>
  <si>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</si>
  <si>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</si>
  <si>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</si>
  <si>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</si>
  <si>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</si>
  <si>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</si>
  <si>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</si>
  <si>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</si>
  <si>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</si>
  <si>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</si>
  <si>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</si>
  <si>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</si>
  <si>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</si>
  <si>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</si>
  <si>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</si>
  <si>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</si>
  <si>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</si>
  <si>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</si>
  <si>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</si>
  <si>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</si>
  <si>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</si>
  <si>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</si>
  <si>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</si>
  <si>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</si>
  <si>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</si>
  <si>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</si>
  <si>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</si>
  <si>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</si>
  <si>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</si>
  <si>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</si>
  <si>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</si>
  <si>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</si>
  <si>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</si>
  <si>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</si>
  <si>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</si>
  <si>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</si>
  <si>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</si>
  <si>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</si>
  <si>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</si>
  <si>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</si>
  <si>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</si>
  <si>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</si>
  <si>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</si>
  <si>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</si>
  <si>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</si>
  <si>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</si>
  <si>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</si>
  <si>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</si>
  <si>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</si>
  <si>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</si>
  <si>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</si>
  <si>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</si>
  <si>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</si>
  <si>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</si>
  <si>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</si>
  <si>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</si>
  <si>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</si>
  <si>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</si>
  <si>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</si>
  <si>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</si>
  <si>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</si>
  <si>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</si>
  <si>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</si>
  <si>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</si>
  <si>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</si>
  <si>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</si>
  <si>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</si>
  <si>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</si>
  <si>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</si>
  <si>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</si>
  <si>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</si>
  <si>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</si>
  <si>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</si>
  <si>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</si>
  <si>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</si>
  <si>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</si>
  <si>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</si>
  <si>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</si>
  <si>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</si>
  <si>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</si>
  <si>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</si>
  <si>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</si>
  <si>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</si>
  <si>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</si>
  <si>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</si>
  <si>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</si>
  <si>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</si>
  <si>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</si>
  <si>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</si>
  <si>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</si>
  <si>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</si>
  <si>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</si>
  <si>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</si>
  <si>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</si>
  <si>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</si>
  <si>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</si>
  <si>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</si>
  <si>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</si>
  <si>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</si>
  <si>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</si>
  <si>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</si>
  <si>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</si>
  <si>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</si>
  <si>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</si>
  <si>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</si>
  <si>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</si>
  <si>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</si>
  <si>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</si>
  <si>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</si>
  <si>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</si>
  <si>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</si>
  <si>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</si>
  <si>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</si>
  <si>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</si>
  <si>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</si>
  <si>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</si>
  <si>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</si>
  <si>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</si>
  <si>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</si>
  <si>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</si>
  <si>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</si>
  <si>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</si>
  <si>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</si>
  <si>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</si>
  <si>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</si>
  <si>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</si>
  <si>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</si>
  <si>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</si>
  <si>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</si>
  <si>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</si>
  <si>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</si>
  <si>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</si>
  <si>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</si>
  <si>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</si>
  <si>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</si>
  <si>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</si>
  <si>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</si>
  <si>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</si>
  <si>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</si>
  <si>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</si>
  <si>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</si>
  <si>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</si>
  <si>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</si>
  <si>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</si>
  <si>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</si>
  <si>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</si>
  <si>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</si>
  <si>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</si>
  <si>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</si>
  <si>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</si>
  <si>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</si>
  <si>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</si>
  <si>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</si>
  <si>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</si>
  <si>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</si>
  <si>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</si>
  <si>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</si>
  <si>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</si>
  <si>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</si>
  <si>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</si>
  <si>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</si>
  <si>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</si>
  <si>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</si>
  <si>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</si>
  <si>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</si>
  <si>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</si>
  <si>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</si>
  <si>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</si>
  <si>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</si>
  <si>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</si>
  <si>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</si>
  <si>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</si>
  <si>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</si>
  <si>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</si>
  <si>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</si>
  <si>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</si>
  <si>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</si>
  <si>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</si>
  <si>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</si>
  <si>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</si>
  <si>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</si>
  <si>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</si>
  <si>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</si>
  <si>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</si>
  <si>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</si>
  <si>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</si>
  <si>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</si>
  <si>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</si>
  <si>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</si>
  <si>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</si>
  <si>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</si>
  <si>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</si>
  <si>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</si>
  <si>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</si>
  <si>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</si>
  <si>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</si>
  <si>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</si>
  <si>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</si>
  <si>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</si>
  <si>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</si>
  <si>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</si>
  <si>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</si>
  <si>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</si>
  <si>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</si>
  <si>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</si>
  <si>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</si>
  <si>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</si>
  <si>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</si>
  <si>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</si>
  <si>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</si>
  <si>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</si>
  <si>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</si>
  <si>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</si>
  <si>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</si>
  <si>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</si>
  <si>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</si>
  <si>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</si>
  <si>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</si>
  <si>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</si>
  <si>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</si>
  <si>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</si>
  <si>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</si>
  <si>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</si>
  <si>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</si>
  <si>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</si>
  <si>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</si>
  <si>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</si>
  <si>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</si>
  <si>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</si>
  <si>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</si>
  <si>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</si>
  <si>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</si>
  <si>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</si>
  <si>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</si>
  <si>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</si>
  <si>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</si>
  <si>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</si>
  <si>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</si>
  <si>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</si>
  <si>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</si>
  <si>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</si>
  <si>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</si>
  <si>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</si>
  <si>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</si>
  <si>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</si>
  <si>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</si>
  <si>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</si>
  <si>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</si>
  <si>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</si>
  <si>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</si>
  <si>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</si>
  <si>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</si>
  <si>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</si>
  <si>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</si>
  <si>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</si>
  <si>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</si>
  <si>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</si>
  <si>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</si>
  <si>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</si>
  <si>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</si>
  <si>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</si>
  <si>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</si>
  <si>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</si>
  <si>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</si>
  <si>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</si>
  <si>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</si>
  <si>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</si>
  <si>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</si>
  <si>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</si>
  <si>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</si>
  <si>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</si>
  <si>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</si>
  <si>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</si>
  <si>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</si>
  <si>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</si>
  <si>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</si>
  <si>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</si>
  <si>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</si>
  <si>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</si>
  <si>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</si>
  <si>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</si>
  <si>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</si>
  <si>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</si>
  <si>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</si>
  <si>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</si>
  <si>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</si>
  <si>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</si>
  <si>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</si>
  <si>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</si>
  <si>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</si>
  <si>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</si>
  <si>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</si>
  <si>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</si>
  <si>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</si>
  <si>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</si>
  <si>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</si>
  <si>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</si>
  <si>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</si>
  <si>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</si>
  <si>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</si>
  <si>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</si>
  <si>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</si>
  <si>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</si>
  <si>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</si>
  <si>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</si>
  <si>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</si>
  <si>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</si>
  <si>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</si>
  <si>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</si>
  <si>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</si>
  <si>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</si>
  <si>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</si>
  <si>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</si>
  <si>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</si>
  <si>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</si>
  <si>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</si>
  <si>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</si>
  <si>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</si>
  <si>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</si>
  <si>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</si>
  <si>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</si>
  <si>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</si>
  <si>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</si>
  <si>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</si>
  <si>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</si>
  <si>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</si>
  <si>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</si>
  <si>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</si>
  <si>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</si>
  <si>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</si>
  <si>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</si>
  <si>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</si>
  <si>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</si>
  <si>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</si>
  <si>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</si>
  <si>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</si>
  <si>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</si>
  <si>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</si>
  <si>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</si>
  <si>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</si>
  <si>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</si>
  <si>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</si>
  <si>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</si>
  <si>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</si>
  <si>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</si>
  <si>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</si>
  <si>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</si>
  <si>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</si>
  <si>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</si>
  <si>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</si>
  <si>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</si>
  <si>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</si>
  <si>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</si>
  <si>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</si>
  <si>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</si>
  <si>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</si>
  <si>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</si>
  <si>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</si>
  <si>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</si>
  <si>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</si>
  <si>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</si>
  <si>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</si>
  <si>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</si>
  <si>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</si>
  <si>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</si>
  <si>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</si>
  <si>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</si>
  <si>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</si>
  <si>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</si>
  <si>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</si>
  <si>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</si>
  <si>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</si>
  <si>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</si>
  <si>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</si>
  <si>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</si>
  <si>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</si>
  <si>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</si>
  <si>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</si>
  <si>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</si>
  <si>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</si>
  <si>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</si>
  <si>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</si>
  <si>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</si>
  <si>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</si>
  <si>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</si>
  <si>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</si>
  <si>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</si>
  <si>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</si>
  <si>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</si>
  <si>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</si>
  <si>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</si>
  <si>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</si>
  <si>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</si>
  <si>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</si>
  <si>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</si>
  <si>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</si>
  <si>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</si>
  <si>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</si>
  <si>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</si>
  <si>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</si>
  <si>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</si>
  <si>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</si>
  <si>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</si>
  <si>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</si>
  <si>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</si>
  <si>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</si>
  <si>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</si>
  <si>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</si>
  <si>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</si>
  <si>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</si>
  <si>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</si>
  <si>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</si>
  <si>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</si>
  <si>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</si>
  <si>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</si>
  <si>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</si>
  <si>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</si>
  <si>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</si>
  <si>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</si>
  <si>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</si>
  <si>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</si>
  <si>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</si>
  <si>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</si>
  <si>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</si>
  <si>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</si>
  <si>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</si>
  <si>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</si>
  <si>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</si>
  <si>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</si>
  <si>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</si>
  <si>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</si>
  <si>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</si>
  <si>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</si>
  <si>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</si>
  <si>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</si>
  <si>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</si>
  <si>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</si>
  <si>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</si>
  <si>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</si>
  <si>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</si>
  <si>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</si>
  <si>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</si>
  <si>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</si>
  <si>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</si>
  <si>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</si>
  <si>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</si>
  <si>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</si>
  <si>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</si>
  <si>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</si>
  <si>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</si>
  <si>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</si>
  <si>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</si>
  <si>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</si>
  <si>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</si>
  <si>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</si>
  <si>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</si>
  <si>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</si>
  <si>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</si>
  <si>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</si>
  <si>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</si>
  <si>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</si>
  <si>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</si>
  <si>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</si>
  <si>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</si>
  <si>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</si>
  <si>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</si>
  <si>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</si>
  <si>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</si>
  <si>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</si>
  <si>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</si>
  <si>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</si>
  <si>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</si>
  <si>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</si>
  <si>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</si>
  <si>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</si>
  <si>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</si>
  <si>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</si>
  <si>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</si>
  <si>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</si>
  <si>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</si>
  <si>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</si>
  <si>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</si>
  <si>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</si>
  <si>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</si>
  <si>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</si>
  <si>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</si>
  <si>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</si>
  <si>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</si>
  <si>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</si>
  <si>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</si>
  <si>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</si>
  <si>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</si>
  <si>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</si>
  <si>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</si>
  <si>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</si>
  <si>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</si>
  <si>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</si>
  <si>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</si>
  <si>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</si>
  <si>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</si>
  <si>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</si>
  <si>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</si>
  <si>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</si>
  <si>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</si>
  <si>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</si>
  <si>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</si>
  <si>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</si>
  <si>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</si>
  <si>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</si>
  <si>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</si>
  <si>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</si>
  <si>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</si>
  <si>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</si>
  <si>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</si>
  <si>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</si>
  <si>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</si>
  <si>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</si>
  <si>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</si>
  <si>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</si>
  <si>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</si>
  <si>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</si>
  <si>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</si>
  <si>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</si>
  <si>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</si>
  <si>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</si>
  <si>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</si>
  <si>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</si>
  <si>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</si>
  <si>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</si>
  <si>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</si>
  <si>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</si>
  <si>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</si>
  <si>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</si>
  <si>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</si>
  <si>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</si>
  <si>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</si>
  <si>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</si>
  <si>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</si>
  <si>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</si>
  <si>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</si>
  <si>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</si>
  <si>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</si>
  <si>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</si>
  <si>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</si>
  <si>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</si>
  <si>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</si>
  <si>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</si>
  <si>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</si>
  <si>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</si>
  <si>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</si>
  <si>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</si>
  <si>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</si>
  <si>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</si>
  <si>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</si>
  <si>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</si>
  <si>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</si>
  <si>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</si>
  <si>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</si>
  <si>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</si>
  <si>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</si>
  <si>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</si>
  <si>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</si>
  <si>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</si>
  <si>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</si>
  <si>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</si>
  <si>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</si>
  <si>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</si>
  <si>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</si>
  <si>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</si>
  <si>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</si>
  <si>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</si>
  <si>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</si>
  <si>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</si>
  <si>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</si>
  <si>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</si>
  <si>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</si>
  <si>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</si>
  <si>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</si>
  <si>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</si>
  <si>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</si>
  <si>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</si>
  <si>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</si>
  <si>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</si>
  <si>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</si>
  <si>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</si>
  <si>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</si>
  <si>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</si>
  <si>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</si>
  <si>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</si>
  <si>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</si>
  <si>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</si>
  <si>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</si>
  <si>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</si>
  <si>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</si>
  <si>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</si>
  <si>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</si>
  <si>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</si>
  <si>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</si>
  <si>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</si>
  <si>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</si>
  <si>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</si>
  <si>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</si>
  <si>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</si>
  <si>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</si>
  <si>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</si>
  <si>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</si>
  <si>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</si>
  <si>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</si>
  <si>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</si>
  <si>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</si>
  <si>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</si>
  <si>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</si>
  <si>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</si>
  <si>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</si>
  <si>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</si>
  <si>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</si>
  <si>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</si>
  <si>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</si>
  <si>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</si>
  <si>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</si>
  <si>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</si>
  <si>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</si>
  <si>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</si>
  <si>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</si>
  <si>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</si>
  <si>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</si>
  <si>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</si>
  <si>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</si>
  <si>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</si>
  <si>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</si>
  <si>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</si>
  <si>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</si>
  <si>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</si>
  <si>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</si>
  <si>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</si>
  <si>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</si>
  <si>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</si>
  <si>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</si>
  <si>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</si>
  <si>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</si>
  <si>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</si>
  <si>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</si>
  <si>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</si>
  <si>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</si>
  <si>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</si>
  <si>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</si>
  <si>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</si>
  <si>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</si>
  <si>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</si>
  <si>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</si>
  <si>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</si>
  <si>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</si>
  <si>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</si>
  <si>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</si>
  <si>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</si>
  <si>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</si>
  <si>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</si>
  <si>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</si>
  <si>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</si>
  <si>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</si>
  <si>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</si>
  <si>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</si>
  <si>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</si>
  <si>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</si>
  <si>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</si>
  <si>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</si>
  <si>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</si>
  <si>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</si>
  <si>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</si>
  <si>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</si>
  <si>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</si>
  <si>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</si>
  <si>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</si>
  <si>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</si>
  <si>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</si>
  <si>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</si>
  <si>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</si>
  <si>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</si>
  <si>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</si>
  <si>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</si>
  <si>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</si>
  <si>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</si>
  <si>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</si>
  <si>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</si>
  <si>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</si>
  <si>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</si>
  <si>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</si>
  <si>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</si>
  <si>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</si>
  <si>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</si>
  <si>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</si>
  <si>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</si>
  <si>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</si>
  <si>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</si>
  <si>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</si>
  <si>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</si>
  <si>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</si>
  <si>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</si>
  <si>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</si>
  <si>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</si>
  <si>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</si>
  <si>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</si>
  <si>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</si>
  <si>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</si>
  <si>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</si>
  <si>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</si>
  <si>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</si>
  <si>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</si>
  <si>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</si>
  <si>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</si>
  <si>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</si>
  <si>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</si>
  <si>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</si>
  <si>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</si>
  <si>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</si>
  <si>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</si>
  <si>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</si>
  <si>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</si>
  <si>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</si>
  <si>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</si>
  <si>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</si>
  <si>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</si>
  <si>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</si>
  <si>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</si>
  <si>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</si>
  <si>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</si>
  <si>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</si>
  <si>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</si>
  <si>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</si>
  <si>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</si>
  <si>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</si>
  <si>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</si>
  <si>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</si>
  <si>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</si>
  <si>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</si>
  <si>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</si>
  <si>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</si>
  <si>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</si>
  <si>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</si>
  <si>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</si>
  <si>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</si>
  <si>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</si>
  <si>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</si>
  <si>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</si>
  <si>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</si>
  <si>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</si>
  <si>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</si>
  <si>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</si>
  <si>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</si>
  <si>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</si>
  <si>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</si>
  <si>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</si>
  <si>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</si>
  <si>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</si>
  <si>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</si>
  <si>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</si>
  <si>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</si>
  <si>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</si>
  <si>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</si>
  <si>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</si>
  <si>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</si>
  <si>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</si>
  <si>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</si>
  <si>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</si>
  <si>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</si>
  <si>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</si>
  <si>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</si>
  <si>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</si>
  <si>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</si>
  <si>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</si>
  <si>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</si>
  <si>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</si>
  <si>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</si>
  <si>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</si>
  <si>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</si>
  <si>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</si>
  <si>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</si>
  <si>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</si>
  <si>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</si>
  <si>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</si>
  <si>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</si>
  <si>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</si>
  <si>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</si>
  <si>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</si>
  <si>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</si>
  <si>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</si>
  <si>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</si>
  <si>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</si>
  <si>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</si>
  <si>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</si>
  <si>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</si>
  <si>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</si>
  <si>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</si>
  <si>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</si>
  <si>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</si>
  <si>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</si>
  <si>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</si>
  <si>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</si>
  <si>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</si>
  <si>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</si>
  <si>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</si>
  <si>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</si>
  <si>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</si>
  <si>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</si>
  <si>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</si>
  <si>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</si>
  <si>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</si>
  <si>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</si>
  <si>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</si>
  <si>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</si>
  <si>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</si>
  <si>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</si>
  <si>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</si>
  <si>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</si>
  <si>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</si>
  <si>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</si>
  <si>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</si>
  <si>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</si>
  <si>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</si>
  <si>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</si>
  <si>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</si>
  <si>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</si>
  <si>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</si>
  <si>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</si>
  <si>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</si>
  <si>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</si>
  <si>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</si>
  <si>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</si>
  <si>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</si>
  <si>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</si>
  <si>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</si>
  <si>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</si>
  <si>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</si>
  <si>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</si>
  <si>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</si>
  <si>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</si>
  <si>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</si>
  <si>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</si>
  <si>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</si>
  <si>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</si>
  <si>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</si>
  <si>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</si>
  <si>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</si>
  <si>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</si>
  <si>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</si>
  <si>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</si>
  <si>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</si>
  <si>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</si>
  <si>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</si>
  <si>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</si>
  <si>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</si>
  <si>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</si>
  <si>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</si>
  <si>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</si>
  <si>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</si>
  <si>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</si>
  <si>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</si>
  <si>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</si>
  <si>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</si>
  <si>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</si>
  <si>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</si>
  <si>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</si>
  <si>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</si>
  <si>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</si>
  <si>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</si>
  <si>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</si>
  <si>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</si>
  <si>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</si>
  <si>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</si>
  <si>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</si>
  <si>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</si>
  <si>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</si>
  <si>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</si>
  <si>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</si>
  <si>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</si>
  <si>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</si>
  <si>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</si>
  <si>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</si>
  <si>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</si>
  <si>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</si>
  <si>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</si>
  <si>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</si>
  <si>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</si>
  <si>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</si>
  <si>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</si>
  <si>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</si>
  <si>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</si>
  <si>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</si>
  <si>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</si>
  <si>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</si>
  <si>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</si>
  <si>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</si>
  <si>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</si>
  <si>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</si>
  <si>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</si>
  <si>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</si>
  <si>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</si>
  <si>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</si>
  <si>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</si>
  <si>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</si>
  <si>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</si>
  <si>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</si>
  <si>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</si>
  <si>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</si>
  <si>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</si>
  <si>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</si>
  <si>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</si>
  <si>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</si>
  <si>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</si>
  <si>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</si>
  <si>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</si>
  <si>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</si>
  <si>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</si>
  <si>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</si>
  <si>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</si>
  <si>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</si>
  <si>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</si>
  <si>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</si>
  <si>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</si>
  <si>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</si>
  <si>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</si>
  <si>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</si>
  <si>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</si>
  <si>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</si>
  <si>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</si>
  <si>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</si>
  <si>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</si>
  <si>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</si>
  <si>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</si>
  <si>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</si>
  <si>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</si>
  <si>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</si>
  <si>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</si>
  <si>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</si>
  <si>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</si>
  <si>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</si>
  <si>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</si>
  <si>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</si>
  <si>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</si>
  <si>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</si>
  <si>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</si>
  <si>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</si>
  <si>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</si>
  <si>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</si>
  <si>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</si>
  <si>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</si>
  <si>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</si>
  <si>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</si>
  <si>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</si>
  <si>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</si>
  <si>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</si>
  <si>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</si>
  <si>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</si>
  <si>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</si>
  <si>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</si>
  <si>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</si>
  <si>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</si>
  <si>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</si>
  <si>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</si>
  <si>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</si>
  <si>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</si>
  <si>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</si>
  <si>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</si>
  <si>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</si>
  <si>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</si>
  <si>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</si>
  <si>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</si>
  <si>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</si>
  <si>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</si>
  <si>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</si>
  <si>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</si>
  <si>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</si>
  <si>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</si>
  <si>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</si>
  <si>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</si>
  <si>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</si>
  <si>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</si>
  <si>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</si>
  <si>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</si>
  <si>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</si>
  <si>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</si>
  <si>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</si>
  <si>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</si>
  <si>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</si>
  <si>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</si>
  <si>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</si>
  <si>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</si>
  <si>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</si>
  <si>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</si>
  <si>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</si>
  <si>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</si>
  <si>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</si>
  <si>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</si>
  <si>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</si>
  <si>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</si>
  <si>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</si>
  <si>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</si>
  <si>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</si>
  <si>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</si>
  <si>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</si>
  <si>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</si>
  <si>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</si>
  <si>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</si>
  <si>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</si>
  <si>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</si>
  <si>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</si>
  <si>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</si>
  <si>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</si>
  <si>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</si>
  <si>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</si>
  <si>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</si>
  <si>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</si>
  <si>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</si>
  <si>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</si>
  <si>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</si>
  <si>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</si>
  <si>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</si>
  <si>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</si>
  <si>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</si>
  <si>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</si>
  <si>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</si>
  <si>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</si>
  <si>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</si>
  <si>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</si>
  <si>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</si>
  <si>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</si>
  <si>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</si>
  <si>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</si>
  <si>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</si>
  <si>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</si>
  <si>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</si>
  <si>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</si>
  <si>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</si>
  <si>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</si>
  <si>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</si>
  <si>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</si>
  <si>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</si>
  <si>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</si>
  <si>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</si>
  <si>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</si>
  <si>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</si>
  <si>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</si>
  <si>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</si>
  <si>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</si>
  <si>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</si>
  <si>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</si>
  <si>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</si>
  <si>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</si>
  <si>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</si>
  <si>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</si>
  <si>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</si>
  <si>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</si>
  <si>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</si>
  <si>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</si>
  <si>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</si>
  <si>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</si>
  <si>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</si>
  <si>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</si>
  <si>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</si>
  <si>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</si>
  <si>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</si>
  <si>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</si>
  <si>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</si>
  <si>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</si>
  <si>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</si>
  <si>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</si>
  <si>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</si>
  <si>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</si>
  <si>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</si>
  <si>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</si>
  <si>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</si>
  <si>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</si>
  <si>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</si>
  <si>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</si>
  <si>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</si>
  <si>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</si>
  <si>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</si>
  <si>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</si>
  <si>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</si>
  <si>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</si>
  <si>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</si>
  <si>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</si>
  <si>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</si>
  <si>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</si>
  <si>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</si>
  <si>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</si>
  <si>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</si>
  <si>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</si>
  <si>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</si>
  <si>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</si>
  <si>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</si>
  <si>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</si>
  <si>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</si>
  <si>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</si>
  <si>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</si>
  <si>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</si>
  <si>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</si>
  <si>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</si>
  <si>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</si>
  <si>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</si>
  <si>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</si>
  <si>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</si>
  <si>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</si>
  <si>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</si>
  <si>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</si>
  <si>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</si>
  <si>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</si>
  <si>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</si>
  <si>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</si>
  <si>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</si>
  <si>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</si>
  <si>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</si>
  <si>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</si>
  <si>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</si>
  <si>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</si>
  <si>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</si>
  <si>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</si>
  <si>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</si>
  <si>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</si>
  <si>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</si>
  <si>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</si>
  <si>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</si>
  <si>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</si>
  <si>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</si>
  <si>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</si>
  <si>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</si>
  <si>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</si>
  <si>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</si>
  <si>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</si>
  <si>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</si>
  <si>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</si>
  <si>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</si>
  <si>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</si>
  <si>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</si>
  <si>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</si>
  <si>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</si>
  <si>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</si>
  <si>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</si>
  <si>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</si>
  <si>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</si>
  <si>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</si>
  <si>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</si>
  <si>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</si>
  <si>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</si>
  <si>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</si>
  <si>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</si>
  <si>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</si>
  <si>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</si>
  <si>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</si>
  <si>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</si>
  <si>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</si>
  <si>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</si>
  <si>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</si>
  <si>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</si>
  <si>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</si>
  <si>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</si>
  <si>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</si>
  <si>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</si>
  <si>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</si>
  <si>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</si>
  <si>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</si>
  <si>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</si>
  <si>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</si>
  <si>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</si>
  <si>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</si>
  <si>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</si>
  <si>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</si>
  <si>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</si>
  <si>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</si>
  <si>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</si>
  <si>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</si>
  <si>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</si>
  <si>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</si>
  <si>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</si>
  <si>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</si>
  <si>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</si>
  <si>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</si>
  <si>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</si>
  <si>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</si>
  <si>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</si>
  <si>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</si>
  <si>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</si>
  <si>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</si>
  <si>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</si>
  <si>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</si>
  <si>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</si>
  <si>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</si>
  <si>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</si>
  <si>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</si>
  <si>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</si>
  <si>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</si>
  <si>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</si>
  <si>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</si>
  <si>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</si>
  <si>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</si>
  <si>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</si>
  <si>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</si>
  <si>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</si>
  <si>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</si>
  <si>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</si>
  <si>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</si>
  <si>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</si>
  <si>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</si>
  <si>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</si>
  <si>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</si>
  <si>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</si>
  <si>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</si>
  <si>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</si>
  <si>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</si>
  <si>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</si>
  <si>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</si>
  <si>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</si>
  <si>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</si>
  <si>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</si>
  <si>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</si>
  <si>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</si>
  <si>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</si>
  <si>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</si>
  <si>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</si>
  <si>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</si>
  <si>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</si>
  <si>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</si>
  <si>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</si>
  <si>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</si>
  <si>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</si>
  <si>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</si>
  <si>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</si>
  <si>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</si>
  <si>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</si>
  <si>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</si>
  <si>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</si>
  <si>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</si>
  <si>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</si>
  <si>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</si>
  <si>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</si>
  <si>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</si>
  <si>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</si>
  <si>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</si>
  <si>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</si>
  <si>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</si>
  <si>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</si>
  <si>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</si>
  <si>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</si>
  <si>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</si>
  <si>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</si>
  <si>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</si>
  <si>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</si>
  <si>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</si>
  <si>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</si>
  <si>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</si>
  <si>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</si>
  <si>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</si>
  <si>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</si>
  <si>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</si>
  <si>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</si>
  <si>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</si>
  <si>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</si>
  <si>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</si>
  <si>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</si>
  <si>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</si>
  <si>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</si>
  <si>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</si>
  <si>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</si>
  <si>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</si>
  <si>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</si>
  <si>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</si>
  <si>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</si>
  <si>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</si>
  <si>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</si>
  <si>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</si>
  <si>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</si>
  <si>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</si>
  <si>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</si>
  <si>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</si>
  <si>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</si>
  <si>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</si>
  <si>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</si>
  <si>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</si>
  <si>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</si>
  <si>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</si>
  <si>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</si>
  <si>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</si>
  <si>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</si>
  <si>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</si>
  <si>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</si>
  <si>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</si>
  <si>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</si>
  <si>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</si>
  <si>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</si>
  <si>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</si>
  <si>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</si>
  <si>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</si>
  <si>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</si>
  <si>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</si>
  <si>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</si>
  <si>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</si>
  <si>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</si>
  <si>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</si>
  <si>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</si>
  <si>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</si>
  <si>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</si>
  <si>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</si>
  <si>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</si>
  <si>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</si>
  <si>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</si>
  <si>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</si>
  <si>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</si>
  <si>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</si>
  <si>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</si>
  <si>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</si>
  <si>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</si>
  <si>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</si>
  <si>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</si>
  <si>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</si>
  <si>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</si>
  <si>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</si>
  <si>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</si>
  <si>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</si>
  <si>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</si>
  <si>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</si>
  <si>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</si>
  <si>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</si>
  <si>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</si>
  <si>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</si>
  <si>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</si>
  <si>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</si>
  <si>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</si>
  <si>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</si>
  <si>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</si>
  <si>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</si>
  <si>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</si>
  <si>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</si>
  <si>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</si>
  <si>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</si>
  <si>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</si>
  <si>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</si>
  <si>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</si>
  <si>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</si>
  <si>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</si>
  <si>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</si>
  <si>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</si>
  <si>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</si>
  <si>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</si>
  <si>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</si>
  <si>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</si>
  <si>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</si>
  <si>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</si>
  <si>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</si>
  <si>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</si>
  <si>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</si>
  <si>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</si>
  <si>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</si>
  <si>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</si>
  <si>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</si>
  <si>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</si>
  <si>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</si>
  <si>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</si>
  <si>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</si>
  <si>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</si>
  <si>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</si>
  <si>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</si>
  <si>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</si>
  <si>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</si>
  <si>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</si>
  <si>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</si>
  <si>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</si>
  <si>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</si>
  <si>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</si>
  <si>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</si>
  <si>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</si>
  <si>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</si>
  <si>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</si>
  <si>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</si>
  <si>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</si>
  <si>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</si>
  <si>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</si>
  <si>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</si>
  <si>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</si>
  <si>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</si>
  <si>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</si>
  <si>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</si>
  <si>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</si>
  <si>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</si>
  <si>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</si>
  <si>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</si>
  <si>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</si>
  <si>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</si>
  <si>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</si>
  <si>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</si>
  <si>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</si>
  <si>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</si>
  <si>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</si>
  <si>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</si>
  <si>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</si>
  <si>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</si>
  <si>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</si>
  <si>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</si>
  <si>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</si>
  <si>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</si>
  <si>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</si>
  <si>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</si>
  <si>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</si>
  <si>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</si>
  <si>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</si>
  <si>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</si>
  <si>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</si>
  <si>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</si>
  <si>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</si>
  <si>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</si>
  <si>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</si>
  <si>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</si>
  <si>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</si>
  <si>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</si>
  <si>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</si>
  <si>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</si>
  <si>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</si>
  <si>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</si>
  <si>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</si>
  <si>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</si>
  <si>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</si>
  <si>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</si>
  <si>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</si>
  <si>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</si>
  <si>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</si>
  <si>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</si>
  <si>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</si>
  <si>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</si>
  <si>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</si>
  <si>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</si>
  <si>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</si>
  <si>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</si>
  <si>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</si>
  <si>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</si>
  <si>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</si>
  <si>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</si>
  <si>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</si>
  <si>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</si>
  <si>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</si>
  <si>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</si>
  <si>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</si>
  <si>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</si>
  <si>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</si>
  <si>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</si>
  <si>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</si>
  <si>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</si>
  <si>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</si>
  <si>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</si>
  <si>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</si>
  <si>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</si>
  <si>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</si>
  <si>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</si>
  <si>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</si>
  <si>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</si>
  <si>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</si>
  <si>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</si>
  <si>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</si>
  <si>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</si>
  <si>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</si>
  <si>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</si>
  <si>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</si>
  <si>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</si>
  <si>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</si>
  <si>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</si>
  <si>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</si>
  <si>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</si>
  <si>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</si>
  <si>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</si>
  <si>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</si>
  <si>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</si>
  <si>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</si>
  <si>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</si>
  <si>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</si>
  <si>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</si>
  <si>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</si>
  <si>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</si>
  <si>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</si>
  <si>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</si>
  <si>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</si>
  <si>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</si>
  <si>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</si>
  <si>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</si>
  <si>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</si>
  <si>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</si>
  <si>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</si>
  <si>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</si>
  <si>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</si>
  <si>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</si>
  <si>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</si>
  <si>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</si>
  <si>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</si>
  <si>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</si>
  <si>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</si>
  <si>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</si>
  <si>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</si>
  <si>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</si>
  <si>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</si>
  <si>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</si>
  <si>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</si>
  <si>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</si>
  <si>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</si>
  <si>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</si>
  <si>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</si>
  <si>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</si>
  <si>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</si>
  <si>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</si>
  <si>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</si>
  <si>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</si>
  <si>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</si>
  <si>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</si>
  <si>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</si>
  <si>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</si>
  <si>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</si>
  <si>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</si>
  <si>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</si>
  <si>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</si>
  <si>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</si>
  <si>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</si>
  <si>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</si>
  <si>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</si>
  <si>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</si>
  <si>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</si>
  <si>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</si>
  <si>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</si>
  <si>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</si>
  <si>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</si>
  <si>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</si>
  <si>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</si>
  <si>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</si>
  <si>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</si>
  <si>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</si>
  <si>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</si>
  <si>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</si>
  <si>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</si>
  <si>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</si>
  <si>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</si>
  <si>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</si>
  <si>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</si>
  <si>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</si>
  <si>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</si>
  <si>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</si>
  <si>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</si>
  <si>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</si>
  <si>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</si>
  <si>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</si>
  <si>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</si>
  <si>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</si>
  <si>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</si>
  <si>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</si>
  <si>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</si>
  <si>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</si>
  <si>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</si>
  <si>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</si>
  <si>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</si>
  <si>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</si>
  <si>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</si>
  <si>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</si>
  <si>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</si>
  <si>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</si>
  <si>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</si>
  <si>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</si>
  <si>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</si>
  <si>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</si>
  <si>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</si>
  <si>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</si>
  <si>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</si>
  <si>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</si>
  <si>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</si>
  <si>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</si>
  <si>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</si>
  <si>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</si>
  <si>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</si>
  <si>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</si>
  <si>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</si>
  <si>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</si>
  <si>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</si>
  <si>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</si>
  <si>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</si>
  <si>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</si>
  <si>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</si>
  <si>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</si>
  <si>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</si>
  <si>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</si>
  <si>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</si>
  <si>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</si>
  <si>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</si>
  <si>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</si>
  <si>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</si>
  <si>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</si>
  <si>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</si>
  <si>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</si>
  <si>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</si>
  <si>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</si>
  <si>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</si>
  <si>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</si>
  <si>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</si>
  <si>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</si>
  <si>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</si>
  <si>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</si>
  <si>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</si>
  <si>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</si>
  <si>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</si>
  <si>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</si>
  <si>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</si>
  <si>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</si>
  <si>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</si>
  <si>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</si>
  <si>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</si>
  <si>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</si>
  <si>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</si>
  <si>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</si>
  <si>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</si>
  <si>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</si>
  <si>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</si>
  <si>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</si>
  <si>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</si>
  <si>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</si>
  <si>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</si>
  <si>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</si>
  <si>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</si>
  <si>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</si>
  <si>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</si>
  <si>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</si>
  <si>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</si>
  <si>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</si>
  <si>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</si>
  <si>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</si>
  <si>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</si>
  <si>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</si>
  <si>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</si>
  <si>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</si>
  <si>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</si>
  <si>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</si>
  <si>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</si>
  <si>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</si>
  <si>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</si>
  <si>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</si>
  <si>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</si>
  <si>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</si>
  <si>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</si>
  <si>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</si>
  <si>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</si>
  <si>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</si>
  <si>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</si>
  <si>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</si>
  <si>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</si>
  <si>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</si>
  <si>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</si>
  <si>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</si>
  <si>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</si>
  <si>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</si>
  <si>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</si>
  <si>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</si>
  <si>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</si>
  <si>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</si>
  <si>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</si>
  <si>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</si>
  <si>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</si>
  <si>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</si>
  <si>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</si>
  <si>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</si>
  <si>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</si>
  <si>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</si>
  <si>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</si>
  <si>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</si>
  <si>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</si>
  <si>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</si>
  <si>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</si>
  <si>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</si>
  <si>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</si>
  <si>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</si>
  <si>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</si>
  <si>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</si>
  <si>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</si>
  <si>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</si>
  <si>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</si>
  <si>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</si>
  <si>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</si>
  <si>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</si>
  <si>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</si>
  <si>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</si>
  <si>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</si>
  <si>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</si>
  <si>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</si>
  <si>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</si>
  <si>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</si>
  <si>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</si>
  <si>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</si>
  <si>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</si>
  <si>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</si>
  <si>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</si>
  <si>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</si>
  <si>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</si>
  <si>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</si>
  <si>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</si>
  <si>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</si>
  <si>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</si>
  <si>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</si>
  <si>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</si>
  <si>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</si>
  <si>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</si>
  <si>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</si>
  <si>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</si>
  <si>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</si>
  <si>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</si>
  <si>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</si>
  <si>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</si>
  <si>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</si>
  <si>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</si>
  <si>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</si>
  <si>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</si>
  <si>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</si>
  <si>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</si>
  <si>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</si>
  <si>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</si>
  <si>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</si>
  <si>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</si>
  <si>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</si>
  <si>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</si>
  <si>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</si>
  <si>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</si>
  <si>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</si>
  <si>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</si>
  <si>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</si>
  <si>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</si>
  <si>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</si>
  <si>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</si>
  <si>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</si>
  <si>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</si>
  <si>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</si>
  <si>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</si>
  <si>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</si>
  <si>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</si>
  <si>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</si>
  <si>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</si>
  <si>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</si>
  <si>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</si>
  <si>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</si>
  <si>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</si>
  <si>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</si>
  <si>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</si>
  <si>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</si>
  <si>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</si>
  <si>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</si>
  <si>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</si>
  <si>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</si>
  <si>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</si>
  <si>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</si>
  <si>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</si>
  <si>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</si>
  <si>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</si>
  <si>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</si>
  <si>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</si>
  <si>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</si>
  <si>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</si>
  <si>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</si>
  <si>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</si>
  <si>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</si>
  <si>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</si>
  <si>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</si>
  <si>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</si>
  <si>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</si>
  <si>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</si>
  <si>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</si>
  <si>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</si>
  <si>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</si>
  <si>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</si>
  <si>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</si>
  <si>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</si>
  <si>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</si>
  <si>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</si>
  <si>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</si>
  <si>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</si>
  <si>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</si>
  <si>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</si>
  <si>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</si>
  <si>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</si>
  <si>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</si>
  <si>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</si>
  <si>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</si>
  <si>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</si>
  <si>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</si>
  <si>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</si>
  <si>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</si>
  <si>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</si>
  <si>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</si>
  <si>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</si>
  <si>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</si>
  <si>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</si>
  <si>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</si>
  <si>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</si>
  <si>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</si>
  <si>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</si>
  <si>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</si>
  <si>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</si>
  <si>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</si>
  <si>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</si>
  <si>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</si>
  <si>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</si>
  <si>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</si>
  <si>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</si>
  <si>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</si>
  <si>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</si>
  <si>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</si>
  <si>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</si>
  <si>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</si>
  <si>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</si>
  <si>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</si>
  <si>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</si>
  <si>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</si>
  <si>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</si>
  <si>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</si>
  <si>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</si>
  <si>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</si>
  <si>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</si>
  <si>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</si>
  <si>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</si>
  <si>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</si>
  <si>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</si>
  <si>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</si>
  <si>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</si>
  <si>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</si>
  <si>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</si>
  <si>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</si>
  <si>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</si>
  <si>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</si>
  <si>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</si>
  <si>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</si>
  <si>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</si>
  <si>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</si>
  <si>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</si>
  <si>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</si>
  <si>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</si>
  <si>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</si>
  <si>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</si>
  <si>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</si>
  <si>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</si>
  <si>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</si>
  <si>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</si>
  <si>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</si>
  <si>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</si>
  <si>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</si>
  <si>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</si>
  <si>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</si>
  <si>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</si>
  <si>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</si>
  <si>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</si>
  <si>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</si>
  <si>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</si>
  <si>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</si>
  <si>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</si>
  <si>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</si>
  <si>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</si>
  <si>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</si>
  <si>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</si>
  <si>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</si>
  <si>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</si>
  <si>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</si>
  <si>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</si>
  <si>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</si>
  <si>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</si>
  <si>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</si>
  <si>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</si>
  <si>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</si>
  <si>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</si>
  <si>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</si>
  <si>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</si>
  <si>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</si>
  <si>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</si>
  <si>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</si>
  <si>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</si>
  <si>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</si>
  <si>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</si>
  <si>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</si>
  <si>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</si>
  <si>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</si>
  <si>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</si>
  <si>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</si>
  <si>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</si>
  <si>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</si>
  <si>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</si>
  <si>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</si>
  <si>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</si>
  <si>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</si>
  <si>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</si>
  <si>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</si>
  <si>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</si>
  <si>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</si>
  <si>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</si>
  <si>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</si>
  <si>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</si>
  <si>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</si>
  <si>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</si>
  <si>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</si>
  <si>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</si>
  <si>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</si>
  <si>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</si>
  <si>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</si>
  <si>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</si>
  <si>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</si>
  <si>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</si>
  <si>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</si>
  <si>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</si>
  <si>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</si>
  <si>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</si>
  <si>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</si>
  <si>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</si>
  <si>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</si>
  <si>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</si>
  <si>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</si>
  <si>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</si>
  <si>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</si>
  <si>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</si>
  <si>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</si>
  <si>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</si>
  <si>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</si>
  <si>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</si>
  <si>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</si>
  <si>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</si>
  <si>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</si>
  <si>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</si>
  <si>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</si>
  <si>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</si>
  <si>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</si>
  <si>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</si>
  <si>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</si>
  <si>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</si>
  <si>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</si>
  <si>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</si>
  <si>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</si>
  <si>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</si>
  <si>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</si>
  <si>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</si>
  <si>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</si>
  <si>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</si>
  <si>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</si>
  <si>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</si>
  <si>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</si>
  <si>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</si>
  <si>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</si>
  <si>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</si>
  <si>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</si>
  <si>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</si>
  <si>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</si>
  <si>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</si>
  <si>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</si>
  <si>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</si>
  <si>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</si>
  <si>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</si>
  <si>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</si>
  <si>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</si>
  <si>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</si>
  <si>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</si>
  <si>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</si>
  <si>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</si>
  <si>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</si>
  <si>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</si>
  <si>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</si>
  <si>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</si>
  <si>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</si>
  <si>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</si>
  <si>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</si>
  <si>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</si>
  <si>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</si>
  <si>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</si>
  <si>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</si>
  <si>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</si>
  <si>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</si>
  <si>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</si>
  <si>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</si>
  <si>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</si>
  <si>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</si>
  <si>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</si>
  <si>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</si>
  <si>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</si>
  <si>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</si>
  <si>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</si>
  <si>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</si>
  <si>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</si>
  <si>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</si>
  <si>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</si>
  <si>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</si>
  <si>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</si>
  <si>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</si>
  <si>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</si>
  <si>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</si>
  <si>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</si>
  <si>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</si>
  <si>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</si>
  <si>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</si>
  <si>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</si>
  <si>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</si>
  <si>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</si>
  <si>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</si>
  <si>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</si>
  <si>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</si>
  <si>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</si>
  <si>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</si>
  <si>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</si>
  <si>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</si>
  <si>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</si>
  <si>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</si>
  <si>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</si>
  <si>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</si>
  <si>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</si>
  <si>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</si>
  <si>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</si>
  <si>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</si>
  <si>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</si>
  <si>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</si>
  <si>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</si>
  <si>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</si>
  <si>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</si>
  <si>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</si>
  <si>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</si>
  <si>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</si>
  <si>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</si>
  <si>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</si>
  <si>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</si>
  <si>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</si>
  <si>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</si>
  <si>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</si>
  <si>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</si>
  <si>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</si>
  <si>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</si>
  <si>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</si>
  <si>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</si>
  <si>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</si>
  <si>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</si>
  <si>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</si>
  <si>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</si>
  <si>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</si>
  <si>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</si>
  <si>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</si>
  <si>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</si>
  <si>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</si>
  <si>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</si>
  <si>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</si>
  <si>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</si>
  <si>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</si>
  <si>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</si>
  <si>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</si>
  <si>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</si>
  <si>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</si>
  <si>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</si>
  <si>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</si>
  <si>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</si>
  <si>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</si>
  <si>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</si>
  <si>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</si>
  <si>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</si>
  <si>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</si>
  <si>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</si>
  <si>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</si>
  <si>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</si>
  <si>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</si>
  <si>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</si>
  <si>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</si>
  <si>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</si>
  <si>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</si>
  <si>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</si>
  <si>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</si>
  <si>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</si>
  <si>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</si>
  <si>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</si>
  <si>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</si>
  <si>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</si>
  <si>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</si>
  <si>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</si>
  <si>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</si>
  <si>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</si>
  <si>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</si>
  <si>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</si>
  <si>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</si>
  <si>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</si>
  <si>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</si>
  <si>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</si>
  <si>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</si>
  <si>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</si>
  <si>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</si>
  <si>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</si>
  <si>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</si>
  <si>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</si>
  <si>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</si>
  <si>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</si>
  <si>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</si>
  <si>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</si>
  <si>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</si>
  <si>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</si>
  <si>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</si>
  <si>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</si>
  <si>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</si>
  <si>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</si>
  <si>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</si>
  <si>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</si>
  <si>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</si>
  <si>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</si>
  <si>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</si>
  <si>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</si>
  <si>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</si>
  <si>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</si>
  <si>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</si>
  <si>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</si>
  <si>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</si>
  <si>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</si>
  <si>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</si>
  <si>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</si>
  <si>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</si>
  <si>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</si>
  <si>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</si>
  <si>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</si>
  <si>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</si>
  <si>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</si>
  <si>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</si>
  <si>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</si>
  <si>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</si>
  <si>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</si>
  <si>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</si>
  <si>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</si>
  <si>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</si>
  <si>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</si>
  <si>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</si>
  <si>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</si>
  <si>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</si>
  <si>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</si>
  <si>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</si>
  <si>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</si>
  <si>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</si>
  <si>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</si>
  <si>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</si>
  <si>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</si>
  <si>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</si>
  <si>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</si>
  <si>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</si>
  <si>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</si>
  <si>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</si>
  <si>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</si>
  <si>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</si>
  <si>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</si>
  <si>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</si>
  <si>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</si>
  <si>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</si>
  <si>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</si>
  <si>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</si>
  <si>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</si>
  <si>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</si>
  <si>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</si>
  <si>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</si>
  <si>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</si>
  <si>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</si>
  <si>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</si>
  <si>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</si>
  <si>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</si>
  <si>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</si>
  <si>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</si>
  <si>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</si>
  <si>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</si>
  <si>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</si>
  <si>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</si>
  <si>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</si>
  <si>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</si>
  <si>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</si>
  <si>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</si>
  <si>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</si>
  <si>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</si>
  <si>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</si>
  <si>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</si>
  <si>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</si>
  <si>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</si>
  <si>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</si>
  <si>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</si>
  <si>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</si>
  <si>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</si>
  <si>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</si>
  <si>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</si>
  <si>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</si>
  <si>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</si>
  <si>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</si>
  <si>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</si>
  <si>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</si>
  <si>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</si>
  <si>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</si>
  <si>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</si>
  <si>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</si>
  <si>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</si>
  <si>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</si>
  <si>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</si>
  <si>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</si>
  <si>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</si>
  <si>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</si>
  <si>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</si>
  <si>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</si>
  <si>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</si>
  <si>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</si>
  <si>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</si>
  <si>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</si>
  <si>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</si>
  <si>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</si>
  <si>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</si>
  <si>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</si>
  <si>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</si>
  <si>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</si>
  <si>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</si>
  <si>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</si>
  <si>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</si>
  <si>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</si>
  <si>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</si>
  <si>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</si>
  <si>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</si>
  <si>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</si>
  <si>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</si>
  <si>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</si>
  <si>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</si>
  <si>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</si>
  <si>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</si>
  <si>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</si>
  <si>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</si>
  <si>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</si>
  <si>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</si>
  <si>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</si>
  <si>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</si>
  <si>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</si>
  <si>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</si>
  <si>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</si>
  <si>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</si>
  <si>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</si>
  <si>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</si>
  <si>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</si>
  <si>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</si>
  <si>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</si>
  <si>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</si>
  <si>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</si>
  <si>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</si>
  <si>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</si>
  <si>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</si>
  <si>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</si>
  <si>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</si>
  <si>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</si>
  <si>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</si>
  <si>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</si>
  <si>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</si>
  <si>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</si>
  <si>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</si>
  <si>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</si>
  <si>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</si>
  <si>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</si>
  <si>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</si>
  <si>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</si>
  <si>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</si>
  <si>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</si>
  <si>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</si>
  <si>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</si>
  <si>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</si>
  <si>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</si>
  <si>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</si>
  <si>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</si>
  <si>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</si>
  <si>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</si>
  <si>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</si>
  <si>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</si>
  <si>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</si>
  <si>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</si>
  <si>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</si>
  <si>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</si>
  <si>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</si>
  <si>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</si>
  <si>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</si>
  <si>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</si>
  <si>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</si>
  <si>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</si>
  <si>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</si>
  <si>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</si>
  <si>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</si>
  <si>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</si>
  <si>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</si>
  <si>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</si>
  <si>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</si>
  <si>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</si>
  <si>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</si>
  <si>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</si>
  <si>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</si>
  <si>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</si>
  <si>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</si>
  <si>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</si>
  <si>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</si>
  <si>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</si>
  <si>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</si>
  <si>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</si>
  <si>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</si>
  <si>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</si>
  <si>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</si>
  <si>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</si>
  <si>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</si>
  <si>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</si>
  <si>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</si>
  <si>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</si>
  <si>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</si>
  <si>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</si>
  <si>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</si>
  <si>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</si>
  <si>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</si>
  <si>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</si>
  <si>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</si>
  <si>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</si>
  <si>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</si>
  <si>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</si>
  <si>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</si>
  <si>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</si>
  <si>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</si>
  <si>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</si>
  <si>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</si>
  <si>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</si>
  <si>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</si>
  <si>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</si>
  <si>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</si>
  <si>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</si>
  <si>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</si>
  <si>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</si>
  <si>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</si>
  <si>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</si>
  <si>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</si>
  <si>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</si>
  <si>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</si>
  <si>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</si>
  <si>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</si>
  <si>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</si>
  <si>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</si>
  <si>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</si>
  <si>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</si>
  <si>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</si>
  <si>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</si>
  <si>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</si>
  <si>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</si>
  <si>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</si>
  <si>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</si>
  <si>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</si>
  <si>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</si>
  <si>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</si>
  <si>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</si>
  <si>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</si>
  <si>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</si>
  <si>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</si>
  <si>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</si>
  <si>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</si>
  <si>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</si>
  <si>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</si>
  <si>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</si>
  <si>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</si>
  <si>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</si>
  <si>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</si>
  <si>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</si>
  <si>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</si>
  <si>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</si>
  <si>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</si>
  <si>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</si>
  <si>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</si>
  <si>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</si>
  <si>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</si>
  <si>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</si>
  <si>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</si>
  <si>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</si>
  <si>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</si>
  <si>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</si>
  <si>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</si>
  <si>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</si>
  <si>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</si>
  <si>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</si>
  <si>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</si>
  <si>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</si>
  <si>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</si>
  <si>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</si>
  <si>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</si>
  <si>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</si>
  <si>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</si>
  <si>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</si>
  <si>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</si>
  <si>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</si>
  <si>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</si>
  <si>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</si>
  <si>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</si>
  <si>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</si>
  <si>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</si>
  <si>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</si>
  <si>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</si>
  <si>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</si>
  <si>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</si>
  <si>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</si>
  <si>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</si>
  <si>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</si>
  <si>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</si>
  <si>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</si>
  <si>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</si>
  <si>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</si>
  <si>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</si>
  <si>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</si>
  <si>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</si>
  <si>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</si>
  <si>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</si>
  <si>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</si>
  <si>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</si>
  <si>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</si>
  <si>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</si>
  <si>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</si>
  <si>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</si>
  <si>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</si>
  <si>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</si>
  <si>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</si>
  <si>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</si>
  <si>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</si>
  <si>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</si>
  <si>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</si>
  <si>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</si>
  <si>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</si>
  <si>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</si>
  <si>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</si>
  <si>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</si>
  <si>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</si>
  <si>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</si>
  <si>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</si>
  <si>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</si>
  <si>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</si>
  <si>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</si>
  <si>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</si>
  <si>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</si>
  <si>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</si>
  <si>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</si>
  <si>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</si>
  <si>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</si>
  <si>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</si>
  <si>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</si>
  <si>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</si>
  <si>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</si>
  <si>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</si>
  <si>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</si>
  <si>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</si>
  <si>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</si>
  <si>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</si>
  <si>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</si>
  <si>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</si>
  <si>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</si>
  <si>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</si>
  <si>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</si>
  <si>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</si>
  <si>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</si>
  <si>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</si>
  <si>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</si>
  <si>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</si>
  <si>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</si>
  <si>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</si>
  <si>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</si>
  <si>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</si>
  <si>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</si>
  <si>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</si>
  <si>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</si>
  <si>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出让</t>
  </si>
  <si>
    <t>是</t>
  </si>
  <si>
    <t>地上</t>
  </si>
  <si>
    <t>办公楼</t>
  </si>
  <si>
    <t>地下</t>
  </si>
  <si>
    <t>车库</t>
  </si>
  <si>
    <t>办公</t>
    <phoneticPr fontId="7" type="noConversion"/>
  </si>
  <si>
    <t>车库</t>
    <phoneticPr fontId="7" type="noConversion"/>
  </si>
  <si>
    <t>收益法</t>
  </si>
  <si>
    <t>押一</t>
  </si>
  <si>
    <t>按租金收入计税</t>
  </si>
  <si>
    <t>钢混</t>
  </si>
  <si>
    <t>非生产用房</t>
  </si>
  <si>
    <t>成新度</t>
  </si>
  <si>
    <t>售价</t>
  </si>
  <si>
    <t>现房</t>
  </si>
  <si>
    <t>项目局部</t>
  </si>
  <si>
    <t>比较法-办公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</si>
  <si>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</si>
  <si>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</si>
  <si>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</si>
  <si>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</si>
  <si>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</si>
  <si>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</si>
  <si>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</si>
  <si>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</si>
  <si>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</si>
  <si>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</si>
  <si>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</si>
  <si>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</si>
  <si>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</si>
  <si>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</si>
  <si>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伊川县鹤鸣大道以东、文正大道以北</t>
  </si>
  <si>
    <t>洛阳市</t>
  </si>
  <si>
    <t>商业/办公用地</t>
  </si>
  <si>
    <t>小于或等于1</t>
  </si>
  <si>
    <t>挂牌</t>
  </si>
  <si>
    <t>2019-12-25</t>
  </si>
  <si>
    <t>洛阳桃花岛生态园有限公司</t>
  </si>
  <si>
    <t>3星</t>
  </si>
  <si>
    <t>伊川县人民中路以南、育红巷以东、酒城路以西</t>
  </si>
  <si>
    <t>≥1,≤2</t>
  </si>
  <si>
    <t>2019-11-20</t>
  </si>
  <si>
    <t>伊川财源置业有限公司</t>
  </si>
  <si>
    <t>伊川县滨河大道以西、高新四路以南</t>
  </si>
  <si>
    <t>小于或等于2</t>
  </si>
  <si>
    <t>2019-10-16</t>
  </si>
  <si>
    <t>中国移动通信集团河南有限公司洛阳分公司</t>
  </si>
  <si>
    <t>伊川县滨河新区滨河大道以东、高新四路以南、高新六路以北</t>
  </si>
  <si>
    <t>小于1.5</t>
  </si>
  <si>
    <t>2018-12-28</t>
  </si>
  <si>
    <t>洛阳企派实业有限公司</t>
  </si>
  <si>
    <t>小于1.2</t>
  </si>
  <si>
    <t>伊川县滨河新区滨河大道以东、伊河堤防线以西</t>
  </si>
  <si>
    <t>小于0.6</t>
  </si>
  <si>
    <t>2018-03-23</t>
  </si>
  <si>
    <t>河南怡鑫置业有限公司</t>
  </si>
  <si>
    <t>4星</t>
  </si>
  <si>
    <t>伊川县豫港大道以北、东园经四路以西</t>
  </si>
  <si>
    <t>小于0.2</t>
  </si>
  <si>
    <t>2018-03-16</t>
  </si>
  <si>
    <t>李继涛</t>
  </si>
  <si>
    <t>伊川县新鹏路以东、商都路以北</t>
  </si>
  <si>
    <t>2017-02-23</t>
  </si>
  <si>
    <t>洛阳龙键置业有限公司</t>
  </si>
  <si>
    <t>伊川县滨河大道以东、北环路以北</t>
  </si>
  <si>
    <t>2016-12-09</t>
  </si>
  <si>
    <t>李纪卫</t>
  </si>
  <si>
    <t>伊川县滨河大道以西、花园二路以南、洛阳环城高速以北</t>
  </si>
  <si>
    <t>小于1.1</t>
  </si>
  <si>
    <t>拍卖</t>
  </si>
  <si>
    <t>2016-06-07</t>
  </si>
  <si>
    <t>河南新都万基置业有限公司</t>
  </si>
  <si>
    <t>其他省市系数</t>
  </si>
  <si>
    <t>https://baijiahao.baidu.com/s?id=1650537481957190625&amp;wfr=spider&amp;for=pc</t>
    <phoneticPr fontId="143" type="noConversion"/>
  </si>
  <si>
    <t>未包含在土地购买价格中</t>
  </si>
  <si>
    <t>全部缴纳</t>
  </si>
  <si>
    <t>已包含在土地取得成本中</t>
  </si>
  <si>
    <t>自定义</t>
  </si>
  <si>
    <t>收益法 (车库)</t>
  </si>
  <si>
    <t>收益法 (车库)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</si>
</sst>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4" fillId="0" borderId="0" xfId="17" applyAlignment="1"/>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5">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0</xdr:row>
      <xdr:rowOff>38101</xdr:rowOff>
    </xdr:from>
    <xdr:to>
      <xdr:col>10</xdr:col>
      <xdr:colOff>404635</xdr:colOff>
      <xdr:row>17</xdr:row>
      <xdr:rowOff>108978</xdr:rowOff>
    </xdr:to>
    <xdr:pic>
      <xdr:nvPicPr>
        <xdr:cNvPr id="2" name="图片 1">
          <a:extLst>
            <a:ext uri="{FF2B5EF4-FFF2-40B4-BE49-F238E27FC236}">
              <a16:creationId xmlns:a16="http://schemas.microsoft.com/office/drawing/2014/main" id="{17136186-8A13-4A77-BC03-F9FC14A9FE68}"/>
            </a:ext>
          </a:extLst>
        </xdr:cNvPr>
        <xdr:cNvPicPr>
          <a:picLocks noChangeAspect="1"/>
        </xdr:cNvPicPr>
      </xdr:nvPicPr>
      <xdr:blipFill>
        <a:blip xmlns:r="http://schemas.openxmlformats.org/officeDocument/2006/relationships" r:embed="rId1"/>
        <a:stretch>
          <a:fillRect/>
        </a:stretch>
      </xdr:blipFill>
      <xdr:spPr>
        <a:xfrm>
          <a:off x="203200" y="38101"/>
          <a:ext cx="6297435" cy="3093477"/>
        </a:xfrm>
        <a:prstGeom prst="rect">
          <a:avLst/>
        </a:prstGeom>
      </xdr:spPr>
    </xdr:pic>
    <xdr:clientData/>
  </xdr:twoCellAnchor>
  <xdr:twoCellAnchor editAs="oneCell">
    <xdr:from>
      <xdr:col>0</xdr:col>
      <xdr:colOff>203620</xdr:colOff>
      <xdr:row>17</xdr:row>
      <xdr:rowOff>133352</xdr:rowOff>
    </xdr:from>
    <xdr:to>
      <xdr:col>11</xdr:col>
      <xdr:colOff>50800</xdr:colOff>
      <xdr:row>35</xdr:row>
      <xdr:rowOff>110984</xdr:rowOff>
    </xdr:to>
    <xdr:pic>
      <xdr:nvPicPr>
        <xdr:cNvPr id="3" name="图片 2">
          <a:extLst>
            <a:ext uri="{FF2B5EF4-FFF2-40B4-BE49-F238E27FC236}">
              <a16:creationId xmlns:a16="http://schemas.microsoft.com/office/drawing/2014/main" id="{C3D65E11-E88C-454B-830E-9FF4CED30A46}"/>
            </a:ext>
          </a:extLst>
        </xdr:cNvPr>
        <xdr:cNvPicPr>
          <a:picLocks noChangeAspect="1"/>
        </xdr:cNvPicPr>
      </xdr:nvPicPr>
      <xdr:blipFill>
        <a:blip xmlns:r="http://schemas.openxmlformats.org/officeDocument/2006/relationships" r:embed="rId2"/>
        <a:stretch>
          <a:fillRect/>
        </a:stretch>
      </xdr:blipFill>
      <xdr:spPr>
        <a:xfrm>
          <a:off x="203620" y="3155952"/>
          <a:ext cx="6552780" cy="3178032"/>
        </a:xfrm>
        <a:prstGeom prst="rect">
          <a:avLst/>
        </a:prstGeom>
      </xdr:spPr>
    </xdr:pic>
    <xdr:clientData/>
  </xdr:twoCellAnchor>
  <xdr:twoCellAnchor editAs="oneCell">
    <xdr:from>
      <xdr:col>0</xdr:col>
      <xdr:colOff>209550</xdr:colOff>
      <xdr:row>35</xdr:row>
      <xdr:rowOff>133350</xdr:rowOff>
    </xdr:from>
    <xdr:to>
      <xdr:col>11</xdr:col>
      <xdr:colOff>254000</xdr:colOff>
      <xdr:row>47</xdr:row>
      <xdr:rowOff>143347</xdr:rowOff>
    </xdr:to>
    <xdr:pic>
      <xdr:nvPicPr>
        <xdr:cNvPr id="4" name="图片 3">
          <a:extLst>
            <a:ext uri="{FF2B5EF4-FFF2-40B4-BE49-F238E27FC236}">
              <a16:creationId xmlns:a16="http://schemas.microsoft.com/office/drawing/2014/main" id="{695155F8-84A2-4492-AEB1-BAA2E6398A2F}"/>
            </a:ext>
          </a:extLst>
        </xdr:cNvPr>
        <xdr:cNvPicPr>
          <a:picLocks noChangeAspect="1"/>
        </xdr:cNvPicPr>
      </xdr:nvPicPr>
      <xdr:blipFill>
        <a:blip xmlns:r="http://schemas.openxmlformats.org/officeDocument/2006/relationships" r:embed="rId3"/>
        <a:stretch>
          <a:fillRect/>
        </a:stretch>
      </xdr:blipFill>
      <xdr:spPr>
        <a:xfrm>
          <a:off x="209550" y="6356350"/>
          <a:ext cx="6750050" cy="2143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438150</xdr:colOff>
      <xdr:row>17</xdr:row>
      <xdr:rowOff>82550</xdr:rowOff>
    </xdr:from>
    <xdr:to>
      <xdr:col>10</xdr:col>
      <xdr:colOff>338545</xdr:colOff>
      <xdr:row>27</xdr:row>
      <xdr:rowOff>75979</xdr:rowOff>
    </xdr:to>
    <xdr:pic>
      <xdr:nvPicPr>
        <xdr:cNvPr id="2" name="图片 1">
          <a:extLst>
            <a:ext uri="{FF2B5EF4-FFF2-40B4-BE49-F238E27FC236}">
              <a16:creationId xmlns:a16="http://schemas.microsoft.com/office/drawing/2014/main" id="{59B4D5E3-C9FA-4677-9824-8F6A23B8D402}"/>
            </a:ext>
          </a:extLst>
        </xdr:cNvPr>
        <xdr:cNvPicPr>
          <a:picLocks noChangeAspect="1"/>
        </xdr:cNvPicPr>
      </xdr:nvPicPr>
      <xdr:blipFill>
        <a:blip xmlns:r="http://schemas.openxmlformats.org/officeDocument/2006/relationships" r:embed="rId1"/>
        <a:stretch>
          <a:fillRect/>
        </a:stretch>
      </xdr:blipFill>
      <xdr:spPr>
        <a:xfrm>
          <a:off x="438150" y="3105150"/>
          <a:ext cx="9438095" cy="1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650537481957190625&amp;wfr=spider&amp;for=pc"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受贵公司委托，我公司对进行了预评估。</v>
      </c>
    </row>
    <row r="7" spans="1:2" s="1593" customFormat="1">
      <c r="A7" s="1591" t="s">
        <v>1259</v>
      </c>
      <c r="B7" s="1592" t="str">
        <f>'预评函-1'!A7</f>
        <v>估价对象为房地产，为所有。根据《国有土地使用证》[]，估价对象（分摊）出让国有建设用地使用权面积为9793.78平方米，建筑面积为56816.98平方米。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估价对象为房地产,属开发建设的，该项目尚在开发建设中。根据《国有土地使用证》[]，估价对象（分摊）出让国有建设用地使用权面积为9793.78平方米，规划建筑面积为56816.98平方米。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2020年3月10日</v>
      </c>
    </row>
    <row r="13" spans="1:2" s="1593" customFormat="1">
      <c r="A13" s="1591" t="s">
        <v>1222</v>
      </c>
      <c r="B13" s="1592" t="str">
        <f>'预评函-1'!A18</f>
        <v>本次估价的“房地产价值”是指在正常市场情况下，在价值时点2020年3月10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5" thickBot="1">
      <c r="A18" s="1594" t="s">
        <v>1227</v>
      </c>
      <c r="B18" s="1595" t="str">
        <f>'预评函-1'!A24</f>
        <v>本次评估采用的主估价方法为比较法和收益法。</v>
      </c>
    </row>
    <row r="19" spans="1:2" s="1590" customFormat="1" ht="15.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7340</v>
      </c>
    </row>
    <row r="21" spans="1:2" s="1593" customFormat="1">
      <c r="A21" s="1591" t="s">
        <v>1230</v>
      </c>
      <c r="B21" s="1592">
        <f ca="1">'预评函-2'!D7</f>
        <v>4433</v>
      </c>
    </row>
    <row r="22" spans="1:2" s="1593" customFormat="1">
      <c r="A22" s="1591" t="s">
        <v>1231</v>
      </c>
      <c r="B22" s="1592" t="str">
        <f ca="1">'预评函-2'!D6</f>
        <v>柒仟叁佰肆拾万元整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7340</v>
      </c>
    </row>
    <row r="31" spans="1:2" s="1593" customFormat="1">
      <c r="A31" s="1591" t="s">
        <v>1269</v>
      </c>
      <c r="B31" s="1592">
        <f ca="1">'预评函-2'!D15</f>
        <v>1292</v>
      </c>
    </row>
    <row r="32" spans="1:2" s="1593" customFormat="1">
      <c r="A32" s="1591" t="s">
        <v>1236</v>
      </c>
      <c r="B32" s="1592" t="str">
        <f ca="1">'预评函-2'!D14</f>
        <v>柒仟叁佰肆拾万元整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ht="30">
      <c r="A42" s="1591" t="s">
        <v>1283</v>
      </c>
      <c r="B42" s="1592" t="str">
        <f>'预评函-3'!B2</f>
        <v>建筑面积</v>
      </c>
    </row>
    <row r="43" spans="1:2" s="1593" customFormat="1">
      <c r="A43" s="1591" t="s">
        <v>1284</v>
      </c>
      <c r="B43" s="1592">
        <f>'预评函-3'!B4</f>
        <v>56816.98</v>
      </c>
    </row>
    <row r="44" spans="1:2" s="1593" customFormat="1" ht="30">
      <c r="A44" s="1591" t="s">
        <v>1268</v>
      </c>
      <c r="B44" s="1592" t="str">
        <f>'预评函-3'!C2</f>
        <v>(分摊)土地面积</v>
      </c>
    </row>
    <row r="45" spans="1:2" s="1593" customFormat="1">
      <c r="A45" s="1591" t="s">
        <v>1240</v>
      </c>
      <c r="B45" s="1592">
        <f>'预评函-3'!C4</f>
        <v>9793.7800000000007</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估价师知悉的法定优先受偿款</v>
      </c>
    </row>
    <row r="58" spans="1:2" s="1590" customFormat="1" ht="15.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7" sqref="D17"/>
    </sheetView>
  </sheetViews>
  <sheetFormatPr defaultColWidth="9" defaultRowHeight="14"/>
  <cols>
    <col min="1" max="1" width="13.453125" style="2023" customWidth="1"/>
    <col min="2" max="2" width="23.1796875" style="1974" customWidth="1"/>
    <col min="3" max="3" width="13" style="2018" customWidth="1"/>
    <col min="4" max="4" width="5.81640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3138</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1" t="s">
        <v>860</v>
      </c>
      <c r="C54" s="2018" t="s">
        <v>1276</v>
      </c>
    </row>
    <row r="55" spans="1:4">
      <c r="A55" s="3018"/>
      <c r="B55" s="2021" t="s">
        <v>861</v>
      </c>
      <c r="C55" s="2018" t="s">
        <v>1277</v>
      </c>
    </row>
    <row r="56" spans="1:4">
      <c r="A56" s="3018"/>
      <c r="B56" s="2021" t="s">
        <v>862</v>
      </c>
      <c r="C56" s="2018" t="s">
        <v>1281</v>
      </c>
    </row>
    <row r="57" spans="1:4">
      <c r="A57" s="301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F32" sqref="F32"/>
    </sheetView>
  </sheetViews>
  <sheetFormatPr defaultColWidth="10" defaultRowHeight="18" customHeight="1"/>
  <cols>
    <col min="1" max="1" width="14.90625" style="2031" customWidth="1"/>
    <col min="2" max="2" width="10" style="2031" customWidth="1"/>
    <col min="3" max="3" width="11.453125" style="2031" customWidth="1"/>
    <col min="4" max="4" width="11.08984375" style="2031" customWidth="1"/>
    <col min="5" max="6" width="10" style="2031" customWidth="1"/>
    <col min="7" max="7" width="10.81640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7" t="str">
        <f>IF(B10="北京市","北京市",C10)&amp;F10&amp;IF(结果表!G1="在建","出让国有建设用地使用权及在建建筑物",IF(结果表!G1="土地","出让国有建设用地使用权",))&amp;B9&amp;"预评估"</f>
        <v>预评估</v>
      </c>
      <c r="C1" s="3028"/>
      <c r="D1" s="3028"/>
      <c r="E1" s="3028"/>
      <c r="F1" s="3028"/>
      <c r="G1" s="3028"/>
      <c r="H1" s="3028"/>
      <c r="I1" s="302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c r="C3" s="2036" t="s">
        <v>1773</v>
      </c>
      <c r="D3" s="2035">
        <v>43900</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30"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31"/>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55383</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31.46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37"/>
      <c r="C16" s="3038"/>
      <c r="D16" s="3039"/>
      <c r="E16" s="2085" t="s">
        <v>1796</v>
      </c>
      <c r="F16" s="3040"/>
      <c r="G16" s="3041"/>
      <c r="H16" s="3041"/>
      <c r="I16" s="3042"/>
      <c r="J16" s="2028"/>
      <c r="K16" s="2082"/>
      <c r="L16" s="2083"/>
      <c r="M16" s="2083"/>
      <c r="N16" s="2084"/>
      <c r="O16" s="2083"/>
      <c r="P16" s="2084"/>
      <c r="Q16" s="2028"/>
      <c r="R16" s="2028"/>
    </row>
    <row r="17" spans="1:22" ht="18" customHeight="1">
      <c r="A17" s="2086" t="s">
        <v>1797</v>
      </c>
      <c r="B17" s="2034" t="s">
        <v>1798</v>
      </c>
      <c r="C17" s="1054">
        <f>'数据-汇总表'!E3</f>
        <v>56816.98</v>
      </c>
      <c r="D17" s="2087" t="s">
        <v>1799</v>
      </c>
      <c r="E17" s="3043" t="s">
        <v>1800</v>
      </c>
      <c r="F17" s="3044"/>
      <c r="G17" s="3044"/>
      <c r="H17" s="3044"/>
      <c r="I17" s="3045"/>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9793.7800000000007</v>
      </c>
      <c r="D18" s="2090" t="s">
        <v>1799</v>
      </c>
      <c r="E18" s="3046" t="s">
        <v>1803</v>
      </c>
      <c r="F18" s="3047"/>
      <c r="G18" s="3047"/>
      <c r="H18" s="3047"/>
      <c r="I18" s="3048"/>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3" t="s">
        <v>1808</v>
      </c>
      <c r="C20" s="3034"/>
      <c r="D20" s="3035" t="s">
        <v>1809</v>
      </c>
      <c r="E20" s="3036"/>
      <c r="F20" s="2097" t="s">
        <v>1810</v>
      </c>
      <c r="G20" s="2041"/>
      <c r="H20" s="2041"/>
      <c r="I20" s="2041"/>
      <c r="J20" s="2041"/>
      <c r="K20" s="303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0"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0"/>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0"/>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1"/>
      <c r="B30" s="2034" t="s">
        <v>1827</v>
      </c>
      <c r="C30" s="3022"/>
      <c r="D30" s="302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4"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19" t="s">
        <v>1837</v>
      </c>
      <c r="T34" s="2134" t="str">
        <f>NUMBERSTRING(7-K34,1)&amp;"通"</f>
        <v>七通</v>
      </c>
      <c r="U34" s="2028"/>
      <c r="V34" s="2028"/>
    </row>
    <row r="35" spans="1:22" ht="18" customHeight="1">
      <c r="A35" s="2135"/>
      <c r="B35" s="3026" t="s">
        <v>1838</v>
      </c>
      <c r="C35" s="3026"/>
      <c r="D35" s="3026"/>
      <c r="E35" s="302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9"/>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81640625" style="2159" customWidth="1"/>
    <col min="17" max="17" width="9.36328125" style="2159" customWidth="1"/>
    <col min="18" max="18" width="9.1796875" style="2159" customWidth="1"/>
    <col min="19" max="19" width="10.90625" style="2159" customWidth="1"/>
    <col min="20" max="21" width="10.81640625" style="2159" customWidth="1"/>
    <col min="22" max="22" width="10.90625" style="2159" customWidth="1"/>
    <col min="23" max="27" width="10.81640625" style="2159" customWidth="1"/>
    <col min="28" max="28" width="10.90625" style="2159" customWidth="1"/>
    <col min="29" max="29" width="11" style="2159" bestFit="1" customWidth="1"/>
    <col min="30" max="30" width="10" style="2159" bestFit="1" customWidth="1"/>
    <col min="31" max="31" width="9.81640625" style="2159" customWidth="1"/>
    <col min="32" max="46" width="9.453125" style="2159" customWidth="1"/>
    <col min="47" max="47" width="18.08984375" style="2159" customWidth="1"/>
    <col min="48" max="50" width="9.81640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
      <c r="A3" s="13">
        <v>9793.7800000000007</v>
      </c>
      <c r="B3" s="14">
        <f>IF(C3="否",G5-AT5,G5)</f>
        <v>56816.98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1874</v>
      </c>
      <c r="B5" s="1803"/>
      <c r="C5" s="1803"/>
      <c r="D5" s="1806"/>
      <c r="E5" s="16" t="s">
        <v>1</v>
      </c>
      <c r="F5" s="16">
        <f>SUM(F13:F587)</f>
        <v>0</v>
      </c>
      <c r="G5" s="16">
        <f>SUM(G13:G587)</f>
        <v>56816.98</v>
      </c>
      <c r="H5" s="16">
        <f t="shared" ref="H5:AT5" si="0">SUM(H13:H656)</f>
        <v>56816.98</v>
      </c>
      <c r="I5" s="16">
        <f t="shared" si="0"/>
        <v>16556.82</v>
      </c>
      <c r="J5" s="16">
        <f t="shared" si="0"/>
        <v>0</v>
      </c>
      <c r="K5" s="16">
        <f t="shared" si="0"/>
        <v>40260.160000000003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56816.98</v>
      </c>
      <c r="BA5" s="18">
        <f t="shared" si="1"/>
        <v>56816.98</v>
      </c>
      <c r="BB5" s="18">
        <f t="shared" si="1"/>
        <v>16556.82</v>
      </c>
      <c r="BC5" s="18">
        <f t="shared" si="1"/>
        <v>40260.160000000003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
      <c r="A6" s="15" t="s">
        <v>1875</v>
      </c>
      <c r="B6" s="2174"/>
      <c r="C6" s="2174"/>
      <c r="D6" s="2175"/>
      <c r="E6" s="16">
        <f>H6+AC6+AT6</f>
        <v>9793.7800000000007</v>
      </c>
      <c r="F6" s="16" t="s">
        <v>1</v>
      </c>
      <c r="G6" s="16" t="s">
        <v>2</v>
      </c>
      <c r="H6" s="20">
        <f>SUMIF(I$12:AB$12,"总值",I6:AB6)</f>
        <v>9793.7800000000007</v>
      </c>
      <c r="I6" s="16">
        <f t="shared" ref="I6:AB6" si="2">ROUND($A$3*I5/$B$3,2)</f>
        <v>2853.97</v>
      </c>
      <c r="J6" s="16">
        <f t="shared" si="2"/>
        <v>0</v>
      </c>
      <c r="K6" s="16">
        <f t="shared" si="2"/>
        <v>6939.81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9793.7800000000007</v>
      </c>
      <c r="AZ6" s="16" t="s">
        <v>3</v>
      </c>
      <c r="BA6" s="16">
        <f>ROUND($AY$6*BA5/$AZ$5,2)</f>
        <v>9793.7800000000007</v>
      </c>
      <c r="BB6" s="16">
        <f>ROUND($AY$6*BB5/$AZ$5,2)</f>
        <v>2853.97</v>
      </c>
      <c r="BC6" s="16">
        <f t="shared" ref="BC6:BH6" si="4">ROUND($AY$6*BC5/$AZ$5,2)</f>
        <v>6939.81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6">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1894</v>
      </c>
      <c r="I9" s="2191" t="s">
        <v>3060</v>
      </c>
      <c r="J9" s="981"/>
      <c r="K9" s="2191" t="s">
        <v>3062</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
      <c r="A10" s="2182"/>
      <c r="B10" s="2182"/>
      <c r="C10" s="2182"/>
      <c r="D10" s="2182"/>
      <c r="E10" s="2182"/>
      <c r="F10" s="2182"/>
      <c r="G10" s="1292"/>
      <c r="H10" s="28"/>
      <c r="I10" s="2191" t="s">
        <v>1372</v>
      </c>
      <c r="J10" s="981"/>
      <c r="K10" s="2197" t="s">
        <v>3063</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t="s">
        <v>3061</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车库</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5">
      <c r="A13" s="1272"/>
      <c r="B13" s="1272"/>
      <c r="C13" s="1272"/>
      <c r="D13" s="2213" t="s">
        <v>3059</v>
      </c>
      <c r="E13" s="16">
        <f>IF($C$3="是",ROUND($A$3*G13/$B$3,2),ROUND($A$3*(G13-AT13)/$B$3,2))</f>
        <v>9793.7800000000007</v>
      </c>
      <c r="F13" s="32"/>
      <c r="G13" s="33">
        <f>H13+AC13+AT13</f>
        <v>56816.98</v>
      </c>
      <c r="H13" s="20">
        <f>SUMIF(I$12:AB$12,"总值",I13:AB13)</f>
        <v>56816.98</v>
      </c>
      <c r="I13" s="2214">
        <v>16556.82</v>
      </c>
      <c r="J13" s="2214"/>
      <c r="K13" s="2214">
        <v>40260.160000000003</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9793.7800000000007</v>
      </c>
      <c r="AZ13" s="16">
        <f>BA13+BL13</f>
        <v>56816.98</v>
      </c>
      <c r="BA13" s="16">
        <f>SUM(BB13:BK13)</f>
        <v>56816.98</v>
      </c>
      <c r="BB13" s="16">
        <f>IF($D13="是",I13-J13,0)</f>
        <v>16556.82</v>
      </c>
      <c r="BC13" s="16">
        <f>IF($D13="是",K13-L13,0)</f>
        <v>40260.160000000003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45">
      <c r="A3" s="3049"/>
      <c r="B3" s="3049"/>
      <c r="C3" s="3049"/>
      <c r="D3" s="3050"/>
      <c r="E3" s="305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1796875" defaultRowHeight="14"/>
  <cols>
    <col min="1" max="1" width="12.08984375" style="2226" customWidth="1"/>
    <col min="2" max="2" width="10.179687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1796875" style="2226"/>
  </cols>
  <sheetData>
    <row r="1" spans="1:16" ht="18">
      <c r="A1" s="2225" t="s">
        <v>1933</v>
      </c>
      <c r="B1" s="1392"/>
      <c r="C1" s="1392"/>
      <c r="D1" s="1392"/>
      <c r="E1" s="1392"/>
      <c r="F1" s="1392"/>
      <c r="G1" s="1392"/>
      <c r="H1" s="1392"/>
      <c r="I1" s="1392"/>
      <c r="J1" s="1392"/>
      <c r="K1" s="1392"/>
      <c r="L1" s="1392"/>
      <c r="M1" s="1392"/>
      <c r="N1" s="1392"/>
      <c r="O1" s="1392"/>
      <c r="P1" s="1392"/>
    </row>
    <row r="2" spans="1:16">
      <c r="A2" s="3060" t="s">
        <v>1934</v>
      </c>
      <c r="B2" s="3060"/>
      <c r="C2" s="3060"/>
      <c r="D2" s="967" t="s">
        <v>1910</v>
      </c>
      <c r="E2" s="2227" t="s">
        <v>1911</v>
      </c>
      <c r="F2" s="1392"/>
      <c r="G2" s="2228"/>
      <c r="H2" s="2229"/>
      <c r="I2" s="2230" t="s">
        <v>1935</v>
      </c>
      <c r="J2" s="1392"/>
      <c r="K2" s="1392"/>
      <c r="L2" s="1392"/>
      <c r="M2" s="1392"/>
      <c r="N2" s="1427"/>
      <c r="O2" s="1392"/>
      <c r="P2" s="1392"/>
    </row>
    <row r="3" spans="1:16" ht="14.5" thickBot="1">
      <c r="A3" s="3061" t="s">
        <v>1908</v>
      </c>
      <c r="B3" s="3061"/>
      <c r="C3" s="3061"/>
      <c r="D3" s="46">
        <f>'数据-基础表'!AY6</f>
        <v>9793.7800000000007</v>
      </c>
      <c r="E3" s="46">
        <f>'数据-基础表'!AZ5</f>
        <v>56816.98</v>
      </c>
      <c r="F3" s="1392"/>
      <c r="G3" s="1399"/>
      <c r="H3" s="1247" t="s">
        <v>1909</v>
      </c>
      <c r="I3" s="55">
        <f>ROUND('数据-基础表'!B3/'数据-基础表'!A3,2)</f>
        <v>5.8</v>
      </c>
      <c r="J3" s="1392"/>
      <c r="K3" s="1392"/>
      <c r="L3" s="1392"/>
      <c r="M3" s="1392"/>
      <c r="N3" s="1427"/>
      <c r="O3" s="1392"/>
      <c r="P3" s="1392"/>
    </row>
    <row r="4" spans="1:16">
      <c r="A4" s="3062"/>
      <c r="B4" s="3063"/>
      <c r="C4" s="3064"/>
      <c r="D4" s="2231" t="s">
        <v>1910</v>
      </c>
      <c r="E4" s="2232" t="s">
        <v>1911</v>
      </c>
      <c r="F4" s="1392"/>
      <c r="G4" s="2233" t="s">
        <v>1936</v>
      </c>
      <c r="H4" s="1247" t="s">
        <v>1916</v>
      </c>
      <c r="I4" s="55">
        <f>ROUND(SUMIF('数据-基础表'!I9:AS9,"地上",'数据-基础表'!I5:AS5)/'数据-基础表'!A3,2)</f>
        <v>1.69</v>
      </c>
      <c r="J4" s="1392"/>
      <c r="K4" s="1392"/>
      <c r="L4" s="1392"/>
      <c r="M4" s="1392"/>
      <c r="N4" s="1427"/>
      <c r="O4" s="1392"/>
      <c r="P4" s="1392"/>
    </row>
    <row r="5" spans="1:16">
      <c r="A5" s="47" t="s">
        <v>1912</v>
      </c>
      <c r="B5" s="3065" t="s">
        <v>1913</v>
      </c>
      <c r="C5" s="3065"/>
      <c r="D5" s="48">
        <f>ROUND($D$3*E5/$E$3,2)</f>
        <v>0</v>
      </c>
      <c r="E5" s="49">
        <f>SUMIF('数据-基础表'!$11:$11,"住宅",'数据-基础表'!$5:$5)</f>
        <v>0</v>
      </c>
      <c r="F5" s="1392"/>
      <c r="G5" s="1399"/>
      <c r="H5" s="1247" t="s">
        <v>1909</v>
      </c>
      <c r="I5" s="55">
        <f>ROUND(E31/D31,2)</f>
        <v>5.8</v>
      </c>
      <c r="J5" s="1392"/>
      <c r="K5" s="1392"/>
      <c r="L5" s="1392"/>
      <c r="M5" s="1392"/>
      <c r="N5" s="1392"/>
      <c r="O5" s="1392"/>
      <c r="P5" s="1392"/>
    </row>
    <row r="6" spans="1:16" ht="14.5" thickBot="1">
      <c r="A6" s="2234"/>
      <c r="B6" s="3065" t="s">
        <v>1914</v>
      </c>
      <c r="C6" s="3065"/>
      <c r="D6" s="48">
        <f>ROUND($D$3*E6/$E$3,2)</f>
        <v>9793.7800000000007</v>
      </c>
      <c r="E6" s="49">
        <f>E3-E5</f>
        <v>56816.98</v>
      </c>
      <c r="F6" s="1392"/>
      <c r="G6" s="2235" t="s">
        <v>1915</v>
      </c>
      <c r="H6" s="1399" t="s">
        <v>1916</v>
      </c>
      <c r="I6" s="939">
        <f>ROUND(F31/D31,2)</f>
        <v>1.69</v>
      </c>
      <c r="J6" s="1392"/>
      <c r="K6" s="1392"/>
      <c r="L6" s="1392"/>
      <c r="M6" s="1392"/>
      <c r="N6" s="1392"/>
      <c r="O6" s="1392"/>
      <c r="P6" s="1392"/>
    </row>
    <row r="7" spans="1:16">
      <c r="A7" s="3057"/>
      <c r="B7" s="3058"/>
      <c r="C7" s="3059"/>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2853.97</v>
      </c>
      <c r="E8" s="51">
        <f>SUMIF('数据-基础表'!BB10:BK10,"地上",'数据-基础表'!BB5:BK5)</f>
        <v>16556.82</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6939.81</v>
      </c>
      <c r="E13" s="51">
        <f>SUMPRODUCT(('数据-基础表'!BB10:BK10="地下")*('数据-基础表'!BB11:BK11="车库")*('数据-基础表'!BB5:BK5))</f>
        <v>40260.160000000003</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1926</v>
      </c>
      <c r="D16" s="50">
        <f>SUM(D8:D15)</f>
        <v>9793.7800000000007</v>
      </c>
      <c r="E16" s="53">
        <f>SUM(E8:E15)</f>
        <v>56816.98</v>
      </c>
      <c r="F16" s="1392"/>
      <c r="G16" s="2237"/>
      <c r="H16" s="2240" t="s">
        <v>1938</v>
      </c>
      <c r="I16" s="2241"/>
      <c r="J16" s="1392"/>
      <c r="K16" s="3054" t="s">
        <v>1938</v>
      </c>
      <c r="L16" s="3055"/>
      <c r="M16" s="3055"/>
      <c r="N16" s="3055"/>
      <c r="O16" s="3055"/>
      <c r="P16" s="3056"/>
    </row>
    <row r="17" spans="1:19">
      <c r="A17" s="2242" t="s">
        <v>1939</v>
      </c>
      <c r="B17" s="2243" t="s">
        <v>1940</v>
      </c>
      <c r="C17" s="2244" t="s">
        <v>1941</v>
      </c>
      <c r="D17" s="2245" t="s">
        <v>1929</v>
      </c>
      <c r="E17" s="2246" t="s">
        <v>1930</v>
      </c>
      <c r="F17" s="2247"/>
      <c r="G17" s="2248"/>
      <c r="H17" s="2249" t="s">
        <v>1942</v>
      </c>
      <c r="I17" s="2250" t="s">
        <v>1927</v>
      </c>
      <c r="J17" s="1392"/>
      <c r="K17" s="3051" t="s">
        <v>1943</v>
      </c>
      <c r="L17" s="3052"/>
      <c r="M17" s="3053"/>
      <c r="N17" s="3051" t="s">
        <v>1944</v>
      </c>
      <c r="O17" s="3052"/>
      <c r="P17" s="3053"/>
      <c r="R17" s="2228" t="s">
        <v>1945</v>
      </c>
      <c r="S17" s="64"/>
    </row>
    <row r="18" spans="1:19">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3304" t="s">
        <v>3064</v>
      </c>
      <c r="D19" s="48">
        <f>ROUND($D$3*E19/$E$3,2)</f>
        <v>2853.97</v>
      </c>
      <c r="E19" s="56">
        <f t="shared" ref="E19:E26" si="1">SUM(F19:G19)</f>
        <v>16556.82</v>
      </c>
      <c r="F19" s="57">
        <f>'数据-基础表'!I13</f>
        <v>16556.82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2853.97</v>
      </c>
      <c r="S19" s="1248">
        <f t="shared" si="5"/>
        <v>16556.82</v>
      </c>
    </row>
    <row r="20" spans="1:19">
      <c r="A20" s="2263"/>
      <c r="B20" s="50" t="s">
        <v>1956</v>
      </c>
      <c r="C20" s="3304" t="s">
        <v>3065</v>
      </c>
      <c r="D20" s="48">
        <f t="shared" ref="D20:D26" si="6">ROUND($D$3*E20/$E$3,2)</f>
        <v>6939.81</v>
      </c>
      <c r="E20" s="56">
        <f t="shared" si="1"/>
        <v>40260.160000000003</v>
      </c>
      <c r="F20" s="57"/>
      <c r="G20" s="58">
        <f>'数据-基础表'!K13</f>
        <v>40260.160000000003</v>
      </c>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6939.81</v>
      </c>
      <c r="S20" s="1248">
        <f t="shared" si="5"/>
        <v>40260.160000000003</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1957</v>
      </c>
      <c r="D27" s="1393">
        <f>SUM(D19:D26)</f>
        <v>9793.7800000000007</v>
      </c>
      <c r="E27" s="1394">
        <f>IF(SUM(E19:E26)='数据-基础表'!BA5,SUM(E19:E26),IF(F27="地上面积有误","面积有误","地下面积有误"))</f>
        <v>56816.98</v>
      </c>
      <c r="F27" s="1393">
        <f>IF(SUM(F19:F26)=E8,SUM(F19:F26),"地上面积有误")</f>
        <v>16556.82</v>
      </c>
      <c r="G27" s="1395">
        <f>SUM(G19:G26)</f>
        <v>40260.160000000003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9793.7800000000007</v>
      </c>
      <c r="S27" s="1247">
        <f>IF(SUM(S19:S26)=$E$3,SUM(S19:S26),SUM(S19:S26)&amp;"误差"&amp;ROUND(SUM(S19:S26)-E3,2))</f>
        <v>56816.98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9"/>
      <c r="B31" s="2270"/>
      <c r="C31" s="1007" t="s">
        <v>1961</v>
      </c>
      <c r="D31" s="729">
        <f>D27+D30</f>
        <v>9793.7800000000007</v>
      </c>
      <c r="E31" s="729">
        <f>E27+E30</f>
        <v>56816.98</v>
      </c>
      <c r="F31" s="730">
        <f>F27+F30</f>
        <v>16556.82</v>
      </c>
      <c r="G31" s="731">
        <f>G27+G30</f>
        <v>40260.160000000003</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8" sqref="U8"/>
    </sheetView>
  </sheetViews>
  <sheetFormatPr defaultColWidth="13.81640625" defaultRowHeight="12.5"/>
  <cols>
    <col min="1" max="1" width="20.90625" style="2345" customWidth="1"/>
    <col min="2" max="2" width="12" style="2275" customWidth="1"/>
    <col min="3" max="3" width="10.81640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0" width="12.08984375" style="2275" customWidth="1"/>
    <col min="21" max="21" width="7.453125" style="2275" customWidth="1"/>
    <col min="22" max="22" width="6.36328125" style="2275" customWidth="1"/>
    <col min="23" max="30" width="6.81640625" style="2275" customWidth="1"/>
    <col min="31" max="31" width="8" style="2275" customWidth="1"/>
    <col min="32" max="34" width="7.1796875" style="2275" customWidth="1"/>
    <col min="35" max="39" width="8" style="2275" customWidth="1"/>
    <col min="40" max="40" width="13.81640625" style="2274"/>
    <col min="41" max="41" width="11.6328125" style="2274" customWidth="1"/>
    <col min="42" max="42" width="9.81640625" style="2274" customWidth="1"/>
    <col min="43" max="67" width="13.81640625" style="2274"/>
    <col min="68" max="16384" width="13.81640625" style="2275"/>
  </cols>
  <sheetData>
    <row r="1" spans="1:67" ht="18"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1964</v>
      </c>
      <c r="B2" s="1266">
        <f>项目基本情况!D3</f>
        <v>43900</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办公</v>
      </c>
      <c r="B6" s="2307" t="str">
        <f>IF(A6=0,"","经营性")</f>
        <v>经营性</v>
      </c>
      <c r="C6" s="2308" t="s">
        <v>1372</v>
      </c>
      <c r="D6" s="1051">
        <f>SUMIF(项目基本情况!D$12:I$12,C6,项目基本情况!D$14:I$14)</f>
        <v>40</v>
      </c>
      <c r="E6" s="1048">
        <f>IF(B6="","",SUMIF(项目基本情况!D$12:I$12,C6,项目基本情况!D$13:I$13))</f>
        <v>55383</v>
      </c>
      <c r="F6" s="72">
        <f>SUMIF(项目基本情况!D$12:I$12,C6,项目基本情况!D$15:I$15)</f>
        <v>31.46</v>
      </c>
      <c r="G6" s="73">
        <f>IF(ISERROR(ROUND(POWER(1+H6,D6-F6)*(POWER(1+H6,F6)-1)/(POWER(1+H6,D6)-1),3)),0,ROUND(POWER(1+H6,D6-F6)*(POWER(1+H6,F6)-1)/(POWER(1+H6,D6)-1),3))</f>
        <v>0.91400000000000003</v>
      </c>
      <c r="H6" s="802">
        <v>0.05</v>
      </c>
      <c r="I6" s="802">
        <v>5.5E-2</v>
      </c>
      <c r="J6" s="74">
        <v>8.5000000000000006E-2</v>
      </c>
      <c r="K6" s="1251">
        <f>SUMIF('数据-汇总表'!C$19:C$33,A6,'数据-汇总表'!E$19:E$33)</f>
        <v>16556.82</v>
      </c>
      <c r="L6" s="803">
        <v>2500</v>
      </c>
      <c r="M6" s="75">
        <f t="shared" ref="M6:M14" si="0">ROUND(K6*L6/10000,0)</f>
        <v>4139</v>
      </c>
      <c r="N6" s="801">
        <f>ROUND(1-(2020-2014)/60,2)</f>
        <v>0.9</v>
      </c>
      <c r="O6" s="75" t="str">
        <f>IF($N$5="成新度","——",ROUND(M6*N6,0))</f>
        <v>——</v>
      </c>
      <c r="P6" s="76" t="str">
        <f>IF($N$5="成新度","——",M6-O6)</f>
        <v>——</v>
      </c>
      <c r="Q6" s="804">
        <v>0.1</v>
      </c>
      <c r="R6" s="77">
        <f ca="1">SUMIF('数据-汇总表'!C$19:C$33,A6,'数据-汇总表'!R$19:R$27)</f>
        <v>2853.97</v>
      </c>
      <c r="S6" s="54">
        <f>IF('数据-汇总表'!$I$17="按面积比例",SUMIF('数据-汇总表'!C$19:C$33,A6,'数据-汇总表'!K$19:K$33),SUMIF('数据-汇总表'!C$19:C$33,A6,'数据-汇总表'!N$19:N$33))</f>
        <v>0</v>
      </c>
      <c r="T6" s="1443">
        <f>ROUND($L$14*S6/10000,0)</f>
        <v>0</v>
      </c>
      <c r="U6" s="78">
        <v>1</v>
      </c>
      <c r="V6" s="79">
        <v>2.5000000000000001E-2</v>
      </c>
      <c r="W6" s="79">
        <v>0.15</v>
      </c>
      <c r="X6" s="1261"/>
      <c r="Y6" s="80">
        <f>N6</f>
        <v>0.9</v>
      </c>
      <c r="Z6" s="81"/>
      <c r="AA6" s="74"/>
      <c r="AB6" s="74"/>
      <c r="AC6" s="1261"/>
      <c r="AD6" s="82"/>
      <c r="AE6" s="1262">
        <f ca="1">IF(AN6="",0,SUMIF(INDIRECT("'"&amp;AN6&amp;"'"&amp;"!E:E"),$AE$5,INDIRECT("'"&amp;AN6&amp;"'"&amp;"!F:F")))</f>
        <v>31.46</v>
      </c>
      <c r="AF6" s="1804"/>
      <c r="AG6" s="147">
        <f>IF(AF6="",0,AE6-AF6)</f>
        <v>0</v>
      </c>
      <c r="AH6" s="83"/>
      <c r="AI6" s="85">
        <v>365</v>
      </c>
      <c r="AJ6" s="86"/>
      <c r="AK6" s="87">
        <v>0.01</v>
      </c>
      <c r="AL6" s="88">
        <v>1.5E-3</v>
      </c>
      <c r="AM6" s="89">
        <v>1.4999999999999999E-2</v>
      </c>
      <c r="AN6" s="2309" t="s">
        <v>3066</v>
      </c>
      <c r="AO6" s="55">
        <f ca="1">SUMIF(INDIRECT("'"&amp;AN6&amp;"'"&amp;"!A:A"),"总价",INDIRECT("'"&amp;AN6&amp;"'"&amp;"!B:B"))</f>
        <v>7019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t="str">
        <f>'数据-汇总表'!C20</f>
        <v>车库</v>
      </c>
      <c r="B7" s="2307" t="str">
        <f t="shared" ref="B7:B13" si="1">IF(A7=0,"","经营性")</f>
        <v>经营性</v>
      </c>
      <c r="C7" s="2308" t="s">
        <v>1372</v>
      </c>
      <c r="D7" s="1051">
        <f>SUMIF(项目基本情况!D$12:I$12,C7,项目基本情况!D$14:I$14)</f>
        <v>40</v>
      </c>
      <c r="E7" s="1048">
        <f>IF(B7="","",SUMIF(项目基本情况!D$12:I$12,C7,项目基本情况!D$13:I$13))</f>
        <v>55383</v>
      </c>
      <c r="F7" s="72">
        <f>SUMIF(项目基本情况!D$12:I$12,C7,项目基本情况!D$15:I$15)</f>
        <v>31.46</v>
      </c>
      <c r="G7" s="73">
        <f t="shared" ref="G7:G11" si="2">IF(ISERROR(ROUND(POWER(1+H7,D7-F7)*(POWER(1+H7,F7)-1)/(POWER(1+H7,D7)-1),3)),0,ROUND(POWER(1+H7,D7-F7)*(POWER(1+H7,F7)-1)/(POWER(1+H7,D7)-1),3))</f>
        <v>0.90500000000000003</v>
      </c>
      <c r="H7" s="802">
        <v>4.4999999999999998E-2</v>
      </c>
      <c r="I7" s="802">
        <v>0.05</v>
      </c>
      <c r="J7" s="74">
        <v>8.5000000000000006E-2</v>
      </c>
      <c r="K7" s="1251">
        <f>SUMIF('数据-汇总表'!C$19:C$33,A7,'数据-汇总表'!E$19:E$33)</f>
        <v>40260.160000000003</v>
      </c>
      <c r="L7" s="803">
        <v>2000</v>
      </c>
      <c r="M7" s="75">
        <f t="shared" si="0"/>
        <v>8052</v>
      </c>
      <c r="N7" s="801">
        <f>N6</f>
        <v>0.9</v>
      </c>
      <c r="O7" s="75" t="str">
        <f t="shared" ref="O7:O14" si="3">IF($N$5="成新度","——",ROUND(M7*N7,0))</f>
        <v>——</v>
      </c>
      <c r="P7" s="76" t="str">
        <f t="shared" ref="P7:P14" si="4">IF($N$5="成新度","——",M7-O7)</f>
        <v>——</v>
      </c>
      <c r="Q7" s="804">
        <v>0.05</v>
      </c>
      <c r="R7" s="77">
        <f ca="1">SUMIF('数据-汇总表'!C$19:C$33,A7,'数据-汇总表'!R$19:R$27)</f>
        <v>6939.81</v>
      </c>
      <c r="S7" s="54">
        <f>IF('数据-汇总表'!$I$17="按面积比例",SUMIF('数据-汇总表'!C$19:C$33,A7,'数据-汇总表'!K$19:K$33),SUMIF('数据-汇总表'!C$19:C$33,A7,'数据-汇总表'!N$19:N$33))</f>
        <v>0</v>
      </c>
      <c r="T7" s="1443">
        <f t="shared" ref="T7:T13" si="5">ROUND($L$14*S7/10000,0)</f>
        <v>0</v>
      </c>
      <c r="U7" s="78">
        <v>250</v>
      </c>
      <c r="V7" s="79">
        <v>0.02</v>
      </c>
      <c r="W7" s="79">
        <v>0.15</v>
      </c>
      <c r="X7" s="1261"/>
      <c r="Y7" s="80">
        <f>Y6</f>
        <v>0.9</v>
      </c>
      <c r="Z7" s="81"/>
      <c r="AA7" s="74"/>
      <c r="AB7" s="74"/>
      <c r="AC7" s="1261"/>
      <c r="AD7" s="82"/>
      <c r="AE7" s="1262">
        <f t="shared" ref="AE7:AE13" ca="1" si="6">IF(AN7="",0,SUMIF(INDIRECT("'"&amp;AN7&amp;"'"&amp;"!E:E"),$AE$5,INDIRECT("'"&amp;AN7&amp;"'"&amp;"!F:F")))</f>
        <v>31.46</v>
      </c>
      <c r="AF7" s="1804"/>
      <c r="AG7" s="147">
        <f t="shared" ref="AG7:AG13" si="7">IF(AF7="",0,AE7-AF7)</f>
        <v>0</v>
      </c>
      <c r="AH7" s="83">
        <f>ROUNDUP('数据-汇总表'!G20/30,0)</f>
        <v>1343</v>
      </c>
      <c r="AI7" s="85">
        <v>12</v>
      </c>
      <c r="AJ7" s="86"/>
      <c r="AK7" s="87">
        <v>5.0000000000000001E-3</v>
      </c>
      <c r="AL7" s="88">
        <v>1.5E-3</v>
      </c>
      <c r="AM7" s="89">
        <v>1.4999999999999999E-2</v>
      </c>
      <c r="AN7" s="2309" t="s">
        <v>3137</v>
      </c>
      <c r="AO7" s="55">
        <f t="shared" ref="AO7:AO13" ca="1" si="8">SUMIF(INDIRECT("'"&amp;AN7&amp;"'"&amp;"!A:A"),"总价",INDIRECT("'"&amp;AN7&amp;"'"&amp;"!B:B"))</f>
        <v>4088</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0.90800000000000003</v>
      </c>
      <c r="H16" s="99">
        <f>ROUND(SUMPRODUCT(H6:H13,K6:K13)/SUMPRODUCT((H6:H13&gt;0)*(K6:K13)),3)</f>
        <v>4.5999999999999999E-2</v>
      </c>
      <c r="I16" s="100"/>
      <c r="J16" s="100"/>
      <c r="K16" s="101">
        <f>SUM(K6:K15)</f>
        <v>56816.98</v>
      </c>
      <c r="L16" s="102">
        <f>ROUND(M16*10000/SUM(K6:K14),0)</f>
        <v>2146</v>
      </c>
      <c r="M16" s="102">
        <f>SUM(M6:M14)</f>
        <v>12191</v>
      </c>
      <c r="N16" s="103">
        <f>ROUND(SUMPRODUCT(M6:M14,N6:N14)/M16,3)</f>
        <v>0.9</v>
      </c>
      <c r="O16" s="102">
        <f>SUM(O6:O14)</f>
        <v>0</v>
      </c>
      <c r="P16" s="102">
        <f>SUM(P6:P14)</f>
        <v>0</v>
      </c>
      <c r="Q16" s="104">
        <f>ROUND(SUMPRODUCT(Q6:Q13,K6:K13)/SUMPRODUCT((Q6:Q13&gt;0)*(K6:K13)),2)</f>
        <v>0.06</v>
      </c>
      <c r="R16" s="1255">
        <f ca="1">SUM(R6:R13)</f>
        <v>9793.7800000000007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120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f ca="1">成本法!C10</f>
        <v>682</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6</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212</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84">
        <v>6</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81640625" style="2396" customWidth="1"/>
    <col min="10" max="10" width="2.6328125" style="2395" customWidth="1"/>
    <col min="11" max="11" width="11.90625" style="2395" customWidth="1"/>
    <col min="12" max="12" width="16.81640625" style="2396" customWidth="1"/>
    <col min="13" max="13" width="2.6328125" style="2395" customWidth="1"/>
    <col min="14" max="14" width="11.90625" style="2395" customWidth="1"/>
    <col min="15" max="15" width="16.81640625" style="2396" customWidth="1"/>
    <col min="16" max="16" width="2.6328125" style="2395" customWidth="1"/>
    <col min="17" max="17" width="11.90625" style="2395" customWidth="1"/>
    <col min="18" max="18" width="16.81640625" style="2397" customWidth="1"/>
    <col min="19" max="29" width="9" style="2367"/>
    <col min="30" max="16384" width="9" style="2368"/>
  </cols>
  <sheetData>
    <row r="1" spans="1:29" s="2361" customFormat="1" ht="18.5" thickBot="1">
      <c r="A1" s="3066" t="s">
        <v>2079</v>
      </c>
      <c r="B1" s="3067"/>
      <c r="C1" s="3067"/>
      <c r="D1" s="3067"/>
      <c r="E1" s="3067"/>
      <c r="F1" s="3067"/>
      <c r="G1" s="306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15" sqref="B15"/>
    </sheetView>
  </sheetViews>
  <sheetFormatPr defaultColWidth="9" defaultRowHeight="14"/>
  <cols>
    <col min="1" max="1" width="23.36328125" style="1738" customWidth="1"/>
    <col min="2" max="9" width="15.81640625" style="1738" customWidth="1"/>
    <col min="10" max="16384" width="9" style="1738"/>
  </cols>
  <sheetData>
    <row r="1" spans="1:10" ht="16.5">
      <c r="A1" s="1743" t="s">
        <v>1360</v>
      </c>
      <c r="B1" s="1743">
        <f>SUM(B14:B23)</f>
        <v>56816.98</v>
      </c>
      <c r="C1" s="1742"/>
      <c r="D1" s="1742"/>
      <c r="E1" s="1742"/>
      <c r="F1" s="1742"/>
      <c r="G1" s="1740"/>
    </row>
    <row r="2" spans="1:10" ht="16.5">
      <c r="A2" s="1743" t="s">
        <v>1348</v>
      </c>
      <c r="B2" s="1743">
        <f>SUM(C14:C23)</f>
        <v>9793.7800000000007</v>
      </c>
      <c r="C2" s="1742"/>
      <c r="D2" s="1742"/>
      <c r="E2" s="1742"/>
      <c r="F2" s="1742"/>
      <c r="G2" s="1740"/>
    </row>
    <row r="3" spans="1:10" ht="16.5">
      <c r="A3" s="1743" t="s">
        <v>1357</v>
      </c>
      <c r="B3" s="1744">
        <f>项目基本情况!D3</f>
        <v>43900</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11428</v>
      </c>
      <c r="C5" s="1743">
        <f ca="1">ROUND(B5*10000/$B$1,0)</f>
        <v>2011</v>
      </c>
      <c r="D5" s="1743">
        <f ca="1">ROUND(B5*10000/$B$2,0)</f>
        <v>11669</v>
      </c>
      <c r="E5" s="1742"/>
      <c r="F5" s="1740"/>
      <c r="G5" s="1740"/>
    </row>
    <row r="6" spans="1:10" ht="16.5">
      <c r="A6" s="1743" t="s">
        <v>1351</v>
      </c>
      <c r="B6" s="1743">
        <f ca="1">SUM(G14:G23)</f>
        <v>11428</v>
      </c>
      <c r="C6" s="1743">
        <f ca="1">ROUND(B6*10000/$B$1,0)</f>
        <v>2011</v>
      </c>
      <c r="D6" s="1743">
        <f ca="1">ROUND(B6*10000/$B$2,0)</f>
        <v>11669</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16556.82</v>
      </c>
      <c r="C14" s="1741">
        <f>结果表!C118</f>
        <v>2853.97</v>
      </c>
      <c r="D14" s="1741">
        <f ca="1">结果表!H118</f>
        <v>7340</v>
      </c>
      <c r="E14" s="1741">
        <f ca="1">ROUND(D14*10000/B14,0)</f>
        <v>4433</v>
      </c>
      <c r="F14" s="1741">
        <f ca="1">ROUND(D14*10000/C14,0)</f>
        <v>25719</v>
      </c>
      <c r="G14" s="1741">
        <f ca="1">结果表!D122</f>
        <v>7340</v>
      </c>
      <c r="H14" s="1741" t="str">
        <f>结果表!D124</f>
        <v>——</v>
      </c>
      <c r="I14" s="1741" t="str">
        <f>结果表!D126</f>
        <v>——</v>
      </c>
      <c r="J14" s="1740"/>
    </row>
    <row r="15" spans="1:10" ht="16.5">
      <c r="A15" s="1739" t="s">
        <v>1344</v>
      </c>
      <c r="B15" s="1746">
        <f>'结果表 (2)'!B118</f>
        <v>40260.160000000003</v>
      </c>
      <c r="C15" s="1746">
        <f>'结果表 (2)'!C118</f>
        <v>6939.81</v>
      </c>
      <c r="D15" s="1746">
        <f ca="1">'结果表 (2)'!H118</f>
        <v>4088</v>
      </c>
      <c r="E15" s="1741">
        <f t="shared" ref="E15:E23" ca="1" si="0">ROUND(D15*10000/B15,0)</f>
        <v>1015</v>
      </c>
      <c r="F15" s="1741">
        <f t="shared" ref="F15:F23" ca="1" si="1">ROUND(D15*10000/C15,0)</f>
        <v>5891</v>
      </c>
      <c r="G15" s="1747">
        <f ca="1">D15</f>
        <v>4088</v>
      </c>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7B66-B522-4C28-B69C-B992B0815E71}">
  <sheetPr>
    <tabColor rgb="FFFF0000"/>
  </sheetPr>
  <dimension ref="A1:AI512"/>
  <sheetViews>
    <sheetView view="pageBreakPreview" topLeftCell="A13" zoomScaleNormal="100" zoomScaleSheetLayoutView="100" zoomScalePageLayoutView="80" workbookViewId="0">
      <selection activeCell="K15" sqref="K15"/>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t="s">
        <v>3063</v>
      </c>
      <c r="D1" s="2418"/>
      <c r="E1" s="2418"/>
      <c r="F1" s="2420" t="s">
        <v>2117</v>
      </c>
      <c r="G1" s="2070" t="s">
        <v>3073</v>
      </c>
      <c r="H1" s="2421" t="str">
        <f>IF(G1="现房","——","估价对象范围")</f>
        <v>——</v>
      </c>
      <c r="I1" s="2422" t="s">
        <v>3074</v>
      </c>
    </row>
    <row r="2" spans="1:12" ht="21.75" customHeight="1" thickBot="1">
      <c r="A2" s="3101" t="str">
        <f>项目基本情况!S2</f>
        <v>房地产</v>
      </c>
      <c r="B2" s="3102"/>
      <c r="C2" s="3102"/>
      <c r="D2" s="3102"/>
      <c r="E2" s="3102"/>
      <c r="F2" s="3102"/>
      <c r="G2" s="3102"/>
      <c r="H2" s="3102"/>
      <c r="I2" s="3103"/>
    </row>
    <row r="3" spans="1:12" ht="13">
      <c r="A3" s="3105" t="s">
        <v>2118</v>
      </c>
      <c r="B3" s="3106"/>
      <c r="C3" s="3106"/>
      <c r="D3" s="3106"/>
      <c r="E3" s="3106"/>
      <c r="F3" s="3106"/>
      <c r="G3" s="3106"/>
      <c r="H3" s="3106"/>
      <c r="I3" s="3106"/>
    </row>
    <row r="4" spans="1:12" ht="14">
      <c r="A4" s="2425" t="s">
        <v>2119</v>
      </c>
      <c r="B4" s="2426" t="s">
        <v>2120</v>
      </c>
      <c r="C4" s="2427" t="s">
        <v>3137</v>
      </c>
      <c r="D4" s="2427" t="s">
        <v>3137</v>
      </c>
      <c r="E4" s="3098" t="s">
        <v>2121</v>
      </c>
      <c r="F4" s="3099"/>
      <c r="G4" s="3099"/>
      <c r="H4" s="3099"/>
      <c r="I4" s="3107"/>
      <c r="K4" s="2428" t="str">
        <f>IF(ISNUMBER(FIND("比较法",'结果表 (2)'!C4)),"比较法",IF(ISNUMBER(FIND("成本法",'结果表 (2)'!C4)),"成本法",IF(ISNUMBER(FIND("假设开发法",'结果表 (2)'!C4)),"假设开发法",IF(ISNUMBER(FIND("收益法",'结果表 (2)'!C4)),"收益法","基准地价系数修正法"))))</f>
        <v>收益法</v>
      </c>
      <c r="L4" s="2428" t="str">
        <f>IF(ISNUMBER(FIND("比较法",'结果表 (2)'!D4)),"比较法",IF(ISNUMBER(FIND("成本法",'结果表 (2)'!D4)),"成本法",IF(ISNUMBER(FIND("假设开发法",'结果表 (2)'!D4)),"假设开发法",IF(ISNUMBER(FIND("收益法",'结果表 (2)'!D4)),"收益法","基准地价系数修正法"))))</f>
        <v>收益法</v>
      </c>
    </row>
    <row r="5" spans="1:12" ht="13">
      <c r="A5" s="3081" t="s">
        <v>2122</v>
      </c>
      <c r="B5" s="3019">
        <v>25</v>
      </c>
      <c r="C5" s="3084"/>
      <c r="D5" s="3104"/>
      <c r="E5" s="140" t="s">
        <v>2123</v>
      </c>
      <c r="F5" s="2429"/>
      <c r="G5" s="2429"/>
      <c r="H5" s="2429"/>
      <c r="I5" s="1831"/>
    </row>
    <row r="6" spans="1:12" ht="13">
      <c r="A6" s="3081"/>
      <c r="B6" s="3019"/>
      <c r="C6" s="3085"/>
      <c r="D6" s="3104"/>
      <c r="E6" s="140" t="s">
        <v>2124</v>
      </c>
      <c r="F6" s="2429"/>
      <c r="G6" s="2429"/>
      <c r="H6" s="2429"/>
      <c r="I6" s="1831"/>
    </row>
    <row r="7" spans="1:12" ht="13">
      <c r="A7" s="3081"/>
      <c r="B7" s="3019"/>
      <c r="C7" s="3086"/>
      <c r="D7" s="3104"/>
      <c r="E7" s="140" t="s">
        <v>2125</v>
      </c>
      <c r="F7" s="2429"/>
      <c r="G7" s="2429"/>
      <c r="H7" s="2429"/>
      <c r="I7" s="1831"/>
    </row>
    <row r="8" spans="1:12" ht="13">
      <c r="A8" s="3081" t="s">
        <v>2126</v>
      </c>
      <c r="B8" s="3019">
        <v>15</v>
      </c>
      <c r="C8" s="3084"/>
      <c r="D8" s="3104"/>
      <c r="E8" s="140" t="s">
        <v>2127</v>
      </c>
      <c r="F8" s="2429"/>
      <c r="G8" s="2429"/>
      <c r="H8" s="2429"/>
      <c r="I8" s="1831"/>
    </row>
    <row r="9" spans="1:12" ht="13">
      <c r="A9" s="3081"/>
      <c r="B9" s="3019"/>
      <c r="C9" s="3086"/>
      <c r="D9" s="3104"/>
      <c r="E9" s="140" t="s">
        <v>2128</v>
      </c>
      <c r="F9" s="2429"/>
      <c r="G9" s="2429"/>
      <c r="H9" s="2429"/>
      <c r="I9" s="1831"/>
    </row>
    <row r="10" spans="1:12" ht="13">
      <c r="A10" s="3081" t="s">
        <v>2129</v>
      </c>
      <c r="B10" s="3019">
        <v>15</v>
      </c>
      <c r="C10" s="3084"/>
      <c r="D10" s="3104"/>
      <c r="E10" s="140" t="s">
        <v>2130</v>
      </c>
      <c r="F10" s="2429"/>
      <c r="G10" s="2429"/>
      <c r="H10" s="2429"/>
      <c r="I10" s="1831"/>
    </row>
    <row r="11" spans="1:12" ht="13">
      <c r="A11" s="3081"/>
      <c r="B11" s="3019"/>
      <c r="C11" s="3086"/>
      <c r="D11" s="3104"/>
      <c r="E11" s="140" t="s">
        <v>2131</v>
      </c>
      <c r="F11" s="2429"/>
      <c r="G11" s="2429"/>
      <c r="H11" s="2429"/>
      <c r="I11" s="1831"/>
    </row>
    <row r="12" spans="1:12" ht="13">
      <c r="A12" s="3081" t="s">
        <v>2132</v>
      </c>
      <c r="B12" s="3019">
        <v>15</v>
      </c>
      <c r="C12" s="3084"/>
      <c r="D12" s="3104"/>
      <c r="E12" s="140" t="s">
        <v>2133</v>
      </c>
      <c r="F12" s="2429"/>
      <c r="G12" s="2429"/>
      <c r="H12" s="2429"/>
      <c r="I12" s="1831"/>
    </row>
    <row r="13" spans="1:12" ht="13">
      <c r="A13" s="3081"/>
      <c r="B13" s="3019"/>
      <c r="C13" s="3086"/>
      <c r="D13" s="3104"/>
      <c r="E13" s="140" t="s">
        <v>2134</v>
      </c>
      <c r="F13" s="2429"/>
      <c r="G13" s="2429"/>
      <c r="H13" s="2429"/>
      <c r="I13" s="1831"/>
    </row>
    <row r="14" spans="1:12" ht="13">
      <c r="A14" s="3081" t="s">
        <v>2135</v>
      </c>
      <c r="B14" s="3019">
        <v>30</v>
      </c>
      <c r="C14" s="3084">
        <v>5</v>
      </c>
      <c r="D14" s="3104">
        <v>5</v>
      </c>
      <c r="E14" s="140" t="s">
        <v>2136</v>
      </c>
      <c r="F14" s="2429"/>
      <c r="G14" s="2429"/>
      <c r="H14" s="2429"/>
      <c r="I14" s="1831"/>
    </row>
    <row r="15" spans="1:12" ht="13">
      <c r="A15" s="3081"/>
      <c r="B15" s="3019"/>
      <c r="C15" s="3085"/>
      <c r="D15" s="3104"/>
      <c r="E15" s="140" t="s">
        <v>2137</v>
      </c>
      <c r="F15" s="2429"/>
      <c r="G15" s="2429"/>
      <c r="H15" s="2429"/>
      <c r="I15" s="1831"/>
    </row>
    <row r="16" spans="1:12" ht="13">
      <c r="A16" s="3081"/>
      <c r="B16" s="3019"/>
      <c r="C16" s="3086"/>
      <c r="D16" s="3104"/>
      <c r="E16" s="140" t="s">
        <v>2138</v>
      </c>
      <c r="F16" s="2429"/>
      <c r="G16" s="2429"/>
      <c r="H16" s="2429"/>
      <c r="I16" s="1831"/>
    </row>
    <row r="17" spans="1:35" ht="14">
      <c r="A17" s="2430" t="s">
        <v>2139</v>
      </c>
      <c r="B17" s="64"/>
      <c r="C17" s="141">
        <f>SUM(C5:C16)</f>
        <v>5</v>
      </c>
      <c r="D17" s="141">
        <f>SUM(D5:D16)</f>
        <v>5</v>
      </c>
      <c r="E17" s="138"/>
      <c r="F17" s="138"/>
      <c r="G17" s="138"/>
      <c r="H17" s="138"/>
      <c r="I17" s="138"/>
      <c r="K17" s="2428"/>
      <c r="L17" s="2431" t="s">
        <v>2140</v>
      </c>
      <c r="M17" s="2431" t="s">
        <v>2141</v>
      </c>
    </row>
    <row r="18" spans="1:35" ht="14.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40260.160000000003</v>
      </c>
      <c r="M18" s="2428">
        <f>IF(C1="",'数据-汇总表'!E3,SUMIF(项目类型,C1,'数据-汇总表'!E17:E26))</f>
        <v>40260.160000000003</v>
      </c>
    </row>
    <row r="19" spans="1:35" ht="14">
      <c r="A19" s="2434" t="s">
        <v>2144</v>
      </c>
      <c r="B19" s="2435" t="s">
        <v>2145</v>
      </c>
      <c r="C19" s="143">
        <f ca="1">SUMIF(INDIRECT("'"&amp;C4&amp;"'"&amp;"!A:A"),'结果表 (2)'!B19,INDIRECT("'"&amp;C4&amp;"'"&amp;"!B:B"))</f>
        <v>4088</v>
      </c>
      <c r="D19" s="144">
        <f ca="1">SUMIF(INDIRECT("'"&amp;D4&amp;"'"&amp;"!A:A"),'结果表 (2)'!B19,INDIRECT("'"&amp;D4&amp;"'"&amp;"!B:B"))</f>
        <v>4088</v>
      </c>
      <c r="E19" s="2434" t="s">
        <v>2146</v>
      </c>
      <c r="F19" s="2435" t="s">
        <v>2145</v>
      </c>
      <c r="G19" s="145">
        <f ca="1">ROUND(C19*$C$18+D19*$D$18,0)</f>
        <v>4088</v>
      </c>
      <c r="H19" s="2436" t="s">
        <v>2147</v>
      </c>
      <c r="I19" s="138"/>
      <c r="K19" s="2428" t="s">
        <v>2148</v>
      </c>
      <c r="L19" s="2428">
        <f>IF(C1="",'数据-汇总表'!D3,SUMIF(项目类型,C1,'数据-汇总表'!D17:D26)+SUMIF(项目类型,C1,'数据-汇总表'!H17:H27))</f>
        <v>6939.81</v>
      </c>
      <c r="M19" s="2428">
        <f>IF(C1="",'数据-汇总表'!D3,SUMIF(项目类型,C1,'数据-汇总表'!D17:D26))</f>
        <v>6939.81</v>
      </c>
    </row>
    <row r="20" spans="1:35" ht="14">
      <c r="A20" s="2437"/>
      <c r="B20" s="1247" t="s">
        <v>2149</v>
      </c>
      <c r="C20" s="146">
        <f ca="1">SUMIF(INDIRECT("'"&amp;C4&amp;"'"&amp;"!A:A"),'结果表 (2)'!B20,INDIRECT("'"&amp;C4&amp;"'"&amp;"!B:B"))</f>
        <v>1015</v>
      </c>
      <c r="D20" s="147">
        <f ca="1">SUMIF(INDIRECT("'"&amp;D4&amp;"'"&amp;"!A:A"),'结果表 (2)'!B20,INDIRECT("'"&amp;D4&amp;"'"&amp;"!B:B"))</f>
        <v>1015</v>
      </c>
      <c r="E20" s="2437"/>
      <c r="F20" s="1247" t="s">
        <v>2149</v>
      </c>
      <c r="G20" s="148">
        <f ca="1">ROUND(C20*$C$18+D20*$D$18,0)</f>
        <v>1015</v>
      </c>
      <c r="H20" s="980" t="s">
        <v>2150</v>
      </c>
      <c r="I20" s="138"/>
    </row>
    <row r="21" spans="1:35" ht="15" customHeight="1" thickBot="1">
      <c r="A21" s="1000"/>
      <c r="B21" s="2438" t="s">
        <v>2151</v>
      </c>
      <c r="C21" s="789">
        <f ca="1">ROUND(C19*10000/L19,0)</f>
        <v>5891</v>
      </c>
      <c r="D21" s="790">
        <f ca="1">ROUND(D19*10000/L19,0)</f>
        <v>5891</v>
      </c>
      <c r="E21" s="1000"/>
      <c r="F21" s="2438" t="s">
        <v>2151</v>
      </c>
      <c r="G21" s="149">
        <f ca="1">ROUND(G19*10000/L19,0)</f>
        <v>5891</v>
      </c>
      <c r="H21" s="2439" t="s">
        <v>2150</v>
      </c>
      <c r="I21" s="138"/>
    </row>
    <row r="22" spans="1:35" ht="14.5" thickBot="1">
      <c r="A22" s="2281" t="s">
        <v>2152</v>
      </c>
      <c r="B22" s="2440"/>
      <c r="C22" s="2441"/>
      <c r="D22" s="791">
        <f ca="1">IF(C19&lt;D19,D19/C19-1,C19/D19-1)</f>
        <v>0</v>
      </c>
      <c r="E22" s="138"/>
      <c r="F22" s="138"/>
      <c r="G22" s="138"/>
      <c r="H22" s="138"/>
      <c r="I22" s="138"/>
    </row>
    <row r="23" spans="1:35" ht="13" thickBot="1">
      <c r="A23" s="2418"/>
      <c r="B23" s="2418"/>
      <c r="C23" s="2418"/>
      <c r="D23" s="2418"/>
      <c r="E23" s="138"/>
      <c r="F23" s="138"/>
      <c r="G23" s="138"/>
      <c r="H23" s="138"/>
      <c r="I23" s="138"/>
    </row>
    <row r="24" spans="1:35" ht="14">
      <c r="A24" s="3075" t="s">
        <v>2153</v>
      </c>
      <c r="B24" s="2435" t="s">
        <v>2145</v>
      </c>
      <c r="C24" s="145">
        <f>IF(B30=0,0,D30)</f>
        <v>0</v>
      </c>
      <c r="D24" s="2442"/>
      <c r="E24" s="138"/>
      <c r="F24" s="138"/>
      <c r="G24" s="138"/>
      <c r="H24" s="138"/>
      <c r="I24" s="138"/>
    </row>
    <row r="25" spans="1:35" ht="14">
      <c r="A25" s="3076"/>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3035</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4088</v>
      </c>
      <c r="D32" s="2449" t="s">
        <v>2160</v>
      </c>
      <c r="E32" s="138"/>
      <c r="F32" s="138"/>
      <c r="G32" s="138"/>
      <c r="H32" s="138"/>
      <c r="I32" s="138"/>
    </row>
    <row r="33" spans="1:15" ht="14">
      <c r="A33" s="957" t="s">
        <v>2161</v>
      </c>
      <c r="B33" s="2450"/>
      <c r="C33" s="2451"/>
      <c r="D33" s="2452"/>
      <c r="E33" s="2453" t="s">
        <v>2162</v>
      </c>
      <c r="F33" s="2955"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093" t="s">
        <v>2167</v>
      </c>
      <c r="B36" s="2461" t="s">
        <v>2168</v>
      </c>
      <c r="C36" s="154"/>
      <c r="D36" s="2462"/>
      <c r="E36" s="2463"/>
      <c r="F36" s="2464"/>
      <c r="G36" s="138"/>
      <c r="H36" s="138"/>
      <c r="I36" s="138"/>
    </row>
    <row r="37" spans="1:15" ht="14.5" thickBot="1">
      <c r="A37" s="3094"/>
      <c r="B37" s="2267" t="s">
        <v>2169</v>
      </c>
      <c r="C37" s="156"/>
      <c r="D37" s="1392"/>
      <c r="E37" s="1392"/>
      <c r="F37" s="2464"/>
      <c r="G37" s="138"/>
      <c r="H37" s="138"/>
      <c r="I37" s="138"/>
    </row>
    <row r="38" spans="1:15" ht="14.5" thickBot="1">
      <c r="A38" s="3095"/>
      <c r="B38" s="2465" t="s">
        <v>2170</v>
      </c>
      <c r="C38" s="727"/>
      <c r="D38" s="2466" t="s">
        <v>2171</v>
      </c>
      <c r="E38" s="1392"/>
      <c r="F38" s="2464"/>
      <c r="G38" s="138"/>
      <c r="H38" s="138"/>
      <c r="I38" s="138"/>
    </row>
    <row r="39" spans="1:15" ht="14">
      <c r="A39" s="2437" t="s">
        <v>2172</v>
      </c>
      <c r="B39" s="2467" t="s">
        <v>2155</v>
      </c>
      <c r="C39" s="2468" t="s">
        <v>2156</v>
      </c>
      <c r="D39" s="2468" t="s">
        <v>2175</v>
      </c>
      <c r="E39" s="2469" t="s">
        <v>2157</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72" t="s">
        <v>2181</v>
      </c>
      <c r="B45" s="3073"/>
      <c r="C45" s="3074"/>
      <c r="D45" s="164">
        <f ca="1">ROUND(H101*F45,0)</f>
        <v>4088</v>
      </c>
      <c r="E45" s="165" t="s">
        <v>2182</v>
      </c>
      <c r="F45" s="166">
        <v>1</v>
      </c>
      <c r="G45" s="167" t="s">
        <v>2183</v>
      </c>
      <c r="H45" s="138"/>
      <c r="I45" s="138"/>
      <c r="J45" s="3132" t="s">
        <v>2184</v>
      </c>
      <c r="K45" s="3132"/>
      <c r="L45" s="3132"/>
      <c r="M45" s="3132"/>
      <c r="N45" s="3132"/>
      <c r="O45" s="3132"/>
    </row>
    <row r="46" spans="1:15" ht="14.25" customHeight="1">
      <c r="A46" s="3069" t="s">
        <v>2185</v>
      </c>
      <c r="B46" s="3070"/>
      <c r="C46" s="3070"/>
      <c r="D46" s="3070"/>
      <c r="E46" s="3070"/>
      <c r="F46" s="3070"/>
      <c r="G46" s="3071"/>
      <c r="H46" s="2480"/>
      <c r="I46" s="168"/>
      <c r="J46" s="2964">
        <v>1</v>
      </c>
      <c r="K46" s="3132" t="s">
        <v>2186</v>
      </c>
      <c r="L46" s="3132"/>
      <c r="M46" s="3152"/>
      <c r="N46" s="3152"/>
      <c r="O46" s="3152"/>
    </row>
    <row r="47" spans="1:15" ht="12" customHeight="1">
      <c r="A47" s="169" t="s">
        <v>2187</v>
      </c>
      <c r="B47" s="170"/>
      <c r="C47" s="171"/>
      <c r="D47" s="172" t="s">
        <v>2188</v>
      </c>
      <c r="E47" s="24" t="s">
        <v>2189</v>
      </c>
      <c r="F47" s="173" t="s">
        <v>2190</v>
      </c>
      <c r="G47" s="174" t="s">
        <v>2191</v>
      </c>
      <c r="H47" s="2480"/>
      <c r="I47" s="168"/>
      <c r="J47" s="2964">
        <v>2</v>
      </c>
      <c r="K47" s="3132" t="s">
        <v>2192</v>
      </c>
      <c r="L47" s="3132"/>
      <c r="M47" s="3153">
        <f>'数据-取费表'!B2</f>
        <v>43900</v>
      </c>
      <c r="N47" s="3153"/>
      <c r="O47" s="3153"/>
    </row>
    <row r="48" spans="1:15" ht="26">
      <c r="A48" s="3100" t="s">
        <v>2193</v>
      </c>
      <c r="B48" s="3083"/>
      <c r="C48" s="3083"/>
      <c r="D48" s="140">
        <f>IF(H48="情况1",0,IF(H48="情况2",D52,IF(H48="情况3",D53,IF(H48="情况4",D54))))</f>
        <v>0</v>
      </c>
      <c r="E48" s="2973" t="str">
        <f>IF(H48="情况4","(销售额-原购置价)×税（费）率","销售额×税（费）率")</f>
        <v>销售额×税（费）率</v>
      </c>
      <c r="F48" s="175" t="str">
        <f>IF(H48="情况1","免征",'数据-取费表'!B41)</f>
        <v>免征</v>
      </c>
      <c r="G48" s="2481" t="s">
        <v>2194</v>
      </c>
      <c r="H48" s="2482" t="s">
        <v>2195</v>
      </c>
      <c r="I48" s="2480"/>
      <c r="J48" s="2964">
        <v>3</v>
      </c>
      <c r="K48" s="3132" t="s">
        <v>2196</v>
      </c>
      <c r="L48" s="3132"/>
      <c r="M48" s="3154">
        <f ca="1">H101</f>
        <v>4088</v>
      </c>
      <c r="N48" s="3154"/>
      <c r="O48" s="3154"/>
    </row>
    <row r="49" spans="1:35" ht="25.5" customHeight="1">
      <c r="A49" s="176" t="s">
        <v>2197</v>
      </c>
      <c r="B49" s="3068" t="s">
        <v>2198</v>
      </c>
      <c r="C49" s="3068"/>
      <c r="D49" s="177">
        <v>0</v>
      </c>
      <c r="E49" s="23" t="s">
        <v>2199</v>
      </c>
      <c r="F49" s="28" t="s">
        <v>34</v>
      </c>
      <c r="G49" s="3138"/>
      <c r="H49" s="138"/>
      <c r="I49" s="2483"/>
      <c r="J49" s="2964">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2200</v>
      </c>
      <c r="C50" s="3068"/>
      <c r="D50" s="179"/>
      <c r="E50" s="31"/>
      <c r="F50" s="180"/>
      <c r="G50" s="3139"/>
      <c r="H50" s="138"/>
      <c r="I50" s="2483"/>
      <c r="J50" s="3132" t="s">
        <v>2201</v>
      </c>
      <c r="K50" s="3132"/>
      <c r="L50" s="3132"/>
      <c r="M50" s="3132"/>
      <c r="N50" s="3132"/>
      <c r="O50" s="3132"/>
    </row>
    <row r="51" spans="1:35" ht="12" customHeight="1">
      <c r="A51" s="181"/>
      <c r="B51" s="3068" t="s">
        <v>2202</v>
      </c>
      <c r="C51" s="3068"/>
      <c r="D51" s="182"/>
      <c r="E51" s="30"/>
      <c r="F51" s="180"/>
      <c r="G51" s="3140"/>
      <c r="H51" s="138"/>
      <c r="I51" s="2483"/>
      <c r="J51" s="2957" t="s">
        <v>2203</v>
      </c>
      <c r="K51" s="3132" t="s">
        <v>2204</v>
      </c>
      <c r="L51" s="3132"/>
      <c r="M51" s="2957" t="s">
        <v>2205</v>
      </c>
      <c r="N51" s="2957" t="s">
        <v>2206</v>
      </c>
      <c r="O51" s="2957" t="s">
        <v>2207</v>
      </c>
    </row>
    <row r="52" spans="1:35" ht="24" customHeight="1">
      <c r="A52" s="183" t="s">
        <v>2208</v>
      </c>
      <c r="B52" s="3068" t="s">
        <v>2209</v>
      </c>
      <c r="C52" s="3068"/>
      <c r="D52" s="182">
        <f ca="1">ROUND(D45*'数据-取费表'!B41/(1+'数据-取费表'!C42),0)</f>
        <v>214</v>
      </c>
      <c r="E52" s="11" t="s">
        <v>2210</v>
      </c>
      <c r="F52" s="184">
        <f>'数据-取费表'!B41</f>
        <v>5.5000000000000007E-2</v>
      </c>
      <c r="G52" s="2485"/>
      <c r="H52" s="138"/>
      <c r="I52" s="2483"/>
      <c r="J52" s="2964">
        <v>1</v>
      </c>
      <c r="K52" s="3133" t="s">
        <v>2211</v>
      </c>
      <c r="L52" s="3133"/>
      <c r="M52" s="1751">
        <f>D48</f>
        <v>0</v>
      </c>
      <c r="N52" s="2964" t="str">
        <f>E48</f>
        <v>销售额×税（费）率</v>
      </c>
      <c r="O52" s="1752" t="str">
        <f>F48</f>
        <v>免征</v>
      </c>
    </row>
    <row r="53" spans="1:35" ht="12" customHeight="1">
      <c r="A53" s="183" t="s">
        <v>2212</v>
      </c>
      <c r="B53" s="3091" t="s">
        <v>2213</v>
      </c>
      <c r="C53" s="3092"/>
      <c r="D53" s="182">
        <f ca="1">ROUND(D45*'数据-取费表'!B41/(1+'数据-取费表'!C42),0)</f>
        <v>214</v>
      </c>
      <c r="E53" s="11" t="s">
        <v>2210</v>
      </c>
      <c r="F53" s="184">
        <f>'数据-取费表'!B41</f>
        <v>5.5000000000000007E-2</v>
      </c>
      <c r="G53" s="2485"/>
      <c r="H53" s="138"/>
      <c r="I53" s="2483"/>
      <c r="J53" s="2964">
        <v>2</v>
      </c>
      <c r="K53" s="3133" t="s">
        <v>2214</v>
      </c>
      <c r="L53" s="3133"/>
      <c r="M53" s="1751">
        <f t="shared" ref="M53:O54" ca="1" si="0">D55</f>
        <v>2</v>
      </c>
      <c r="N53" s="2964" t="str">
        <f t="shared" si="0"/>
        <v>销售额×税（费）率</v>
      </c>
      <c r="O53" s="1752">
        <f t="shared" si="0"/>
        <v>5.0000000000000001E-4</v>
      </c>
    </row>
    <row r="54" spans="1:35" ht="12" customHeight="1">
      <c r="A54" s="183" t="s">
        <v>2215</v>
      </c>
      <c r="B54" s="3091" t="s">
        <v>2216</v>
      </c>
      <c r="C54" s="3092"/>
      <c r="D54" s="182">
        <f ca="1">C68</f>
        <v>214</v>
      </c>
      <c r="E54" s="30" t="s">
        <v>2217</v>
      </c>
      <c r="F54" s="184">
        <f>'数据-取费表'!B41</f>
        <v>5.5000000000000007E-2</v>
      </c>
      <c r="G54" s="2485"/>
      <c r="H54" s="2486"/>
      <c r="I54" s="2483"/>
      <c r="J54" s="2964">
        <v>3</v>
      </c>
      <c r="K54" s="3133" t="s">
        <v>2218</v>
      </c>
      <c r="L54" s="3133"/>
      <c r="M54" s="1751">
        <f t="shared" ca="1" si="0"/>
        <v>2318</v>
      </c>
      <c r="N54" s="2964" t="str">
        <f t="shared" si="0"/>
        <v>增值额×税（费）率</v>
      </c>
      <c r="O54" s="1753" t="str">
        <f t="shared" si="0"/>
        <v>——</v>
      </c>
    </row>
    <row r="55" spans="1:35" ht="24" customHeight="1">
      <c r="A55" s="3082" t="s">
        <v>2219</v>
      </c>
      <c r="B55" s="3083"/>
      <c r="C55" s="3083"/>
      <c r="D55" s="185">
        <f ca="1">IF(H55="个人住宅",0,ROUND(D45*I55,0))</f>
        <v>2</v>
      </c>
      <c r="E55" s="11" t="s">
        <v>2220</v>
      </c>
      <c r="F55" s="184">
        <f>IF(H55="正常",I55,"免征")</f>
        <v>5.0000000000000001E-4</v>
      </c>
      <c r="G55" s="2485"/>
      <c r="H55" s="2482" t="s">
        <v>2221</v>
      </c>
      <c r="I55" s="186">
        <f>'数据-取费表'!B49</f>
        <v>5.0000000000000001E-4</v>
      </c>
      <c r="J55" s="2964" t="str">
        <f>IF(H59="非个人房产","",4)</f>
        <v/>
      </c>
      <c r="K55" s="3133" t="str">
        <f>IF(H59="非个人房产","——","个人所得税")</f>
        <v>——</v>
      </c>
      <c r="L55" s="3133"/>
      <c r="M55" s="1754" t="str">
        <f>D59</f>
        <v>——</v>
      </c>
      <c r="N55" s="2965" t="str">
        <f>E59</f>
        <v>——</v>
      </c>
      <c r="O55" s="1755" t="str">
        <f>F59</f>
        <v>——</v>
      </c>
    </row>
    <row r="56" spans="1:35" ht="26">
      <c r="A56" s="3082" t="s">
        <v>2222</v>
      </c>
      <c r="B56" s="3083"/>
      <c r="C56" s="3083"/>
      <c r="D56" s="185">
        <f ca="1">IF(H56="个人住宅",D57,D58)</f>
        <v>2318</v>
      </c>
      <c r="E56" s="11" t="s">
        <v>2223</v>
      </c>
      <c r="F56" s="184" t="str">
        <f>IF(H56="正常",F58,"免征")</f>
        <v>——</v>
      </c>
      <c r="G56" s="2487" t="s">
        <v>2224</v>
      </c>
      <c r="H56" s="2488" t="s">
        <v>2221</v>
      </c>
      <c r="I56" s="2489"/>
      <c r="J56" s="2964"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3">
      <c r="A57" s="183" t="s">
        <v>2197</v>
      </c>
      <c r="B57" s="3098" t="s">
        <v>2225</v>
      </c>
      <c r="C57" s="3107"/>
      <c r="D57" s="187">
        <v>0</v>
      </c>
      <c r="E57" s="23" t="s">
        <v>2199</v>
      </c>
      <c r="F57" s="155"/>
      <c r="G57" s="2485"/>
      <c r="H57" s="2489"/>
      <c r="I57" s="2489"/>
      <c r="J57" s="3133">
        <f>IF(AND(J55="",J56=""),4,IF(项目基本情况!K6="上海银行",'结果表 (2)'!J56+1,'结果表 (2)'!J55+1))</f>
        <v>4</v>
      </c>
      <c r="K57" s="3133" t="s">
        <v>2226</v>
      </c>
      <c r="L57" s="2490" t="s">
        <v>2227</v>
      </c>
      <c r="M57" s="1756"/>
      <c r="N57" s="1757">
        <f ca="1">SUMIF(M52:M56,"&lt;9e307")</f>
        <v>2320</v>
      </c>
      <c r="O57" s="2491"/>
      <c r="P57" s="1750" t="e">
        <f ca="1">N57/M49</f>
        <v>#VALUE!</v>
      </c>
    </row>
    <row r="58" spans="1:35" ht="26">
      <c r="A58" s="183" t="s">
        <v>2208</v>
      </c>
      <c r="B58" s="3098" t="s">
        <v>2228</v>
      </c>
      <c r="C58" s="3099"/>
      <c r="D58" s="185">
        <f ca="1">IF(H58="转让取得",C81,C97)</f>
        <v>2318</v>
      </c>
      <c r="E58" s="11" t="s">
        <v>2223</v>
      </c>
      <c r="F58" s="24" t="s">
        <v>34</v>
      </c>
      <c r="G58" s="2485"/>
      <c r="H58" s="2488" t="s">
        <v>2229</v>
      </c>
      <c r="I58" s="2489"/>
      <c r="J58" s="3133"/>
      <c r="K58" s="3133"/>
      <c r="L58" s="2490" t="s">
        <v>2230</v>
      </c>
      <c r="M58" s="1758"/>
      <c r="N58" s="2492" t="str">
        <f ca="1">NUMBERSTRING(INT(N57*10000),2)&amp;"元整"</f>
        <v>贰仟叁佰贰拾万元整</v>
      </c>
      <c r="O58" s="2493"/>
    </row>
    <row r="59" spans="1:35" ht="26.5" thickBot="1">
      <c r="A59" s="3136" t="s">
        <v>2231</v>
      </c>
      <c r="B59" s="3137"/>
      <c r="C59" s="3137"/>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4">
        <f>J57+1</f>
        <v>5</v>
      </c>
      <c r="K59" s="3133" t="s">
        <v>2233</v>
      </c>
      <c r="L59" s="2964" t="s">
        <v>2227</v>
      </c>
      <c r="M59" s="1759"/>
      <c r="N59" s="1760" t="e">
        <f ca="1">M49-N57</f>
        <v>#VALUE!</v>
      </c>
      <c r="O59" s="2495"/>
    </row>
    <row r="60" spans="1:35" ht="12" customHeight="1">
      <c r="A60" s="2496"/>
      <c r="B60" s="2418"/>
      <c r="C60" s="2418"/>
      <c r="D60" s="2418"/>
      <c r="E60" s="2166"/>
      <c r="F60" s="2489"/>
      <c r="G60" s="2489"/>
      <c r="H60" s="2497"/>
      <c r="I60" s="138"/>
      <c r="J60" s="3135"/>
      <c r="K60" s="3133"/>
      <c r="L60" s="2490" t="s">
        <v>2230</v>
      </c>
      <c r="M60" s="1758"/>
      <c r="N60" s="2492" t="e">
        <f ca="1">NUMBERSTRING(INT(N59*10000),2)&amp;"元整"</f>
        <v>#VALUE!</v>
      </c>
      <c r="O60" s="2493"/>
    </row>
    <row r="61" spans="1:35" ht="13.5" thickBot="1">
      <c r="A61" s="3080" t="s">
        <v>2234</v>
      </c>
      <c r="B61" s="3080"/>
      <c r="C61" s="3080"/>
      <c r="D61" s="3080"/>
      <c r="E61" s="3080"/>
      <c r="F61" s="2489"/>
      <c r="G61" s="2489"/>
      <c r="H61" s="2497"/>
      <c r="I61" s="138"/>
      <c r="J61" s="2964">
        <f>J59+1</f>
        <v>6</v>
      </c>
      <c r="K61" s="3133" t="s">
        <v>2235</v>
      </c>
      <c r="L61" s="3133"/>
      <c r="M61" s="1761"/>
      <c r="N61" s="1762" t="e">
        <f ca="1">ROUND(N59*10000/'数据-汇总表'!E3,0)</f>
        <v>#VALUE!</v>
      </c>
      <c r="O61" s="2498"/>
    </row>
    <row r="62" spans="1:35" ht="13">
      <c r="A62" s="3096" t="s">
        <v>2236</v>
      </c>
      <c r="B62" s="3097"/>
      <c r="C62" s="2969"/>
      <c r="D62" s="2969" t="s">
        <v>2237</v>
      </c>
      <c r="E62" s="192" t="s">
        <v>2238</v>
      </c>
      <c r="F62" s="2489"/>
      <c r="G62" s="2489"/>
      <c r="H62" s="2497"/>
      <c r="I62" s="138"/>
    </row>
    <row r="63" spans="1:35" ht="13">
      <c r="A63" s="203" t="s">
        <v>775</v>
      </c>
      <c r="B63" s="193" t="s">
        <v>2239</v>
      </c>
      <c r="C63" s="194">
        <f ca="1">ROUND((C64+C65)/(1+'数据-取费表'!C42),0)</f>
        <v>3893</v>
      </c>
      <c r="D63" s="195"/>
      <c r="E63" s="196"/>
      <c r="F63" s="2489"/>
      <c r="G63" s="2489"/>
      <c r="H63" s="2497"/>
      <c r="I63" s="138"/>
      <c r="J63" s="3158" t="s">
        <v>2240</v>
      </c>
      <c r="K63" s="2960"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4088</v>
      </c>
      <c r="D64" s="200" t="s">
        <v>32</v>
      </c>
      <c r="E64" s="201"/>
      <c r="F64" s="2489"/>
      <c r="G64" s="2489"/>
      <c r="H64" s="2497"/>
      <c r="I64" s="138"/>
      <c r="J64" s="3158"/>
      <c r="K64" s="2960"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58"/>
      <c r="K65" s="2960"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58"/>
      <c r="K66" s="2960" t="s">
        <v>2248</v>
      </c>
      <c r="L66" s="1749" t="e">
        <f>M49*0.5%</f>
        <v>#VALUE!</v>
      </c>
      <c r="M66" s="24" t="e">
        <f>IF(L66&gt;0.5,0.5,ROUND(L66,0))</f>
        <v>#VALUE!</v>
      </c>
      <c r="N66" s="138" t="s">
        <v>2249</v>
      </c>
      <c r="Z66" s="2423"/>
      <c r="AI66" s="2424"/>
    </row>
    <row r="67" spans="1:35" ht="14.25" customHeight="1">
      <c r="A67" s="203" t="s">
        <v>773</v>
      </c>
      <c r="B67" s="204" t="s">
        <v>2250</v>
      </c>
      <c r="C67" s="207">
        <f ca="1">C63-C66</f>
        <v>3893</v>
      </c>
      <c r="D67" s="200" t="s">
        <v>32</v>
      </c>
      <c r="E67" s="201"/>
      <c r="F67" s="2489"/>
      <c r="G67" s="2489"/>
      <c r="H67" s="2497"/>
      <c r="I67" s="138"/>
      <c r="J67" s="3158"/>
      <c r="K67" s="2960"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214</v>
      </c>
      <c r="D68" s="211">
        <f>'数据-取费表'!B41</f>
        <v>5.5000000000000007E-2</v>
      </c>
      <c r="E68" s="212"/>
      <c r="F68" s="2489"/>
      <c r="G68" s="2489"/>
      <c r="H68" s="2497"/>
      <c r="I68" s="138"/>
      <c r="J68" s="3158"/>
      <c r="K68" s="2960"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58"/>
      <c r="K69" s="2960"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17" t="s">
        <v>2255</v>
      </c>
      <c r="B70" s="3118"/>
      <c r="C70" s="3118"/>
      <c r="D70" s="3118"/>
      <c r="E70" s="3118"/>
      <c r="F70" s="3118"/>
      <c r="G70" s="3118"/>
      <c r="H70" s="311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096" t="s">
        <v>2236</v>
      </c>
      <c r="B71" s="3097"/>
      <c r="C71" s="2969"/>
      <c r="D71" s="2969"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3893</v>
      </c>
      <c r="D72" s="200" t="s">
        <v>32</v>
      </c>
      <c r="E72" s="2971"/>
      <c r="F72" s="2970"/>
      <c r="G72" s="2970"/>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19</v>
      </c>
      <c r="D73" s="200" t="s">
        <v>32</v>
      </c>
      <c r="E73" s="2971"/>
      <c r="F73" s="2970"/>
      <c r="G73" s="2970"/>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2971"/>
      <c r="F74" s="2970"/>
      <c r="G74" s="2970"/>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91" t="s">
        <v>2264</v>
      </c>
      <c r="F76" s="3068"/>
      <c r="G76" s="3068"/>
      <c r="H76" s="311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2961" t="s">
        <v>2266</v>
      </c>
      <c r="F77" s="224"/>
      <c r="G77" s="2513" t="s">
        <v>2267</v>
      </c>
      <c r="H77" s="297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19</v>
      </c>
      <c r="D78" s="226">
        <f>'数据-取费表'!B43</f>
        <v>5.000000000000001E-3</v>
      </c>
      <c r="E78" s="3077" t="s">
        <v>2269</v>
      </c>
      <c r="F78" s="3078"/>
      <c r="G78" s="3078"/>
      <c r="H78" s="30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773</v>
      </c>
      <c r="B79" s="204" t="s">
        <v>2270</v>
      </c>
      <c r="C79" s="207">
        <f ca="1">C72-C73</f>
        <v>3874</v>
      </c>
      <c r="D79" s="200" t="s">
        <v>32</v>
      </c>
      <c r="E79" s="2971"/>
      <c r="F79" s="2970"/>
      <c r="G79" s="2970"/>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203.89473684210526</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70"/>
      <c r="G80" s="2970"/>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2318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17" t="s">
        <v>2273</v>
      </c>
      <c r="B83" s="3118"/>
      <c r="C83" s="3118"/>
      <c r="D83" s="3118"/>
      <c r="E83" s="3118"/>
      <c r="F83" s="3118"/>
      <c r="G83" s="3118"/>
      <c r="H83" s="311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096" t="s">
        <v>2236</v>
      </c>
      <c r="B84" s="3097"/>
      <c r="C84" s="2969"/>
      <c r="D84" s="2969"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3893</v>
      </c>
      <c r="D85" s="200" t="s">
        <v>32</v>
      </c>
      <c r="E85" s="2971"/>
      <c r="F85" s="2970"/>
      <c r="G85" s="2970"/>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19</v>
      </c>
      <c r="D86" s="235"/>
      <c r="E86" s="2971"/>
      <c r="F86" s="2970"/>
      <c r="G86" s="2970"/>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2966"/>
      <c r="F87" s="2967"/>
      <c r="G87" s="2967"/>
      <c r="H87" s="296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296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2967"/>
      <c r="G89" s="2967"/>
      <c r="H89" s="296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2967"/>
      <c r="G90" s="2967"/>
      <c r="H90" s="296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77" t="s">
        <v>2282</v>
      </c>
      <c r="F91" s="3078"/>
      <c r="G91" s="3078"/>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77" t="s">
        <v>2286</v>
      </c>
      <c r="F92" s="3078"/>
      <c r="G92" s="3078"/>
      <c r="H92" s="30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19</v>
      </c>
      <c r="D93" s="226">
        <f>'数据-取费表'!B43</f>
        <v>5.000000000000001E-3</v>
      </c>
      <c r="E93" s="3077" t="s">
        <v>2269</v>
      </c>
      <c r="F93" s="3078"/>
      <c r="G93" s="3078"/>
      <c r="H93" s="30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88" t="s">
        <v>2290</v>
      </c>
      <c r="F94" s="3089"/>
      <c r="G94" s="3089"/>
      <c r="H94" s="30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773</v>
      </c>
      <c r="B95" s="204" t="s">
        <v>2270</v>
      </c>
      <c r="C95" s="207">
        <f ca="1">ROUND(C85-C86,0)</f>
        <v>3874</v>
      </c>
      <c r="D95" s="200" t="s">
        <v>32</v>
      </c>
      <c r="E95" s="2971"/>
      <c r="F95" s="2970"/>
      <c r="G95" s="2970"/>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203.89473684210526</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70"/>
      <c r="G96" s="2970"/>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2318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62" t="s">
        <v>2292</v>
      </c>
      <c r="B100" s="3063"/>
      <c r="C100" s="3063"/>
      <c r="D100" s="3079"/>
      <c r="E100" s="3063" t="s">
        <v>2293</v>
      </c>
      <c r="F100" s="3063"/>
      <c r="G100" s="3063"/>
      <c r="H100" s="3079"/>
      <c r="I100" s="138"/>
    </row>
    <row r="101" spans="1:35" ht="18.75" customHeight="1">
      <c r="A101" s="3141" t="s">
        <v>2294</v>
      </c>
      <c r="B101" s="3142"/>
      <c r="C101" s="736" t="str">
        <f>C4</f>
        <v>收益法 (车库)</v>
      </c>
      <c r="D101" s="737" t="str">
        <f>D4</f>
        <v>收益法 (车库)</v>
      </c>
      <c r="E101" s="3155" t="s">
        <v>2295</v>
      </c>
      <c r="F101" s="3109"/>
      <c r="G101" s="2520" t="s">
        <v>2296</v>
      </c>
      <c r="H101" s="1045">
        <f ca="1">H118</f>
        <v>4088</v>
      </c>
      <c r="I101" s="138"/>
    </row>
    <row r="102" spans="1:35" ht="18.75" customHeight="1">
      <c r="A102" s="3111" t="s">
        <v>2297</v>
      </c>
      <c r="B102" s="2520" t="s">
        <v>2296</v>
      </c>
      <c r="C102" s="736">
        <f ca="1">C19</f>
        <v>4088</v>
      </c>
      <c r="D102" s="737">
        <f ca="1">D19</f>
        <v>4088</v>
      </c>
      <c r="E102" s="3155"/>
      <c r="F102" s="3109"/>
      <c r="G102" s="2520" t="s">
        <v>2298</v>
      </c>
      <c r="H102" s="371">
        <f ca="1">I118</f>
        <v>1015</v>
      </c>
      <c r="I102" s="138"/>
    </row>
    <row r="103" spans="1:35" ht="42.75" customHeight="1">
      <c r="A103" s="3111"/>
      <c r="B103" s="2520" t="s">
        <v>2298</v>
      </c>
      <c r="C103" s="738">
        <f ca="1">C20</f>
        <v>1015</v>
      </c>
      <c r="D103" s="739">
        <f ca="1">D20</f>
        <v>1015</v>
      </c>
      <c r="E103" s="3150" t="s">
        <v>2299</v>
      </c>
      <c r="F103" s="3151"/>
      <c r="G103" s="2521" t="s">
        <v>2300</v>
      </c>
      <c r="H103" s="1045">
        <f>IF(D36="正常操作",H104+H105+H106,H105+H106)</f>
        <v>0</v>
      </c>
      <c r="I103" s="138"/>
    </row>
    <row r="104" spans="1:35" ht="18.75" customHeight="1">
      <c r="A104" s="3111" t="s">
        <v>2301</v>
      </c>
      <c r="B104" s="2522" t="s">
        <v>2296</v>
      </c>
      <c r="C104" s="740">
        <f ca="1">H118</f>
        <v>4088</v>
      </c>
      <c r="D104" s="741"/>
      <c r="E104" s="2267" t="s">
        <v>2302</v>
      </c>
      <c r="F104" s="2258"/>
      <c r="G104" s="2521" t="s">
        <v>2300</v>
      </c>
      <c r="H104" s="1046">
        <f>IF(D36="同一抵押权人同一抵押物续贷",C36&amp;"（未扣减，详见特别提示）",C36)</f>
        <v>0</v>
      </c>
      <c r="I104" s="138"/>
    </row>
    <row r="105" spans="1:35" ht="18.75" customHeight="1" thickBot="1">
      <c r="A105" s="3112"/>
      <c r="B105" s="2523" t="s">
        <v>2298</v>
      </c>
      <c r="C105" s="742">
        <f ca="1">I118</f>
        <v>1015</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8" t="str">
        <f>IF(项目基本情况!E8="已注销","——","3.房地产抵押价值")</f>
        <v>3.房地产抵押价值</v>
      </c>
      <c r="F107" s="3109"/>
      <c r="G107" s="2520" t="s">
        <v>2296</v>
      </c>
      <c r="H107" s="1045">
        <f ca="1">IF(E107="——","——",H101-H103)</f>
        <v>4088</v>
      </c>
      <c r="I107" s="138"/>
    </row>
    <row r="108" spans="1:35" ht="18.75" customHeight="1">
      <c r="A108" s="138"/>
      <c r="B108" s="138"/>
      <c r="C108" s="138"/>
      <c r="D108" s="138"/>
      <c r="E108" s="3108"/>
      <c r="F108" s="3109"/>
      <c r="G108" s="2520" t="s">
        <v>2298</v>
      </c>
      <c r="H108" s="371">
        <f ca="1">ROUND(H107*10000/'数据-汇总表'!E3,0)</f>
        <v>720</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20" t="s">
        <v>2296</v>
      </c>
      <c r="H109" s="348" t="str">
        <f>IF(E109="——","——",H101-H105-H106)</f>
        <v>——</v>
      </c>
      <c r="I109" s="138"/>
    </row>
    <row r="110" spans="1:35" ht="18.75" customHeight="1">
      <c r="A110" s="138"/>
      <c r="B110" s="138"/>
      <c r="C110" s="138"/>
      <c r="D110" s="138"/>
      <c r="E110" s="3108"/>
      <c r="F110" s="3109"/>
      <c r="G110" s="2520"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0" t="s">
        <v>2296</v>
      </c>
      <c r="H111" s="1045" t="str">
        <f>IF(E111="——","——",N59)</f>
        <v>——</v>
      </c>
      <c r="I111" s="138"/>
    </row>
    <row r="112" spans="1:35" ht="18.75" customHeight="1" thickBot="1">
      <c r="A112" s="138"/>
      <c r="B112" s="138"/>
      <c r="C112" s="138"/>
      <c r="D112" s="138"/>
      <c r="E112" s="3145"/>
      <c r="F112" s="3146"/>
      <c r="G112" s="2525" t="s">
        <v>2298</v>
      </c>
      <c r="H112" s="790" t="str">
        <f>IF(E111="——","——",N61)</f>
        <v>——</v>
      </c>
      <c r="I112" s="138"/>
    </row>
    <row r="113" spans="1:11" ht="18.75" customHeight="1">
      <c r="A113" s="138"/>
      <c r="B113" s="138"/>
      <c r="C113" s="138"/>
      <c r="D113" s="138"/>
      <c r="E113" s="3113" t="s">
        <v>2304</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2306</v>
      </c>
      <c r="B115" s="3127"/>
      <c r="C115" s="3127"/>
      <c r="D115" s="3127"/>
      <c r="E115" s="3127"/>
      <c r="F115" s="3127"/>
      <c r="G115" s="3127"/>
      <c r="H115" s="3127"/>
      <c r="I115" s="3128"/>
    </row>
    <row r="116" spans="1:11" ht="27" customHeight="1">
      <c r="A116" s="3019" t="s">
        <v>2307</v>
      </c>
      <c r="B116" s="3114" t="s">
        <v>2308</v>
      </c>
      <c r="C116" s="3114" t="s">
        <v>2309</v>
      </c>
      <c r="D116" s="3130" t="s">
        <v>2310</v>
      </c>
      <c r="E116" s="3131"/>
      <c r="F116" s="3122" t="s">
        <v>2311</v>
      </c>
      <c r="G116" s="3122"/>
      <c r="H116" s="3019" t="s">
        <v>2312</v>
      </c>
      <c r="I116" s="3019"/>
    </row>
    <row r="117" spans="1:11" ht="18.75" customHeight="1">
      <c r="A117" s="3019"/>
      <c r="B117" s="3115"/>
      <c r="C117" s="3115"/>
      <c r="D117" s="2956" t="s">
        <v>2313</v>
      </c>
      <c r="E117" s="2956" t="s">
        <v>2314</v>
      </c>
      <c r="F117" s="2956" t="s">
        <v>2313</v>
      </c>
      <c r="G117" s="2956" t="s">
        <v>2315</v>
      </c>
      <c r="H117" s="2956" t="s">
        <v>2313</v>
      </c>
      <c r="I117" s="2956" t="s">
        <v>2315</v>
      </c>
    </row>
    <row r="118" spans="1:11" ht="24.75" customHeight="1">
      <c r="A118" s="2526" t="str">
        <f>项目基本情况!S2</f>
        <v>房地产</v>
      </c>
      <c r="B118" s="2956">
        <f>M18</f>
        <v>40260.160000000003</v>
      </c>
      <c r="C118" s="2956">
        <f>M19</f>
        <v>6939.81</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f ca="1">ROUND(IF(D32="总价",C32,I118*B118/10000),0)</f>
        <v>4088</v>
      </c>
      <c r="I118" s="2956">
        <f ca="1">ROUND(IF(D32="楼面单价",C32,H118*10000/B118),0)</f>
        <v>1015</v>
      </c>
    </row>
    <row r="119" spans="1:11" ht="18.75" customHeight="1">
      <c r="A119" s="3019" t="s">
        <v>2316</v>
      </c>
      <c r="B119" s="3019"/>
      <c r="C119" s="3019"/>
      <c r="D119" s="3119" t="e">
        <f ca="1">NUMBERSTRING(INT(D118*10000),2)&amp;"元整"</f>
        <v>#REF!</v>
      </c>
      <c r="E119" s="3121"/>
      <c r="F119" s="3119" t="e">
        <f ca="1">NUMBERSTRING(INT(F118*10000),2)&amp;"元整"</f>
        <v>#REF!</v>
      </c>
      <c r="G119" s="3121"/>
      <c r="H119" s="3119" t="str">
        <f ca="1">NUMBERSTRING(INT(H118*10000),2)&amp;"元整"</f>
        <v>肆仟零捌拾捌万元整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3" t="str">
        <f>IF(D120=0,"故，本次评估不存在"&amp;A120,"故，本次评估"&amp;A120&amp;"为人民币"&amp;D120&amp;"万元整。")</f>
        <v>故，本次评估不存在估价师知悉的法定优先受偿款</v>
      </c>
    </row>
    <row r="121" spans="1:11" ht="18.75" customHeight="1">
      <c r="A121" s="3123" t="s">
        <v>2316</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4088</v>
      </c>
      <c r="E122" s="3148"/>
      <c r="F122" s="3148"/>
      <c r="G122" s="3148"/>
      <c r="H122" s="3148"/>
      <c r="I122" s="3149"/>
    </row>
    <row r="123" spans="1:11" ht="18.75" customHeight="1">
      <c r="A123" s="3019" t="s">
        <v>2316</v>
      </c>
      <c r="B123" s="3019"/>
      <c r="C123" s="3019"/>
      <c r="D123" s="3119" t="str">
        <f ca="1">NUMBERSTRING(INT(D122*10000),2)&amp;"元整"</f>
        <v>肆仟零捌拾捌万元整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2316</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2316</v>
      </c>
      <c r="B127" s="3019"/>
      <c r="C127" s="3019"/>
      <c r="D127" s="3119" t="e">
        <f>NUMBERSTRING(INT(D126*10000),2)&amp;"元整"</f>
        <v>#VALUE!</v>
      </c>
      <c r="E127" s="3120"/>
      <c r="F127" s="3120"/>
      <c r="G127" s="3120"/>
      <c r="H127" s="3120"/>
      <c r="I127" s="3121"/>
    </row>
    <row r="128" spans="1:11" ht="21.75" customHeight="1">
      <c r="A128" s="3129" t="s">
        <v>2317</v>
      </c>
      <c r="B128" s="3129"/>
      <c r="C128" s="3129"/>
      <c r="D128" s="3129"/>
      <c r="E128" s="3129"/>
      <c r="F128" s="3129"/>
      <c r="G128" s="3129"/>
      <c r="H128" s="3129"/>
      <c r="I128" s="3129"/>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xr:uid="{6FFC6736-AC3F-4A8E-A7B6-76639B93FD92}">
      <formula1>"2.估价师知悉的法定优先受偿款,2.估价师知悉的除抵押担保权以外的法定优先受偿款"</formula1>
    </dataValidation>
    <dataValidation type="list" allowBlank="1" showInputMessage="1" showErrorMessage="1" sqref="G77" xr:uid="{46D430B3-3A27-4AC4-95D5-6772B6C06341}">
      <formula1>"个人住宅,2016年5月1日前购买,2016年5月1日后购买"</formula1>
    </dataValidation>
    <dataValidation type="list" allowBlank="1" showInputMessage="1" showErrorMessage="1" sqref="C1" xr:uid="{C536B7B1-30E7-4BB7-9E78-B6F96C8B26F3}">
      <formula1>项目类型</formula1>
    </dataValidation>
    <dataValidation type="list" allowBlank="1" showInputMessage="1" showErrorMessage="1" sqref="I1" xr:uid="{25C6F8DE-2642-4275-A061-6A87DC66B79D}">
      <formula1>"项目局部,项目全部,——"</formula1>
    </dataValidation>
    <dataValidation type="list" showInputMessage="1" showErrorMessage="1" sqref="G1" xr:uid="{97165A89-0685-40BC-9EAB-32DE9980BD34}">
      <formula1>"现房,在建,土地,-"</formula1>
    </dataValidation>
    <dataValidation type="list" allowBlank="1" showInputMessage="1" showErrorMessage="1" sqref="H59" xr:uid="{F216885F-464D-4873-BA3C-CD723790CD3B}">
      <formula1>"非个人房产,个人住宅,个人非住宅"</formula1>
    </dataValidation>
    <dataValidation type="list" allowBlank="1" showInputMessage="1" showErrorMessage="1" sqref="C129" xr:uid="{F4270FFB-39BA-4E68-A2FA-5F320BB922C0}">
      <formula1>"无,有"</formula1>
    </dataValidation>
    <dataValidation type="list" allowBlank="1" showInputMessage="1" showErrorMessage="1" sqref="F116:G116" xr:uid="{701A5090-12F4-41A7-A11A-5B5AD7999422}">
      <formula1>"建筑物价值,在建建筑物价值,建筑物/在建建筑物价值"</formula1>
    </dataValidation>
    <dataValidation type="list" allowBlank="1" showInputMessage="1" showErrorMessage="1" sqref="D116:E116" xr:uid="{80F49614-B309-474F-9C38-75EF9B73BCD6}">
      <formula1>"出让国有建设用地使用权价值,划拨国有建设用地使用权价值"</formula1>
    </dataValidation>
    <dataValidation type="list" allowBlank="1" showInputMessage="1" showErrorMessage="1" sqref="C116:C117" xr:uid="{737ACD31-39B7-43DB-9CCD-AE9B939A37C1}">
      <formula1>"土地面积,分摊土地面积,（分摊）土地面积"</formula1>
    </dataValidation>
    <dataValidation type="list" allowBlank="1" showInputMessage="1" showErrorMessage="1" sqref="B116:B117" xr:uid="{52F26571-FA52-49B4-BD3F-D581F04C3AA6}">
      <formula1>"建筑面积,规划建筑面积,（规划）建筑面积"</formula1>
    </dataValidation>
    <dataValidation type="list" allowBlank="1" showInputMessage="1" showErrorMessage="1" sqref="D36" xr:uid="{EECC8950-0823-4E54-B8BA-8DA8BFCA8862}">
      <formula1>"同一抵押权人同一抵押物续贷,注销后放款,正常操作"</formula1>
    </dataValidation>
    <dataValidation type="list" allowBlank="1" showInputMessage="1" showErrorMessage="1" sqref="F75" xr:uid="{5506360C-4C5D-47AE-A607-D5F6F471246D}">
      <formula1>"买卖合同,购房发票"</formula1>
    </dataValidation>
    <dataValidation type="list" allowBlank="1" showInputMessage="1" showErrorMessage="1" sqref="H88" xr:uid="{3B4DB7B4-089C-415B-9C2E-E2249F839121}">
      <formula1>"仅含出让金,出让金+开发费"</formula1>
    </dataValidation>
    <dataValidation type="list" allowBlank="1" showInputMessage="1" showErrorMessage="1" sqref="H91" xr:uid="{CA5C743C-8904-4CBB-9ED0-64F38A06E7A9}">
      <formula1>"企业提供（在右侧录入）,——"</formula1>
    </dataValidation>
    <dataValidation type="list" allowBlank="1" showInputMessage="1" showErrorMessage="1" sqref="C33" xr:uid="{1FEB6B64-9388-44A6-8AC3-64F2E376D741}">
      <formula1>"成本比率,收益比率,自定义"</formula1>
    </dataValidation>
    <dataValidation type="list" allowBlank="1" showInputMessage="1" showErrorMessage="1" sqref="F45" xr:uid="{1D869B9E-961D-4600-A7F7-10813B83BDF9}">
      <formula1>"100%,80%,60%,64%"</formula1>
    </dataValidation>
    <dataValidation type="list" allowBlank="1" showInputMessage="1" showErrorMessage="1" sqref="D32" xr:uid="{7954A3CA-19DD-4D42-ADC7-41A4C6A8173B}">
      <formula1>"总价,楼面单价"</formula1>
    </dataValidation>
    <dataValidation type="list" allowBlank="1" showInputMessage="1" showErrorMessage="1" sqref="H58" xr:uid="{840F2CDD-50DB-43C0-9185-9B44A10DBE7C}">
      <formula1>"转让取得,自行开发建设"</formula1>
    </dataValidation>
    <dataValidation type="list" allowBlank="1" showInputMessage="1" showErrorMessage="1" sqref="H48" xr:uid="{E21BA7B8-6C6C-4BE7-AF2B-E894C029E975}">
      <formula1>"情况1,情况2,情况3,情况4"</formula1>
    </dataValidation>
    <dataValidation type="list" allowBlank="1" showInputMessage="1" showErrorMessage="1" sqref="H55:H56" xr:uid="{0132AAB1-3A83-4AB6-8C5C-0AF62DBF8C36}">
      <formula1>"个人住宅,正常"</formula1>
    </dataValidation>
    <dataValidation type="list" allowBlank="1" showInputMessage="1" showErrorMessage="1" sqref="C4:D4 D33" xr:uid="{0DBFA5BE-F294-4C91-BB6A-E1B6B65214E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4" zoomScaleNormal="100" zoomScaleSheetLayoutView="100" zoomScalePageLayoutView="80" workbookViewId="0">
      <selection activeCell="I22" sqref="I22"/>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t="s">
        <v>27</v>
      </c>
      <c r="D1" s="2418"/>
      <c r="E1" s="2418"/>
      <c r="F1" s="2420" t="s">
        <v>2117</v>
      </c>
      <c r="G1" s="2070" t="s">
        <v>3073</v>
      </c>
      <c r="H1" s="2421" t="str">
        <f>IF(G1="现房","——","估价对象范围")</f>
        <v>——</v>
      </c>
      <c r="I1" s="2422" t="s">
        <v>3074</v>
      </c>
    </row>
    <row r="2" spans="1:12" ht="21.75" customHeight="1" thickBot="1">
      <c r="A2" s="3101" t="str">
        <f>项目基本情况!S2</f>
        <v>房地产</v>
      </c>
      <c r="B2" s="3102"/>
      <c r="C2" s="3102"/>
      <c r="D2" s="3102"/>
      <c r="E2" s="3102"/>
      <c r="F2" s="3102"/>
      <c r="G2" s="3102"/>
      <c r="H2" s="3102"/>
      <c r="I2" s="3103"/>
    </row>
    <row r="3" spans="1:12" ht="13">
      <c r="A3" s="3105" t="s">
        <v>2118</v>
      </c>
      <c r="B3" s="3106"/>
      <c r="C3" s="3106"/>
      <c r="D3" s="3106"/>
      <c r="E3" s="3106"/>
      <c r="F3" s="3106"/>
      <c r="G3" s="3106"/>
      <c r="H3" s="3106"/>
      <c r="I3" s="3106"/>
    </row>
    <row r="4" spans="1:12" ht="14">
      <c r="A4" s="2425" t="s">
        <v>2119</v>
      </c>
      <c r="B4" s="2426" t="s">
        <v>2120</v>
      </c>
      <c r="C4" s="2427" t="s">
        <v>3075</v>
      </c>
      <c r="D4" s="2427" t="s">
        <v>3066</v>
      </c>
      <c r="E4" s="3098" t="s">
        <v>2121</v>
      </c>
      <c r="F4" s="3099"/>
      <c r="G4" s="3099"/>
      <c r="H4" s="3099"/>
      <c r="I4" s="3107"/>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3">
      <c r="A5" s="3081" t="s">
        <v>2122</v>
      </c>
      <c r="B5" s="3019">
        <v>25</v>
      </c>
      <c r="C5" s="3084"/>
      <c r="D5" s="3104"/>
      <c r="E5" s="140" t="s">
        <v>2123</v>
      </c>
      <c r="F5" s="2429"/>
      <c r="G5" s="2429"/>
      <c r="H5" s="2429"/>
      <c r="I5" s="1831"/>
    </row>
    <row r="6" spans="1:12" ht="13">
      <c r="A6" s="3081"/>
      <c r="B6" s="3019"/>
      <c r="C6" s="3085"/>
      <c r="D6" s="3104"/>
      <c r="E6" s="140" t="s">
        <v>2124</v>
      </c>
      <c r="F6" s="2429"/>
      <c r="G6" s="2429"/>
      <c r="H6" s="2429"/>
      <c r="I6" s="1831"/>
    </row>
    <row r="7" spans="1:12" ht="13">
      <c r="A7" s="3081"/>
      <c r="B7" s="3019"/>
      <c r="C7" s="3086"/>
      <c r="D7" s="3104"/>
      <c r="E7" s="140" t="s">
        <v>2125</v>
      </c>
      <c r="F7" s="2429"/>
      <c r="G7" s="2429"/>
      <c r="H7" s="2429"/>
      <c r="I7" s="1831"/>
    </row>
    <row r="8" spans="1:12" ht="13">
      <c r="A8" s="3081" t="s">
        <v>2126</v>
      </c>
      <c r="B8" s="3019">
        <v>15</v>
      </c>
      <c r="C8" s="3084"/>
      <c r="D8" s="3104"/>
      <c r="E8" s="140" t="s">
        <v>2127</v>
      </c>
      <c r="F8" s="2429"/>
      <c r="G8" s="2429"/>
      <c r="H8" s="2429"/>
      <c r="I8" s="1831"/>
    </row>
    <row r="9" spans="1:12" ht="13">
      <c r="A9" s="3081"/>
      <c r="B9" s="3019"/>
      <c r="C9" s="3086"/>
      <c r="D9" s="3104"/>
      <c r="E9" s="140" t="s">
        <v>2128</v>
      </c>
      <c r="F9" s="2429"/>
      <c r="G9" s="2429"/>
      <c r="H9" s="2429"/>
      <c r="I9" s="1831"/>
    </row>
    <row r="10" spans="1:12" ht="13">
      <c r="A10" s="3081" t="s">
        <v>2129</v>
      </c>
      <c r="B10" s="3019">
        <v>15</v>
      </c>
      <c r="C10" s="3084"/>
      <c r="D10" s="3104"/>
      <c r="E10" s="140" t="s">
        <v>2130</v>
      </c>
      <c r="F10" s="2429"/>
      <c r="G10" s="2429"/>
      <c r="H10" s="2429"/>
      <c r="I10" s="1831"/>
    </row>
    <row r="11" spans="1:12" ht="13">
      <c r="A11" s="3081"/>
      <c r="B11" s="3019"/>
      <c r="C11" s="3086"/>
      <c r="D11" s="3104"/>
      <c r="E11" s="140" t="s">
        <v>2131</v>
      </c>
      <c r="F11" s="2429"/>
      <c r="G11" s="2429"/>
      <c r="H11" s="2429"/>
      <c r="I11" s="1831"/>
    </row>
    <row r="12" spans="1:12" ht="13">
      <c r="A12" s="3081" t="s">
        <v>2132</v>
      </c>
      <c r="B12" s="3019">
        <v>15</v>
      </c>
      <c r="C12" s="3084"/>
      <c r="D12" s="3104"/>
      <c r="E12" s="140" t="s">
        <v>2133</v>
      </c>
      <c r="F12" s="2429"/>
      <c r="G12" s="2429"/>
      <c r="H12" s="2429"/>
      <c r="I12" s="1831"/>
    </row>
    <row r="13" spans="1:12" ht="13">
      <c r="A13" s="3081"/>
      <c r="B13" s="3019"/>
      <c r="C13" s="3086"/>
      <c r="D13" s="3104"/>
      <c r="E13" s="140" t="s">
        <v>2134</v>
      </c>
      <c r="F13" s="2429"/>
      <c r="G13" s="2429"/>
      <c r="H13" s="2429"/>
      <c r="I13" s="1831"/>
    </row>
    <row r="14" spans="1:12" ht="13">
      <c r="A14" s="3081" t="s">
        <v>2135</v>
      </c>
      <c r="B14" s="3019">
        <v>30</v>
      </c>
      <c r="C14" s="3084">
        <v>5</v>
      </c>
      <c r="D14" s="3104">
        <v>5</v>
      </c>
      <c r="E14" s="140" t="s">
        <v>2136</v>
      </c>
      <c r="F14" s="2429"/>
      <c r="G14" s="2429"/>
      <c r="H14" s="2429"/>
      <c r="I14" s="1831"/>
    </row>
    <row r="15" spans="1:12" ht="13">
      <c r="A15" s="3081"/>
      <c r="B15" s="3019"/>
      <c r="C15" s="3085"/>
      <c r="D15" s="3104"/>
      <c r="E15" s="140" t="s">
        <v>2137</v>
      </c>
      <c r="F15" s="2429"/>
      <c r="G15" s="2429"/>
      <c r="H15" s="2429"/>
      <c r="I15" s="1831"/>
    </row>
    <row r="16" spans="1:12" ht="13">
      <c r="A16" s="3081"/>
      <c r="B16" s="3019"/>
      <c r="C16" s="3086"/>
      <c r="D16" s="3104"/>
      <c r="E16" s="140" t="s">
        <v>2138</v>
      </c>
      <c r="F16" s="2429"/>
      <c r="G16" s="2429"/>
      <c r="H16" s="2429"/>
      <c r="I16" s="1831"/>
    </row>
    <row r="17" spans="1:35" ht="14">
      <c r="A17" s="2430" t="s">
        <v>2139</v>
      </c>
      <c r="B17" s="64"/>
      <c r="C17" s="141">
        <f>SUM(C5:C16)</f>
        <v>5</v>
      </c>
      <c r="D17" s="141">
        <f>SUM(D5:D16)</f>
        <v>5</v>
      </c>
      <c r="E17" s="138"/>
      <c r="F17" s="138"/>
      <c r="G17" s="138"/>
      <c r="H17" s="138"/>
      <c r="I17" s="138"/>
      <c r="K17" s="2428"/>
      <c r="L17" s="2431" t="s">
        <v>2140</v>
      </c>
      <c r="M17" s="2431" t="s">
        <v>2141</v>
      </c>
    </row>
    <row r="18" spans="1:35" ht="14.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16556.82</v>
      </c>
      <c r="M18" s="2428">
        <f>IF(C1="",'数据-汇总表'!E3,SUMIF(项目类型,C1,'数据-汇总表'!E17:E26))</f>
        <v>16556.82</v>
      </c>
    </row>
    <row r="19" spans="1:35" ht="14">
      <c r="A19" s="2434" t="s">
        <v>2144</v>
      </c>
      <c r="B19" s="2435" t="s">
        <v>2145</v>
      </c>
      <c r="C19" s="143">
        <f ca="1">SUMIF(INDIRECT("'"&amp;C4&amp;"'"&amp;"!A:A"),结果表!B19,INDIRECT("'"&amp;C4&amp;"'"&amp;"!B:B"))</f>
        <v>7661</v>
      </c>
      <c r="D19" s="144">
        <f ca="1">SUMIF(INDIRECT("'"&amp;D4&amp;"'"&amp;"!A:A"),结果表!B19,INDIRECT("'"&amp;D4&amp;"'"&amp;"!B:B"))</f>
        <v>7019</v>
      </c>
      <c r="E19" s="2434" t="s">
        <v>2146</v>
      </c>
      <c r="F19" s="2435" t="s">
        <v>2145</v>
      </c>
      <c r="G19" s="145">
        <f ca="1">ROUND(C19*$C$18+D19*$D$18,0)</f>
        <v>7340</v>
      </c>
      <c r="H19" s="2436" t="s">
        <v>2147</v>
      </c>
      <c r="I19" s="138"/>
      <c r="K19" s="2428" t="s">
        <v>2148</v>
      </c>
      <c r="L19" s="2428">
        <f>IF(C1="",'数据-汇总表'!D3,SUMIF(项目类型,C1,'数据-汇总表'!D17:D26)+SUMIF(项目类型,C1,'数据-汇总表'!H17:H27))</f>
        <v>2853.97</v>
      </c>
      <c r="M19" s="2428">
        <f>IF(C1="",'数据-汇总表'!D3,SUMIF(项目类型,C1,'数据-汇总表'!D17:D26))</f>
        <v>2853.97</v>
      </c>
    </row>
    <row r="20" spans="1:35" ht="14">
      <c r="A20" s="2437"/>
      <c r="B20" s="1247" t="s">
        <v>2149</v>
      </c>
      <c r="C20" s="146">
        <f ca="1">SUMIF(INDIRECT("'"&amp;C4&amp;"'"&amp;"!A:A"),结果表!B20,INDIRECT("'"&amp;C4&amp;"'"&amp;"!B:B"))</f>
        <v>4627</v>
      </c>
      <c r="D20" s="147">
        <f ca="1">SUMIF(INDIRECT("'"&amp;D4&amp;"'"&amp;"!A:A"),结果表!B20,INDIRECT("'"&amp;D4&amp;"'"&amp;"!B:B"))</f>
        <v>4239</v>
      </c>
      <c r="E20" s="2437"/>
      <c r="F20" s="1247" t="s">
        <v>2149</v>
      </c>
      <c r="G20" s="148">
        <f ca="1">ROUND(C20*$C$18+D20*$D$18,0)</f>
        <v>4433</v>
      </c>
      <c r="H20" s="980" t="s">
        <v>2150</v>
      </c>
      <c r="I20" s="138"/>
    </row>
    <row r="21" spans="1:35" ht="15" customHeight="1" thickBot="1">
      <c r="A21" s="1000"/>
      <c r="B21" s="2438" t="s">
        <v>2151</v>
      </c>
      <c r="C21" s="789">
        <f ca="1">ROUND(C19*10000/L19,0)</f>
        <v>26843</v>
      </c>
      <c r="D21" s="790">
        <f ca="1">ROUND(D19*10000/L19,0)</f>
        <v>24594</v>
      </c>
      <c r="E21" s="1000"/>
      <c r="F21" s="2438" t="s">
        <v>2151</v>
      </c>
      <c r="G21" s="149">
        <f ca="1">ROUND(G19*10000/L19,0)</f>
        <v>25719</v>
      </c>
      <c r="H21" s="2439" t="s">
        <v>2150</v>
      </c>
      <c r="I21" s="138"/>
    </row>
    <row r="22" spans="1:35" ht="14.5" thickBot="1">
      <c r="A22" s="2281" t="s">
        <v>2152</v>
      </c>
      <c r="B22" s="2440"/>
      <c r="C22" s="2441"/>
      <c r="D22" s="791">
        <f ca="1">IF(C19&lt;D19,D19/C19-1,C19/D19-1)</f>
        <v>9.1466020800683889E-2</v>
      </c>
      <c r="E22" s="138"/>
      <c r="F22" s="138"/>
      <c r="G22" s="138"/>
      <c r="H22" s="138"/>
      <c r="I22" s="138"/>
    </row>
    <row r="23" spans="1:35" ht="13" thickBot="1">
      <c r="A23" s="2418"/>
      <c r="B23" s="2418"/>
      <c r="C23" s="2418"/>
      <c r="D23" s="2418"/>
      <c r="E23" s="138"/>
      <c r="F23" s="138"/>
      <c r="G23" s="138"/>
      <c r="H23" s="138"/>
      <c r="I23" s="138"/>
    </row>
    <row r="24" spans="1:35" ht="14">
      <c r="A24" s="3075" t="s">
        <v>2153</v>
      </c>
      <c r="B24" s="2435" t="s">
        <v>2145</v>
      </c>
      <c r="C24" s="145">
        <f>IF(B30=0,0,D30)</f>
        <v>0</v>
      </c>
      <c r="D24" s="2442"/>
      <c r="E24" s="138"/>
      <c r="F24" s="138"/>
      <c r="G24" s="138"/>
      <c r="H24" s="138"/>
      <c r="I24" s="138"/>
    </row>
    <row r="25" spans="1:35" ht="14">
      <c r="A25" s="3076"/>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3035</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7340</v>
      </c>
      <c r="D32" s="2449" t="s">
        <v>2160</v>
      </c>
      <c r="E32" s="138"/>
      <c r="F32" s="138"/>
      <c r="G32" s="138"/>
      <c r="H32" s="138"/>
      <c r="I32" s="138"/>
    </row>
    <row r="33" spans="1:15" ht="14">
      <c r="A33" s="957" t="s">
        <v>2161</v>
      </c>
      <c r="B33" s="2450"/>
      <c r="C33" s="2451"/>
      <c r="D33" s="2452"/>
      <c r="E33" s="2453" t="s">
        <v>2162</v>
      </c>
      <c r="F33" s="2454"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093" t="s">
        <v>2167</v>
      </c>
      <c r="B36" s="2461" t="s">
        <v>2168</v>
      </c>
      <c r="C36" s="154"/>
      <c r="D36" s="2462"/>
      <c r="E36" s="2463"/>
      <c r="F36" s="2464"/>
      <c r="G36" s="138"/>
      <c r="H36" s="138"/>
      <c r="I36" s="138"/>
    </row>
    <row r="37" spans="1:15" ht="14.5" thickBot="1">
      <c r="A37" s="3094"/>
      <c r="B37" s="2267" t="s">
        <v>2169</v>
      </c>
      <c r="C37" s="156"/>
      <c r="D37" s="1392"/>
      <c r="E37" s="1392"/>
      <c r="F37" s="2464"/>
      <c r="G37" s="138"/>
      <c r="H37" s="138"/>
      <c r="I37" s="138"/>
    </row>
    <row r="38" spans="1:15" ht="14.5" thickBot="1">
      <c r="A38" s="3095"/>
      <c r="B38" s="2465" t="s">
        <v>2170</v>
      </c>
      <c r="C38" s="727"/>
      <c r="D38" s="2466" t="s">
        <v>2171</v>
      </c>
      <c r="E38" s="1392"/>
      <c r="F38" s="2464"/>
      <c r="G38" s="138"/>
      <c r="H38" s="138"/>
      <c r="I38" s="138"/>
    </row>
    <row r="39" spans="1:15" ht="14">
      <c r="A39" s="2437" t="s">
        <v>2172</v>
      </c>
      <c r="B39" s="2467" t="s">
        <v>2173</v>
      </c>
      <c r="C39" s="2468" t="s">
        <v>2174</v>
      </c>
      <c r="D39" s="2468" t="s">
        <v>2175</v>
      </c>
      <c r="E39" s="2469" t="s">
        <v>2176</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72" t="s">
        <v>2181</v>
      </c>
      <c r="B45" s="3073"/>
      <c r="C45" s="3074"/>
      <c r="D45" s="164">
        <f ca="1">ROUND(H101*F45,0)</f>
        <v>7340</v>
      </c>
      <c r="E45" s="165" t="s">
        <v>2182</v>
      </c>
      <c r="F45" s="166">
        <v>1</v>
      </c>
      <c r="G45" s="167" t="s">
        <v>2183</v>
      </c>
      <c r="H45" s="138"/>
      <c r="I45" s="138"/>
      <c r="J45" s="3132" t="s">
        <v>2184</v>
      </c>
      <c r="K45" s="3132"/>
      <c r="L45" s="3132"/>
      <c r="M45" s="3132"/>
      <c r="N45" s="3132"/>
      <c r="O45" s="3132"/>
    </row>
    <row r="46" spans="1:15" ht="14.25" customHeight="1">
      <c r="A46" s="3069" t="s">
        <v>2185</v>
      </c>
      <c r="B46" s="3070"/>
      <c r="C46" s="3070"/>
      <c r="D46" s="3070"/>
      <c r="E46" s="3070"/>
      <c r="F46" s="3070"/>
      <c r="G46" s="3071"/>
      <c r="H46" s="2480"/>
      <c r="I46" s="168"/>
      <c r="J46" s="1809">
        <v>1</v>
      </c>
      <c r="K46" s="3132" t="s">
        <v>2186</v>
      </c>
      <c r="L46" s="3132"/>
      <c r="M46" s="3152"/>
      <c r="N46" s="3152"/>
      <c r="O46" s="3152"/>
    </row>
    <row r="47" spans="1:15" ht="12" customHeight="1">
      <c r="A47" s="169" t="s">
        <v>2187</v>
      </c>
      <c r="B47" s="170"/>
      <c r="C47" s="171"/>
      <c r="D47" s="172" t="s">
        <v>2188</v>
      </c>
      <c r="E47" s="24" t="s">
        <v>2189</v>
      </c>
      <c r="F47" s="173" t="s">
        <v>2190</v>
      </c>
      <c r="G47" s="174" t="s">
        <v>2191</v>
      </c>
      <c r="H47" s="2480"/>
      <c r="I47" s="168"/>
      <c r="J47" s="1809">
        <v>2</v>
      </c>
      <c r="K47" s="3132" t="s">
        <v>2192</v>
      </c>
      <c r="L47" s="3132"/>
      <c r="M47" s="3153">
        <f>'数据-取费表'!B2</f>
        <v>43900</v>
      </c>
      <c r="N47" s="3153"/>
      <c r="O47" s="3153"/>
    </row>
    <row r="48" spans="1:15" ht="26">
      <c r="A48" s="3100" t="s">
        <v>2193</v>
      </c>
      <c r="B48" s="3083"/>
      <c r="C48" s="3083"/>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32" t="s">
        <v>2196</v>
      </c>
      <c r="L48" s="3132"/>
      <c r="M48" s="3154">
        <f ca="1">H101</f>
        <v>7340</v>
      </c>
      <c r="N48" s="3154"/>
      <c r="O48" s="3154"/>
    </row>
    <row r="49" spans="1:35" ht="25.5" customHeight="1">
      <c r="A49" s="176" t="s">
        <v>2197</v>
      </c>
      <c r="B49" s="3068" t="s">
        <v>2198</v>
      </c>
      <c r="C49" s="3068"/>
      <c r="D49" s="177">
        <v>0</v>
      </c>
      <c r="E49" s="23" t="s">
        <v>2199</v>
      </c>
      <c r="F49" s="28" t="s">
        <v>34</v>
      </c>
      <c r="G49" s="3138"/>
      <c r="H49" s="138"/>
      <c r="I49" s="2483"/>
      <c r="J49" s="1809">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2200</v>
      </c>
      <c r="C50" s="3068"/>
      <c r="D50" s="179"/>
      <c r="E50" s="31"/>
      <c r="F50" s="180"/>
      <c r="G50" s="3139"/>
      <c r="H50" s="138"/>
      <c r="I50" s="2483"/>
      <c r="J50" s="3132" t="s">
        <v>2201</v>
      </c>
      <c r="K50" s="3132"/>
      <c r="L50" s="3132"/>
      <c r="M50" s="3132"/>
      <c r="N50" s="3132"/>
      <c r="O50" s="3132"/>
    </row>
    <row r="51" spans="1:35" ht="12" customHeight="1">
      <c r="A51" s="181"/>
      <c r="B51" s="3068" t="s">
        <v>2202</v>
      </c>
      <c r="C51" s="3068"/>
      <c r="D51" s="182"/>
      <c r="E51" s="30"/>
      <c r="F51" s="180"/>
      <c r="G51" s="3140"/>
      <c r="H51" s="138"/>
      <c r="I51" s="2483"/>
      <c r="J51" s="2484" t="s">
        <v>2203</v>
      </c>
      <c r="K51" s="3132" t="s">
        <v>2204</v>
      </c>
      <c r="L51" s="3132"/>
      <c r="M51" s="2484" t="s">
        <v>2205</v>
      </c>
      <c r="N51" s="2484" t="s">
        <v>2206</v>
      </c>
      <c r="O51" s="2484" t="s">
        <v>2207</v>
      </c>
    </row>
    <row r="52" spans="1:35" ht="24" customHeight="1">
      <c r="A52" s="183" t="s">
        <v>2208</v>
      </c>
      <c r="B52" s="3068" t="s">
        <v>2209</v>
      </c>
      <c r="C52" s="3068"/>
      <c r="D52" s="182">
        <f ca="1">ROUND(D45*'数据-取费表'!B41/(1+'数据-取费表'!C42),0)</f>
        <v>384</v>
      </c>
      <c r="E52" s="11" t="s">
        <v>2210</v>
      </c>
      <c r="F52" s="184">
        <f>'数据-取费表'!B41</f>
        <v>5.5000000000000007E-2</v>
      </c>
      <c r="G52" s="2485"/>
      <c r="H52" s="138"/>
      <c r="I52" s="2483"/>
      <c r="J52" s="1809">
        <v>1</v>
      </c>
      <c r="K52" s="3133" t="s">
        <v>2211</v>
      </c>
      <c r="L52" s="3133"/>
      <c r="M52" s="1751">
        <f>D48</f>
        <v>0</v>
      </c>
      <c r="N52" s="1809" t="str">
        <f>E48</f>
        <v>销售额×税（费）率</v>
      </c>
      <c r="O52" s="1752" t="str">
        <f>F48</f>
        <v>免征</v>
      </c>
    </row>
    <row r="53" spans="1:35" ht="12" customHeight="1">
      <c r="A53" s="183" t="s">
        <v>2212</v>
      </c>
      <c r="B53" s="3091" t="s">
        <v>2213</v>
      </c>
      <c r="C53" s="3092"/>
      <c r="D53" s="182">
        <f ca="1">ROUND(D45*'数据-取费表'!B41/(1+'数据-取费表'!C42),0)</f>
        <v>384</v>
      </c>
      <c r="E53" s="11" t="s">
        <v>2210</v>
      </c>
      <c r="F53" s="184">
        <f>'数据-取费表'!B41</f>
        <v>5.5000000000000007E-2</v>
      </c>
      <c r="G53" s="2485"/>
      <c r="H53" s="138"/>
      <c r="I53" s="2483"/>
      <c r="J53" s="1809">
        <v>2</v>
      </c>
      <c r="K53" s="3133" t="s">
        <v>2214</v>
      </c>
      <c r="L53" s="3133"/>
      <c r="M53" s="1751">
        <f t="shared" ref="M53:O54" ca="1" si="0">D55</f>
        <v>4</v>
      </c>
      <c r="N53" s="1809" t="str">
        <f t="shared" si="0"/>
        <v>销售额×税（费）率</v>
      </c>
      <c r="O53" s="1752">
        <f t="shared" si="0"/>
        <v>5.0000000000000001E-4</v>
      </c>
    </row>
    <row r="54" spans="1:35" ht="12" customHeight="1">
      <c r="A54" s="183" t="s">
        <v>2215</v>
      </c>
      <c r="B54" s="3091" t="s">
        <v>2216</v>
      </c>
      <c r="C54" s="3092"/>
      <c r="D54" s="182">
        <f ca="1">C68</f>
        <v>384</v>
      </c>
      <c r="E54" s="30" t="s">
        <v>2217</v>
      </c>
      <c r="F54" s="184">
        <f>'数据-取费表'!B41</f>
        <v>5.5000000000000007E-2</v>
      </c>
      <c r="G54" s="2485"/>
      <c r="H54" s="2486"/>
      <c r="I54" s="2483"/>
      <c r="J54" s="1809">
        <v>3</v>
      </c>
      <c r="K54" s="3133" t="s">
        <v>2218</v>
      </c>
      <c r="L54" s="3133"/>
      <c r="M54" s="1751">
        <f t="shared" ca="1" si="0"/>
        <v>4161</v>
      </c>
      <c r="N54" s="1809" t="str">
        <f t="shared" si="0"/>
        <v>增值额×税（费）率</v>
      </c>
      <c r="O54" s="1753" t="str">
        <f t="shared" si="0"/>
        <v>——</v>
      </c>
    </row>
    <row r="55" spans="1:35" ht="24" customHeight="1">
      <c r="A55" s="3082" t="s">
        <v>2219</v>
      </c>
      <c r="B55" s="3083"/>
      <c r="C55" s="3083"/>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133" t="str">
        <f>IF(H59="非个人房产","——","个人所得税")</f>
        <v>——</v>
      </c>
      <c r="L55" s="3133"/>
      <c r="M55" s="1754" t="str">
        <f>D59</f>
        <v>——</v>
      </c>
      <c r="N55" s="1807" t="str">
        <f>E59</f>
        <v>——</v>
      </c>
      <c r="O55" s="1755" t="str">
        <f>F59</f>
        <v>——</v>
      </c>
    </row>
    <row r="56" spans="1:35" ht="26">
      <c r="A56" s="3082" t="s">
        <v>2222</v>
      </c>
      <c r="B56" s="3083"/>
      <c r="C56" s="3083"/>
      <c r="D56" s="185">
        <f ca="1">IF(H56="个人住宅",D57,D58)</f>
        <v>4161</v>
      </c>
      <c r="E56" s="11" t="s">
        <v>2223</v>
      </c>
      <c r="F56" s="184" t="str">
        <f>IF(H56="正常",F58,"免征")</f>
        <v>——</v>
      </c>
      <c r="G56" s="2487" t="s">
        <v>2224</v>
      </c>
      <c r="H56" s="2488" t="s">
        <v>2221</v>
      </c>
      <c r="I56" s="2489"/>
      <c r="J56" s="1809" t="str">
        <f>IF(项目基本情况!K6="上海银行",IF(J55="",4,J55+1),"")</f>
        <v/>
      </c>
      <c r="K56" s="3156" t="str">
        <f>IF(项目基本情况!K6="上海银行","其他处置费用","")</f>
        <v/>
      </c>
      <c r="L56" s="3157"/>
      <c r="M56" s="1751" t="str">
        <f>IF(项目基本情况!K6="上海银行",M69,"")</f>
        <v/>
      </c>
      <c r="N56" s="3159" t="str">
        <f>IF(项目基本情况!K6="上海银行","包含处置中涉及的律师、诉讼、拍卖、评估等费用","")</f>
        <v/>
      </c>
      <c r="O56" s="3160"/>
    </row>
    <row r="57" spans="1:35" ht="13">
      <c r="A57" s="183" t="s">
        <v>2197</v>
      </c>
      <c r="B57" s="3098" t="s">
        <v>2225</v>
      </c>
      <c r="C57" s="3107"/>
      <c r="D57" s="187">
        <v>0</v>
      </c>
      <c r="E57" s="23" t="s">
        <v>2199</v>
      </c>
      <c r="F57" s="155"/>
      <c r="G57" s="2485"/>
      <c r="H57" s="2489"/>
      <c r="I57" s="2489"/>
      <c r="J57" s="3133">
        <f>IF(AND(J55="",J56=""),4,IF(项目基本情况!K6="上海银行",结果表!J56+1,结果表!J55+1))</f>
        <v>4</v>
      </c>
      <c r="K57" s="3133" t="s">
        <v>2226</v>
      </c>
      <c r="L57" s="2490" t="s">
        <v>2227</v>
      </c>
      <c r="M57" s="1756"/>
      <c r="N57" s="1757">
        <f ca="1">SUMIF(M52:M56,"&lt;9e307")</f>
        <v>4165</v>
      </c>
      <c r="O57" s="2491"/>
      <c r="P57" s="1750" t="e">
        <f ca="1">N57/M49</f>
        <v>#VALUE!</v>
      </c>
    </row>
    <row r="58" spans="1:35" ht="26">
      <c r="A58" s="183" t="s">
        <v>2208</v>
      </c>
      <c r="B58" s="3098" t="s">
        <v>2228</v>
      </c>
      <c r="C58" s="3099"/>
      <c r="D58" s="185">
        <f ca="1">IF(H58="转让取得",C81,C97)</f>
        <v>4161</v>
      </c>
      <c r="E58" s="11" t="s">
        <v>2223</v>
      </c>
      <c r="F58" s="24" t="s">
        <v>34</v>
      </c>
      <c r="G58" s="2485"/>
      <c r="H58" s="2488" t="s">
        <v>2229</v>
      </c>
      <c r="I58" s="2489"/>
      <c r="J58" s="3133"/>
      <c r="K58" s="3133"/>
      <c r="L58" s="2490" t="s">
        <v>2230</v>
      </c>
      <c r="M58" s="1758"/>
      <c r="N58" s="2492" t="str">
        <f ca="1">NUMBERSTRING(INT(N57*10000),2)&amp;"元整"</f>
        <v>肆仟壹佰陆拾伍万元整</v>
      </c>
      <c r="O58" s="2493"/>
    </row>
    <row r="59" spans="1:35" ht="26.5" thickBot="1">
      <c r="A59" s="3136" t="s">
        <v>2231</v>
      </c>
      <c r="B59" s="3137"/>
      <c r="C59" s="3137"/>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34">
        <f>J57+1</f>
        <v>5</v>
      </c>
      <c r="K59" s="3133" t="s">
        <v>2233</v>
      </c>
      <c r="L59" s="1809" t="s">
        <v>2227</v>
      </c>
      <c r="M59" s="1759"/>
      <c r="N59" s="1760" t="e">
        <f ca="1">M49-N57</f>
        <v>#VALUE!</v>
      </c>
      <c r="O59" s="2495"/>
    </row>
    <row r="60" spans="1:35" ht="12" customHeight="1">
      <c r="A60" s="2496"/>
      <c r="B60" s="2418"/>
      <c r="C60" s="2418"/>
      <c r="D60" s="2418"/>
      <c r="E60" s="2166"/>
      <c r="F60" s="2489"/>
      <c r="G60" s="2489"/>
      <c r="H60" s="2497"/>
      <c r="I60" s="138"/>
      <c r="J60" s="3135"/>
      <c r="K60" s="3133"/>
      <c r="L60" s="2490" t="s">
        <v>2230</v>
      </c>
      <c r="M60" s="1758"/>
      <c r="N60" s="2492" t="e">
        <f ca="1">NUMBERSTRING(INT(N59*10000),2)&amp;"元整"</f>
        <v>#VALUE!</v>
      </c>
      <c r="O60" s="2493"/>
    </row>
    <row r="61" spans="1:35" ht="13.5" thickBot="1">
      <c r="A61" s="3080" t="s">
        <v>2234</v>
      </c>
      <c r="B61" s="3080"/>
      <c r="C61" s="3080"/>
      <c r="D61" s="3080"/>
      <c r="E61" s="3080"/>
      <c r="F61" s="2489"/>
      <c r="G61" s="2489"/>
      <c r="H61" s="2497"/>
      <c r="I61" s="138"/>
      <c r="J61" s="1809">
        <f>J59+1</f>
        <v>6</v>
      </c>
      <c r="K61" s="3133" t="s">
        <v>2235</v>
      </c>
      <c r="L61" s="3133"/>
      <c r="M61" s="1761"/>
      <c r="N61" s="1762" t="e">
        <f ca="1">ROUND(N59*10000/'数据-汇总表'!E3,0)</f>
        <v>#VALUE!</v>
      </c>
      <c r="O61" s="2498"/>
    </row>
    <row r="62" spans="1:35" ht="13">
      <c r="A62" s="3096" t="s">
        <v>2236</v>
      </c>
      <c r="B62" s="3097"/>
      <c r="C62" s="1801"/>
      <c r="D62" s="1801" t="s">
        <v>2237</v>
      </c>
      <c r="E62" s="192" t="s">
        <v>2238</v>
      </c>
      <c r="F62" s="2489"/>
      <c r="G62" s="2489"/>
      <c r="H62" s="2497"/>
      <c r="I62" s="138"/>
    </row>
    <row r="63" spans="1:35" ht="13">
      <c r="A63" s="203" t="s">
        <v>775</v>
      </c>
      <c r="B63" s="193" t="s">
        <v>2239</v>
      </c>
      <c r="C63" s="194">
        <f ca="1">ROUND((C64+C65)/(1+'数据-取费表'!C42),0)</f>
        <v>6990</v>
      </c>
      <c r="D63" s="195"/>
      <c r="E63" s="196"/>
      <c r="F63" s="2489"/>
      <c r="G63" s="2489"/>
      <c r="H63" s="2497"/>
      <c r="I63" s="138"/>
      <c r="J63" s="3158"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7340</v>
      </c>
      <c r="D64" s="200" t="s">
        <v>32</v>
      </c>
      <c r="E64" s="201"/>
      <c r="F64" s="2489"/>
      <c r="G64" s="2489"/>
      <c r="H64" s="2497"/>
      <c r="I64" s="138"/>
      <c r="J64" s="3158"/>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58"/>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58"/>
      <c r="K66" s="2499" t="s">
        <v>2248</v>
      </c>
      <c r="L66" s="1749" t="e">
        <f>M49*0.5%</f>
        <v>#VALUE!</v>
      </c>
      <c r="M66" s="24" t="e">
        <f>IF(L66&gt;0.5,0.5,ROUND(L66,0))</f>
        <v>#VALUE!</v>
      </c>
      <c r="N66" s="138" t="s">
        <v>2249</v>
      </c>
      <c r="Z66" s="2423"/>
      <c r="AI66" s="2424"/>
    </row>
    <row r="67" spans="1:35" ht="14.25" customHeight="1">
      <c r="A67" s="203" t="s">
        <v>773</v>
      </c>
      <c r="B67" s="204" t="s">
        <v>2250</v>
      </c>
      <c r="C67" s="207">
        <f ca="1">C63-C66</f>
        <v>6990</v>
      </c>
      <c r="D67" s="200" t="s">
        <v>32</v>
      </c>
      <c r="E67" s="201"/>
      <c r="F67" s="2489"/>
      <c r="G67" s="2489"/>
      <c r="H67" s="2497"/>
      <c r="I67" s="138"/>
      <c r="J67" s="3158"/>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384</v>
      </c>
      <c r="D68" s="211">
        <f>'数据-取费表'!B41</f>
        <v>5.5000000000000007E-2</v>
      </c>
      <c r="E68" s="212"/>
      <c r="F68" s="2489"/>
      <c r="G68" s="2489"/>
      <c r="H68" s="2497"/>
      <c r="I68" s="138"/>
      <c r="J68" s="3158"/>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58"/>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17" t="s">
        <v>2255</v>
      </c>
      <c r="B70" s="3118"/>
      <c r="C70" s="3118"/>
      <c r="D70" s="3118"/>
      <c r="E70" s="3118"/>
      <c r="F70" s="3118"/>
      <c r="G70" s="3118"/>
      <c r="H70" s="311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096" t="s">
        <v>2236</v>
      </c>
      <c r="B71" s="3097"/>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6990</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35</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91" t="s">
        <v>2264</v>
      </c>
      <c r="F76" s="3068"/>
      <c r="G76" s="3068"/>
      <c r="H76" s="311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35</v>
      </c>
      <c r="D78" s="226">
        <f>'数据-取费表'!B43</f>
        <v>5.000000000000001E-3</v>
      </c>
      <c r="E78" s="3077" t="s">
        <v>2269</v>
      </c>
      <c r="F78" s="3078"/>
      <c r="G78" s="3078"/>
      <c r="H78" s="30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2270</v>
      </c>
      <c r="C79" s="207">
        <f ca="1">C72-C73</f>
        <v>6955</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198.71428571428572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4161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17" t="s">
        <v>2273</v>
      </c>
      <c r="B83" s="3118"/>
      <c r="C83" s="3118"/>
      <c r="D83" s="3118"/>
      <c r="E83" s="3118"/>
      <c r="F83" s="3118"/>
      <c r="G83" s="3118"/>
      <c r="H83" s="311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096" t="s">
        <v>2236</v>
      </c>
      <c r="B84" s="3097"/>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6990</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35</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77" t="s">
        <v>2282</v>
      </c>
      <c r="F91" s="3078"/>
      <c r="G91" s="3078"/>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77" t="s">
        <v>2286</v>
      </c>
      <c r="F92" s="3078"/>
      <c r="G92" s="3078"/>
      <c r="H92" s="30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35</v>
      </c>
      <c r="D93" s="226">
        <f>'数据-取费表'!B43</f>
        <v>5.000000000000001E-3</v>
      </c>
      <c r="E93" s="3077" t="s">
        <v>2269</v>
      </c>
      <c r="F93" s="3078"/>
      <c r="G93" s="3078"/>
      <c r="H93" s="30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88" t="s">
        <v>2290</v>
      </c>
      <c r="F94" s="3089"/>
      <c r="G94" s="3089"/>
      <c r="H94" s="30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2270</v>
      </c>
      <c r="C95" s="207">
        <f ca="1">ROUND(C85-C86,0)</f>
        <v>6955</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198.71428571428572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4161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62" t="s">
        <v>2292</v>
      </c>
      <c r="B100" s="3063"/>
      <c r="C100" s="3063"/>
      <c r="D100" s="3079"/>
      <c r="E100" s="3063" t="s">
        <v>2293</v>
      </c>
      <c r="F100" s="3063"/>
      <c r="G100" s="3063"/>
      <c r="H100" s="3079"/>
      <c r="I100" s="138"/>
    </row>
    <row r="101" spans="1:35" ht="18.75" customHeight="1">
      <c r="A101" s="3141" t="s">
        <v>2294</v>
      </c>
      <c r="B101" s="3142"/>
      <c r="C101" s="736" t="str">
        <f>C4</f>
        <v>比较法-办公</v>
      </c>
      <c r="D101" s="737" t="str">
        <f>D4</f>
        <v>收益法</v>
      </c>
      <c r="E101" s="3155" t="s">
        <v>2295</v>
      </c>
      <c r="F101" s="3109"/>
      <c r="G101" s="2520" t="s">
        <v>2296</v>
      </c>
      <c r="H101" s="1045">
        <f ca="1">H118</f>
        <v>7340</v>
      </c>
      <c r="I101" s="138"/>
    </row>
    <row r="102" spans="1:35" ht="18.75" customHeight="1">
      <c r="A102" s="3111" t="s">
        <v>2297</v>
      </c>
      <c r="B102" s="2520" t="s">
        <v>2296</v>
      </c>
      <c r="C102" s="736">
        <f ca="1">C19</f>
        <v>7661</v>
      </c>
      <c r="D102" s="737">
        <f ca="1">D19</f>
        <v>7019</v>
      </c>
      <c r="E102" s="3155"/>
      <c r="F102" s="3109"/>
      <c r="G102" s="2520" t="s">
        <v>2298</v>
      </c>
      <c r="H102" s="371">
        <f ca="1">I118</f>
        <v>4433</v>
      </c>
      <c r="I102" s="138"/>
    </row>
    <row r="103" spans="1:35" ht="42.75" customHeight="1">
      <c r="A103" s="3111"/>
      <c r="B103" s="2520" t="s">
        <v>2298</v>
      </c>
      <c r="C103" s="738">
        <f ca="1">C20</f>
        <v>4627</v>
      </c>
      <c r="D103" s="739">
        <f ca="1">D20</f>
        <v>4239</v>
      </c>
      <c r="E103" s="3150" t="s">
        <v>2299</v>
      </c>
      <c r="F103" s="3151"/>
      <c r="G103" s="2521" t="s">
        <v>2300</v>
      </c>
      <c r="H103" s="1045">
        <f>IF(D36="正常操作",H104+H105+H106,H105+H106)</f>
        <v>0</v>
      </c>
      <c r="I103" s="138"/>
    </row>
    <row r="104" spans="1:35" ht="18.75" customHeight="1">
      <c r="A104" s="3111" t="s">
        <v>2301</v>
      </c>
      <c r="B104" s="2522" t="s">
        <v>2296</v>
      </c>
      <c r="C104" s="740">
        <f ca="1">H118</f>
        <v>7340</v>
      </c>
      <c r="D104" s="741"/>
      <c r="E104" s="2267" t="s">
        <v>2302</v>
      </c>
      <c r="F104" s="2258"/>
      <c r="G104" s="2521" t="s">
        <v>2300</v>
      </c>
      <c r="H104" s="1046">
        <f>IF(D36="同一抵押权人同一抵押物续贷",C36&amp;"（未扣减，详见特别提示）",C36)</f>
        <v>0</v>
      </c>
      <c r="I104" s="138"/>
    </row>
    <row r="105" spans="1:35" ht="18.75" customHeight="1" thickBot="1">
      <c r="A105" s="3112"/>
      <c r="B105" s="2523" t="s">
        <v>2298</v>
      </c>
      <c r="C105" s="742">
        <f ca="1">I118</f>
        <v>4433</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8" t="str">
        <f>IF(项目基本情况!E8="已注销","——","3.房地产抵押价值")</f>
        <v>3.房地产抵押价值</v>
      </c>
      <c r="F107" s="3109"/>
      <c r="G107" s="2520" t="s">
        <v>2296</v>
      </c>
      <c r="H107" s="1045">
        <f ca="1">IF(E107="——","——",H101-H103)</f>
        <v>7340</v>
      </c>
      <c r="I107" s="138"/>
    </row>
    <row r="108" spans="1:35" ht="18.75" customHeight="1">
      <c r="A108" s="138"/>
      <c r="B108" s="138"/>
      <c r="C108" s="138"/>
      <c r="D108" s="138"/>
      <c r="E108" s="3108"/>
      <c r="F108" s="3109"/>
      <c r="G108" s="2520" t="s">
        <v>2298</v>
      </c>
      <c r="H108" s="371">
        <f ca="1">ROUND(H107*10000/'数据-汇总表'!E3,0)</f>
        <v>1292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20" t="s">
        <v>2296</v>
      </c>
      <c r="H109" s="348" t="str">
        <f>IF(E109="——","——",H101-H105-H106)</f>
        <v>——</v>
      </c>
      <c r="I109" s="138"/>
    </row>
    <row r="110" spans="1:35" ht="18.75" customHeight="1">
      <c r="A110" s="138"/>
      <c r="B110" s="138"/>
      <c r="C110" s="138"/>
      <c r="D110" s="138"/>
      <c r="E110" s="3108"/>
      <c r="F110" s="3109"/>
      <c r="G110" s="2520" t="s">
        <v>2298</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0" t="s">
        <v>2296</v>
      </c>
      <c r="H111" s="1045" t="str">
        <f>IF(E111="——","——",N59)</f>
        <v>——</v>
      </c>
      <c r="I111" s="138"/>
    </row>
    <row r="112" spans="1:35" ht="18.75" customHeight="1" thickBot="1">
      <c r="A112" s="138"/>
      <c r="B112" s="138"/>
      <c r="C112" s="138"/>
      <c r="D112" s="138"/>
      <c r="E112" s="3145"/>
      <c r="F112" s="3146"/>
      <c r="G112" s="2525" t="s">
        <v>2298</v>
      </c>
      <c r="H112" s="790" t="str">
        <f>IF(E111="——","——",N61)</f>
        <v>——</v>
      </c>
      <c r="I112" s="138"/>
    </row>
    <row r="113" spans="1:11" ht="18.75" customHeight="1">
      <c r="A113" s="138"/>
      <c r="B113" s="138"/>
      <c r="C113" s="138"/>
      <c r="D113" s="138"/>
      <c r="E113" s="3113" t="s">
        <v>2304</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2306</v>
      </c>
      <c r="B115" s="3127"/>
      <c r="C115" s="3127"/>
      <c r="D115" s="3127"/>
      <c r="E115" s="3127"/>
      <c r="F115" s="3127"/>
      <c r="G115" s="3127"/>
      <c r="H115" s="3127"/>
      <c r="I115" s="3128"/>
    </row>
    <row r="116" spans="1:11" ht="27" customHeight="1">
      <c r="A116" s="3019" t="s">
        <v>2307</v>
      </c>
      <c r="B116" s="3114" t="s">
        <v>2308</v>
      </c>
      <c r="C116" s="3114" t="s">
        <v>2309</v>
      </c>
      <c r="D116" s="3130" t="s">
        <v>2310</v>
      </c>
      <c r="E116" s="3131"/>
      <c r="F116" s="3122" t="s">
        <v>2311</v>
      </c>
      <c r="G116" s="3122"/>
      <c r="H116" s="3019" t="s">
        <v>2312</v>
      </c>
      <c r="I116" s="3019"/>
    </row>
    <row r="117" spans="1:11" ht="18.75" customHeight="1">
      <c r="A117" s="3019"/>
      <c r="B117" s="3115"/>
      <c r="C117" s="3115"/>
      <c r="D117" s="1795" t="s">
        <v>2313</v>
      </c>
      <c r="E117" s="1795" t="s">
        <v>2314</v>
      </c>
      <c r="F117" s="1795" t="s">
        <v>2313</v>
      </c>
      <c r="G117" s="1795" t="s">
        <v>2315</v>
      </c>
      <c r="H117" s="1795" t="s">
        <v>2313</v>
      </c>
      <c r="I117" s="1795" t="s">
        <v>2315</v>
      </c>
    </row>
    <row r="118" spans="1:11" ht="24.75" customHeight="1">
      <c r="A118" s="2526" t="str">
        <f>项目基本情况!S2</f>
        <v>房地产</v>
      </c>
      <c r="B118" s="1795">
        <f>M18</f>
        <v>16556.82</v>
      </c>
      <c r="C118" s="1795">
        <f>M19</f>
        <v>2853.97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7340</v>
      </c>
      <c r="I118" s="1795">
        <f ca="1">ROUND(IF(D32="楼面单价",C32,H118*10000/B118),0)</f>
        <v>4433</v>
      </c>
    </row>
    <row r="119" spans="1:11" ht="18.75" customHeight="1">
      <c r="A119" s="3019" t="s">
        <v>2316</v>
      </c>
      <c r="B119" s="3019"/>
      <c r="C119" s="3019"/>
      <c r="D119" s="3119" t="e">
        <f ca="1">NUMBERSTRING(INT(D118*10000),2)&amp;"元整"</f>
        <v>#REF!</v>
      </c>
      <c r="E119" s="3121"/>
      <c r="F119" s="3119" t="e">
        <f ca="1">NUMBERSTRING(INT(F118*10000),2)&amp;"元整"</f>
        <v>#REF!</v>
      </c>
      <c r="G119" s="3121"/>
      <c r="H119" s="3119" t="str">
        <f ca="1">NUMBERSTRING(INT(H118*10000),2)&amp;"元整"</f>
        <v>柒仟叁佰肆拾万元整</v>
      </c>
      <c r="I119" s="3121"/>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23" t="str">
        <f>IF(D120=0,"故，本次评估不存在"&amp;A120,"故，本次评估"&amp;A120&amp;"为人民币"&amp;D120&amp;"万元整。")</f>
        <v>故，本次评估不存在估价师知悉的法定优先受偿款</v>
      </c>
    </row>
    <row r="121" spans="1:11" ht="18.75" customHeight="1">
      <c r="A121" s="3123" t="s">
        <v>2316</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房地产抵押价值</v>
      </c>
      <c r="B122" s="3110"/>
      <c r="C122" s="3110"/>
      <c r="D122" s="3147">
        <f ca="1">H107</f>
        <v>7340</v>
      </c>
      <c r="E122" s="3148"/>
      <c r="F122" s="3148"/>
      <c r="G122" s="3148"/>
      <c r="H122" s="3148"/>
      <c r="I122" s="3149"/>
    </row>
    <row r="123" spans="1:11" ht="18.75" customHeight="1">
      <c r="A123" s="3019" t="s">
        <v>2316</v>
      </c>
      <c r="B123" s="3019"/>
      <c r="C123" s="3019"/>
      <c r="D123" s="3119" t="str">
        <f ca="1">NUMBERSTRING(INT(D122*10000),2)&amp;"元整"</f>
        <v>柒仟叁佰肆拾万元整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2316</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2316</v>
      </c>
      <c r="B127" s="3019"/>
      <c r="C127" s="3019"/>
      <c r="D127" s="3119" t="e">
        <f>NUMBERSTRING(INT(D126*10000),2)&amp;"元整"</f>
        <v>#VALUE!</v>
      </c>
      <c r="E127" s="3120"/>
      <c r="F127" s="3120"/>
      <c r="G127" s="3120"/>
      <c r="H127" s="3120"/>
      <c r="I127" s="3121"/>
    </row>
    <row r="128" spans="1:11" ht="21.75" customHeight="1">
      <c r="A128" s="3129" t="s">
        <v>2317</v>
      </c>
      <c r="B128" s="3129"/>
      <c r="C128" s="3129"/>
      <c r="D128" s="3129"/>
      <c r="E128" s="3129"/>
      <c r="F128" s="3129"/>
      <c r="G128" s="3129"/>
      <c r="H128" s="3129"/>
      <c r="I128" s="3129"/>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75" t="str">
        <f>项目基本情况!B1</f>
        <v>预评估</v>
      </c>
      <c r="C37" s="2975"/>
      <c r="D37" s="2975"/>
      <c r="E37" s="2975"/>
      <c r="F37" s="2975"/>
      <c r="G37" s="2975"/>
      <c r="H37" s="2975"/>
      <c r="I37" s="297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2685</v>
      </c>
      <c r="C1" s="1620" t="s">
        <v>2529</v>
      </c>
      <c r="D1" s="1621" t="s">
        <v>27</v>
      </c>
      <c r="E1" s="1630"/>
      <c r="F1" s="2586" t="s">
        <v>3072</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IF(C2="——",ROUND(C50*D3/10000,0),ROUND(C50*D3/10000,0)-D2)</f>
        <v>7661</v>
      </c>
      <c r="C2" s="2588" t="s">
        <v>70</v>
      </c>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4627</v>
      </c>
      <c r="C3" s="400" t="s">
        <v>2643</v>
      </c>
      <c r="D3" s="399">
        <f>IF(D1="",'数据-汇总表'!E3,SUMIF('数据-汇总表'!$C19:$C33,D1,'数据-汇总表'!$E19:$E33))</f>
        <v>16556.82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209" t="s">
        <v>2645</v>
      </c>
      <c r="D4" s="3210"/>
      <c r="E4" s="3211" t="s">
        <v>2646</v>
      </c>
      <c r="F4" s="3212"/>
      <c r="G4" s="3209" t="s">
        <v>2647</v>
      </c>
      <c r="H4" s="3210"/>
      <c r="I4" s="3209" t="s">
        <v>2648</v>
      </c>
      <c r="J4" s="3210"/>
      <c r="K4" s="610" t="s">
        <v>2649</v>
      </c>
      <c r="L4" s="1130"/>
      <c r="M4" s="1131"/>
      <c r="N4" s="1131"/>
      <c r="O4" s="1131"/>
      <c r="P4" s="3243" t="s">
        <v>2650</v>
      </c>
      <c r="Q4" s="3244"/>
      <c r="R4" s="3247" t="s">
        <v>2646</v>
      </c>
      <c r="S4" s="3248"/>
      <c r="T4" s="3247" t="s">
        <v>2647</v>
      </c>
      <c r="U4" s="3248"/>
      <c r="V4" s="3249" t="s">
        <v>2648</v>
      </c>
      <c r="W4" s="3249"/>
      <c r="X4" s="2672"/>
      <c r="Y4" s="3247" t="s">
        <v>2650</v>
      </c>
      <c r="Z4" s="3248"/>
      <c r="AA4" s="3251" t="s">
        <v>2646</v>
      </c>
      <c r="AB4" s="3251" t="s">
        <v>2647</v>
      </c>
      <c r="AC4" s="3240" t="s">
        <v>2648</v>
      </c>
    </row>
    <row r="5" spans="1:29">
      <c r="A5" s="404"/>
      <c r="B5" s="405"/>
      <c r="C5" s="3228" t="s">
        <v>2541</v>
      </c>
      <c r="D5" s="3229"/>
      <c r="E5" s="3235" t="s">
        <v>2542</v>
      </c>
      <c r="F5" s="3236"/>
      <c r="G5" s="3228" t="s">
        <v>2543</v>
      </c>
      <c r="H5" s="3229"/>
      <c r="I5" s="3228" t="s">
        <v>2544</v>
      </c>
      <c r="J5" s="3229"/>
      <c r="K5" s="610"/>
      <c r="L5" s="1130"/>
      <c r="M5" s="1131"/>
      <c r="N5" s="1131"/>
      <c r="O5" s="1131"/>
      <c r="P5" s="3245"/>
      <c r="Q5" s="3216"/>
      <c r="R5" s="3221"/>
      <c r="S5" s="3222"/>
      <c r="T5" s="3221"/>
      <c r="U5" s="3222"/>
      <c r="V5" s="3225"/>
      <c r="W5" s="3225"/>
      <c r="X5" s="1813"/>
      <c r="Y5" s="3221"/>
      <c r="Z5" s="3222"/>
      <c r="AA5" s="3207"/>
      <c r="AB5" s="3207"/>
      <c r="AC5" s="3241"/>
    </row>
    <row r="6" spans="1:29" ht="15" thickBot="1">
      <c r="A6" s="406"/>
      <c r="B6" s="407"/>
      <c r="C6" s="3226" t="s">
        <v>2545</v>
      </c>
      <c r="D6" s="3227"/>
      <c r="E6" s="3233" t="s">
        <v>2545</v>
      </c>
      <c r="F6" s="3234"/>
      <c r="G6" s="3226" t="s">
        <v>2545</v>
      </c>
      <c r="H6" s="3227"/>
      <c r="I6" s="3226" t="s">
        <v>2545</v>
      </c>
      <c r="J6" s="3227"/>
      <c r="K6" s="610" t="s">
        <v>2546</v>
      </c>
      <c r="L6" s="1130"/>
      <c r="M6" s="1131"/>
      <c r="N6" s="1131"/>
      <c r="O6" s="1131"/>
      <c r="P6" s="3246"/>
      <c r="Q6" s="3218"/>
      <c r="R6" s="3221"/>
      <c r="S6" s="3222"/>
      <c r="T6" s="3223"/>
      <c r="U6" s="3224"/>
      <c r="V6" s="3225"/>
      <c r="W6" s="3225"/>
      <c r="X6" s="1813"/>
      <c r="Y6" s="3223"/>
      <c r="Z6" s="3224"/>
      <c r="AA6" s="3208"/>
      <c r="AB6" s="3208"/>
      <c r="AC6" s="3242"/>
    </row>
    <row r="7" spans="1:29" s="117" customFormat="1" ht="14.5" thickBot="1">
      <c r="A7" s="408" t="s">
        <v>2547</v>
      </c>
      <c r="B7" s="409"/>
      <c r="C7" s="410">
        <f>'数据-取费表'!B2</f>
        <v>43900</v>
      </c>
      <c r="D7" s="411">
        <v>100</v>
      </c>
      <c r="E7" s="412">
        <f>C7</f>
        <v>43900</v>
      </c>
      <c r="F7" s="413">
        <f>SUMIF(59:59,YEAR(E7)&amp;"-"&amp;MONTH(E7),60:60)</f>
        <v>100</v>
      </c>
      <c r="G7" s="412">
        <f>C7</f>
        <v>43900</v>
      </c>
      <c r="H7" s="411">
        <f>SUMIF(59:59,YEAR(G7)&amp;"-"&amp;MONTH(G7),60:60)</f>
        <v>100</v>
      </c>
      <c r="I7" s="412">
        <f>C7</f>
        <v>43900</v>
      </c>
      <c r="J7" s="411">
        <f>SUMIF(59:59,YEAR(I7)&amp;"-"&amp;MONTH(I7),60:60)</f>
        <v>100</v>
      </c>
      <c r="K7" s="611"/>
      <c r="L7" s="1132"/>
      <c r="M7" s="1133"/>
      <c r="N7" s="1133"/>
      <c r="O7" s="1133"/>
      <c r="P7" s="3250" t="s">
        <v>2548</v>
      </c>
      <c r="Q7" s="3232"/>
      <c r="R7" s="770" t="s">
        <v>17</v>
      </c>
      <c r="S7" s="771">
        <f t="shared" ref="S7:S15" si="0">F7</f>
        <v>100</v>
      </c>
      <c r="T7" s="770" t="s">
        <v>17</v>
      </c>
      <c r="U7" s="771">
        <f t="shared" ref="U7:U15" si="1">H7</f>
        <v>100</v>
      </c>
      <c r="V7" s="770" t="s">
        <v>17</v>
      </c>
      <c r="W7" s="771">
        <f t="shared" ref="W7:W15" si="2">J7</f>
        <v>100</v>
      </c>
      <c r="X7" s="772"/>
      <c r="Y7" s="3230" t="s">
        <v>2548</v>
      </c>
      <c r="Z7" s="3231"/>
      <c r="AA7" s="773">
        <f>D7/F7</f>
        <v>1</v>
      </c>
      <c r="AB7" s="773">
        <f>D7/H7</f>
        <v>1</v>
      </c>
      <c r="AC7" s="2673">
        <f>D7/J7</f>
        <v>1</v>
      </c>
    </row>
    <row r="8" spans="1:29" s="117" customFormat="1" ht="14.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2"/>
      <c r="M8" s="1133"/>
      <c r="N8" s="1133"/>
      <c r="O8" s="1133"/>
      <c r="P8" s="3250" t="s">
        <v>2551</v>
      </c>
      <c r="Q8" s="3231"/>
      <c r="R8" s="770" t="s">
        <v>17</v>
      </c>
      <c r="S8" s="771">
        <f t="shared" si="0"/>
        <v>100</v>
      </c>
      <c r="T8" s="770" t="s">
        <v>17</v>
      </c>
      <c r="U8" s="771">
        <f t="shared" si="1"/>
        <v>100</v>
      </c>
      <c r="V8" s="770" t="s">
        <v>17</v>
      </c>
      <c r="W8" s="771">
        <f t="shared" si="2"/>
        <v>100</v>
      </c>
      <c r="X8" s="772"/>
      <c r="Y8" s="3230" t="s">
        <v>2551</v>
      </c>
      <c r="Z8" s="3231"/>
      <c r="AA8" s="773">
        <f t="shared" ref="AA8:AA47" si="3">D8/F8</f>
        <v>1</v>
      </c>
      <c r="AB8" s="773">
        <f t="shared" ref="AB8:AB47" si="4">D8/H8</f>
        <v>1</v>
      </c>
      <c r="AC8" s="2673">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2673">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3">
        <f t="shared" si="5"/>
        <v>1</v>
      </c>
    </row>
    <row r="11" spans="1:29" ht="15.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05"/>
      <c r="Q11" s="1795" t="str">
        <f t="shared" si="6"/>
        <v>容积率</v>
      </c>
      <c r="R11" s="770" t="s">
        <v>17</v>
      </c>
      <c r="S11" s="771">
        <f t="shared" si="0"/>
        <v>100</v>
      </c>
      <c r="T11" s="770" t="s">
        <v>17</v>
      </c>
      <c r="U11" s="771">
        <f t="shared" si="1"/>
        <v>100</v>
      </c>
      <c r="V11" s="770" t="s">
        <v>17</v>
      </c>
      <c r="W11" s="771">
        <f t="shared" si="2"/>
        <v>100</v>
      </c>
      <c r="X11" s="772"/>
      <c r="Y11" s="3019"/>
      <c r="Z11" s="55" t="str">
        <f t="shared" si="7"/>
        <v>容积率</v>
      </c>
      <c r="AA11" s="773">
        <f t="shared" si="3"/>
        <v>1</v>
      </c>
      <c r="AB11" s="773">
        <f t="shared" si="4"/>
        <v>1</v>
      </c>
      <c r="AC11" s="2673">
        <f t="shared" si="5"/>
        <v>1</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3">
        <f t="shared" si="5"/>
        <v>1</v>
      </c>
    </row>
    <row r="15" spans="1:29" ht="70">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3" t="s">
        <v>2559</v>
      </c>
      <c r="Q15" s="1810" t="str">
        <f t="shared" si="6"/>
        <v>办公集聚程度</v>
      </c>
      <c r="R15" s="774" t="s">
        <v>17</v>
      </c>
      <c r="S15" s="775">
        <f t="shared" si="0"/>
        <v>100</v>
      </c>
      <c r="T15" s="774" t="s">
        <v>17</v>
      </c>
      <c r="U15" s="775">
        <f t="shared" si="1"/>
        <v>100</v>
      </c>
      <c r="V15" s="774" t="s">
        <v>17</v>
      </c>
      <c r="W15" s="775">
        <f t="shared" si="2"/>
        <v>100</v>
      </c>
      <c r="X15" s="1813"/>
      <c r="Y15" s="3196" t="s">
        <v>2559</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04"/>
      <c r="Q18" s="1810"/>
      <c r="R18" s="774"/>
      <c r="S18" s="775"/>
      <c r="T18" s="774"/>
      <c r="U18" s="775"/>
      <c r="V18" s="774"/>
      <c r="W18" s="775"/>
      <c r="X18" s="1813"/>
      <c r="Y18" s="3197"/>
      <c r="Z18" s="1814"/>
      <c r="AA18" s="1811">
        <v>1</v>
      </c>
      <c r="AB18" s="1811">
        <v>1</v>
      </c>
      <c r="AC18" s="2676">
        <v>1</v>
      </c>
    </row>
    <row r="19" spans="1:29" ht="42">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04"/>
      <c r="Q20" s="1810"/>
      <c r="R20" s="774"/>
      <c r="S20" s="775"/>
      <c r="T20" s="774"/>
      <c r="U20" s="775"/>
      <c r="V20" s="774"/>
      <c r="W20" s="775"/>
      <c r="X20" s="1813"/>
      <c r="Y20" s="3197"/>
      <c r="Z20" s="1814"/>
      <c r="AA20" s="1811">
        <v>1</v>
      </c>
      <c r="AB20" s="1811">
        <v>1</v>
      </c>
      <c r="AC20" s="2676">
        <v>1</v>
      </c>
    </row>
    <row r="21" spans="1:29" ht="28">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04"/>
      <c r="Q22" s="1810"/>
      <c r="R22" s="774"/>
      <c r="S22" s="775"/>
      <c r="T22" s="774"/>
      <c r="U22" s="775"/>
      <c r="V22" s="774"/>
      <c r="W22" s="775"/>
      <c r="X22" s="1813"/>
      <c r="Y22" s="3197"/>
      <c r="Z22" s="1814"/>
      <c r="AA22" s="1811">
        <v>1</v>
      </c>
      <c r="AB22" s="1811">
        <v>1</v>
      </c>
      <c r="AC22" s="2676">
        <v>1</v>
      </c>
    </row>
    <row r="23" spans="1:29" ht="56">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4"/>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04"/>
      <c r="Q24" s="1810"/>
      <c r="R24" s="774"/>
      <c r="S24" s="775"/>
      <c r="T24" s="774"/>
      <c r="U24" s="775"/>
      <c r="V24" s="774"/>
      <c r="W24" s="775"/>
      <c r="X24" s="1813"/>
      <c r="Y24" s="3197"/>
      <c r="Z24" s="1814"/>
      <c r="AA24" s="1811">
        <v>1</v>
      </c>
      <c r="AB24" s="1811">
        <v>1</v>
      </c>
      <c r="AC24" s="2676">
        <v>1</v>
      </c>
    </row>
    <row r="25" spans="1:29" ht="2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04"/>
      <c r="Q25" s="1810" t="str">
        <f>B25</f>
        <v>毗邻道路的类型与等级</v>
      </c>
      <c r="R25" s="774" t="s">
        <v>17</v>
      </c>
      <c r="S25" s="775">
        <f>F25</f>
        <v>100</v>
      </c>
      <c r="T25" s="774" t="s">
        <v>17</v>
      </c>
      <c r="U25" s="775">
        <f>H25</f>
        <v>100</v>
      </c>
      <c r="V25" s="774" t="s">
        <v>17</v>
      </c>
      <c r="W25" s="775">
        <f>J25</f>
        <v>100</v>
      </c>
      <c r="X25" s="1813"/>
      <c r="Y25" s="3197"/>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04"/>
      <c r="Q26" s="1810"/>
      <c r="R26" s="774"/>
      <c r="S26" s="775"/>
      <c r="T26" s="774"/>
      <c r="U26" s="775"/>
      <c r="V26" s="774"/>
      <c r="W26" s="775"/>
      <c r="X26" s="1813"/>
      <c r="Y26" s="3197"/>
      <c r="Z26" s="1814"/>
      <c r="AA26" s="1811">
        <v>1</v>
      </c>
      <c r="AB26" s="1811">
        <v>1</v>
      </c>
      <c r="AC26" s="2676">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4"/>
      <c r="Q27" s="1810" t="str">
        <f t="shared" ref="Q27:Q47" si="11">B27</f>
        <v>楼层</v>
      </c>
      <c r="R27" s="774" t="s">
        <v>17</v>
      </c>
      <c r="S27" s="775">
        <f>F27</f>
        <v>100</v>
      </c>
      <c r="T27" s="774" t="s">
        <v>17</v>
      </c>
      <c r="U27" s="775">
        <f>H27</f>
        <v>100</v>
      </c>
      <c r="V27" s="774" t="s">
        <v>17</v>
      </c>
      <c r="W27" s="775">
        <f>J27</f>
        <v>100</v>
      </c>
      <c r="X27" s="1813"/>
      <c r="Y27" s="3197"/>
      <c r="Z27" s="1814" t="str">
        <f>Q27</f>
        <v>楼层</v>
      </c>
      <c r="AA27" s="1811">
        <f t="shared" si="3"/>
        <v>1</v>
      </c>
      <c r="AB27" s="1811">
        <f t="shared" si="4"/>
        <v>1</v>
      </c>
      <c r="AC27" s="2676">
        <f t="shared" si="5"/>
        <v>1</v>
      </c>
    </row>
    <row r="28" spans="1:29" s="117" customFormat="1" ht="15.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04"/>
      <c r="Q28" s="1795" t="str">
        <f t="shared" si="11"/>
        <v>朝向</v>
      </c>
      <c r="R28" s="770" t="s">
        <v>17</v>
      </c>
      <c r="S28" s="771">
        <f>F28</f>
        <v>100</v>
      </c>
      <c r="T28" s="770" t="s">
        <v>17</v>
      </c>
      <c r="U28" s="771">
        <f>H28</f>
        <v>100</v>
      </c>
      <c r="V28" s="770" t="s">
        <v>17</v>
      </c>
      <c r="W28" s="771">
        <f>J28</f>
        <v>100</v>
      </c>
      <c r="X28" s="772"/>
      <c r="Y28" s="3197"/>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04"/>
      <c r="Q29" s="1810">
        <f t="shared" si="11"/>
        <v>111</v>
      </c>
      <c r="R29" s="774" t="s">
        <v>17</v>
      </c>
      <c r="S29" s="775">
        <f t="shared" ref="S29:S47" si="12">F29</f>
        <v>100</v>
      </c>
      <c r="T29" s="774" t="s">
        <v>17</v>
      </c>
      <c r="U29" s="775">
        <f t="shared" ref="U29:U47" si="13">H29</f>
        <v>100</v>
      </c>
      <c r="V29" s="774" t="s">
        <v>17</v>
      </c>
      <c r="W29" s="775">
        <f t="shared" ref="W29:W47" si="14">J29</f>
        <v>100</v>
      </c>
      <c r="X29" s="1813"/>
      <c r="Y29" s="3197"/>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04"/>
      <c r="Q32" s="1810">
        <f t="shared" si="11"/>
        <v>111</v>
      </c>
      <c r="R32" s="774" t="s">
        <v>17</v>
      </c>
      <c r="S32" s="775">
        <f t="shared" si="12"/>
        <v>100</v>
      </c>
      <c r="T32" s="774" t="s">
        <v>17</v>
      </c>
      <c r="U32" s="775">
        <f t="shared" si="13"/>
        <v>100</v>
      </c>
      <c r="V32" s="774" t="s">
        <v>17</v>
      </c>
      <c r="W32" s="775">
        <f t="shared" si="14"/>
        <v>100</v>
      </c>
      <c r="X32" s="1813"/>
      <c r="Y32" s="3197"/>
      <c r="Z32" s="1814">
        <f t="shared" si="15"/>
        <v>111</v>
      </c>
      <c r="AA32" s="1811">
        <f t="shared" si="3"/>
        <v>1</v>
      </c>
      <c r="AB32" s="1811">
        <f t="shared" si="4"/>
        <v>1</v>
      </c>
      <c r="AC32" s="2676">
        <f t="shared" si="5"/>
        <v>1</v>
      </c>
    </row>
    <row r="33" spans="1:29" ht="15.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98" t="s">
        <v>2564</v>
      </c>
      <c r="Q33" s="1810" t="str">
        <f t="shared" si="11"/>
        <v>建筑类型</v>
      </c>
      <c r="R33" s="774" t="s">
        <v>17</v>
      </c>
      <c r="S33" s="775">
        <f t="shared" si="12"/>
        <v>100</v>
      </c>
      <c r="T33" s="774" t="s">
        <v>17</v>
      </c>
      <c r="U33" s="775">
        <f t="shared" si="13"/>
        <v>100</v>
      </c>
      <c r="V33" s="774" t="s">
        <v>17</v>
      </c>
      <c r="W33" s="775">
        <f t="shared" si="14"/>
        <v>100</v>
      </c>
      <c r="X33" s="1813"/>
      <c r="Y33" s="3201" t="s">
        <v>2564</v>
      </c>
      <c r="Z33" s="1814" t="str">
        <f t="shared" si="15"/>
        <v>建筑类型</v>
      </c>
      <c r="AA33" s="1811">
        <f t="shared" si="3"/>
        <v>1</v>
      </c>
      <c r="AB33" s="1811">
        <f t="shared" si="4"/>
        <v>1</v>
      </c>
      <c r="AC33" s="2676">
        <f t="shared" si="5"/>
        <v>1</v>
      </c>
    </row>
    <row r="34" spans="1:29" s="471" customFormat="1" ht="15.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199"/>
      <c r="Q34" s="776" t="str">
        <f t="shared" si="11"/>
        <v>项目建筑规模</v>
      </c>
      <c r="R34" s="777" t="s">
        <v>17</v>
      </c>
      <c r="S34" s="778">
        <f t="shared" si="12"/>
        <v>100</v>
      </c>
      <c r="T34" s="777" t="s">
        <v>17</v>
      </c>
      <c r="U34" s="778">
        <f t="shared" si="13"/>
        <v>100</v>
      </c>
      <c r="V34" s="777" t="s">
        <v>17</v>
      </c>
      <c r="W34" s="778">
        <f t="shared" si="14"/>
        <v>100</v>
      </c>
      <c r="X34" s="779"/>
      <c r="Y34" s="3201"/>
      <c r="Z34" s="780" t="str">
        <f t="shared" si="15"/>
        <v>项目建筑规模</v>
      </c>
      <c r="AA34" s="1811">
        <f t="shared" si="3"/>
        <v>1</v>
      </c>
      <c r="AB34" s="1811">
        <f t="shared" si="4"/>
        <v>1</v>
      </c>
      <c r="AC34" s="2676">
        <f t="shared" si="5"/>
        <v>1</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9"/>
      <c r="Q35" s="1810" t="str">
        <f t="shared" si="11"/>
        <v>建筑结构</v>
      </c>
      <c r="R35" s="774" t="s">
        <v>17</v>
      </c>
      <c r="S35" s="775">
        <f t="shared" si="12"/>
        <v>100</v>
      </c>
      <c r="T35" s="774" t="s">
        <v>17</v>
      </c>
      <c r="U35" s="775">
        <f t="shared" si="13"/>
        <v>100</v>
      </c>
      <c r="V35" s="774" t="s">
        <v>17</v>
      </c>
      <c r="W35" s="775">
        <f t="shared" si="14"/>
        <v>100</v>
      </c>
      <c r="X35" s="1813"/>
      <c r="Y35" s="3201"/>
      <c r="Z35" s="1814" t="str">
        <f t="shared" si="15"/>
        <v>建筑结构</v>
      </c>
      <c r="AA35" s="1811">
        <f t="shared" si="3"/>
        <v>1</v>
      </c>
      <c r="AB35" s="1811">
        <f t="shared" si="4"/>
        <v>1</v>
      </c>
      <c r="AC35" s="2676">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9"/>
      <c r="Q36" s="1810" t="str">
        <f t="shared" si="11"/>
        <v>公共部分装修</v>
      </c>
      <c r="R36" s="774" t="s">
        <v>17</v>
      </c>
      <c r="S36" s="775">
        <f t="shared" si="12"/>
        <v>100</v>
      </c>
      <c r="T36" s="774" t="s">
        <v>17</v>
      </c>
      <c r="U36" s="775">
        <f t="shared" si="13"/>
        <v>100</v>
      </c>
      <c r="V36" s="774" t="s">
        <v>17</v>
      </c>
      <c r="W36" s="775">
        <f t="shared" si="14"/>
        <v>100</v>
      </c>
      <c r="X36" s="1813"/>
      <c r="Y36" s="3201"/>
      <c r="Z36" s="1814" t="str">
        <f t="shared" si="15"/>
        <v>公共部分装修</v>
      </c>
      <c r="AA36" s="1811">
        <f t="shared" si="3"/>
        <v>1</v>
      </c>
      <c r="AB36" s="1811">
        <f t="shared" si="4"/>
        <v>1</v>
      </c>
      <c r="AC36" s="2676">
        <f t="shared" si="5"/>
        <v>1</v>
      </c>
    </row>
    <row r="37" spans="1:29" ht="15.5">
      <c r="A37" s="472"/>
      <c r="B37" s="422" t="s">
        <v>2661</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199"/>
      <c r="Q37" s="1810" t="str">
        <f t="shared" si="11"/>
        <v>成新度</v>
      </c>
      <c r="R37" s="774" t="s">
        <v>17</v>
      </c>
      <c r="S37" s="775">
        <f t="shared" si="12"/>
        <v>100</v>
      </c>
      <c r="T37" s="774" t="s">
        <v>17</v>
      </c>
      <c r="U37" s="775">
        <f t="shared" si="13"/>
        <v>100</v>
      </c>
      <c r="V37" s="774" t="s">
        <v>17</v>
      </c>
      <c r="W37" s="775">
        <f t="shared" si="14"/>
        <v>100</v>
      </c>
      <c r="X37" s="1813"/>
      <c r="Y37" s="3201"/>
      <c r="Z37" s="1814" t="str">
        <f t="shared" si="15"/>
        <v>成新度</v>
      </c>
      <c r="AA37" s="1811">
        <f t="shared" si="3"/>
        <v>1</v>
      </c>
      <c r="AB37" s="1811">
        <f t="shared" si="4"/>
        <v>1</v>
      </c>
      <c r="AC37" s="2676">
        <f t="shared" si="5"/>
        <v>1</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9"/>
      <c r="Q38" s="1795"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3">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9" t="s">
        <v>2564</v>
      </c>
      <c r="Q39" s="1810" t="str">
        <f t="shared" si="11"/>
        <v>物业管理</v>
      </c>
      <c r="R39" s="774" t="s">
        <v>17</v>
      </c>
      <c r="S39" s="775">
        <f t="shared" si="12"/>
        <v>100</v>
      </c>
      <c r="T39" s="774" t="s">
        <v>17</v>
      </c>
      <c r="U39" s="775">
        <f t="shared" si="13"/>
        <v>100</v>
      </c>
      <c r="V39" s="774" t="s">
        <v>17</v>
      </c>
      <c r="W39" s="775">
        <f t="shared" si="14"/>
        <v>100</v>
      </c>
      <c r="X39" s="1813"/>
      <c r="Y39" s="3201" t="s">
        <v>2564</v>
      </c>
      <c r="Z39" s="1814" t="str">
        <f t="shared" si="15"/>
        <v>物业管理</v>
      </c>
      <c r="AA39" s="1811">
        <f t="shared" si="3"/>
        <v>1</v>
      </c>
      <c r="AB39" s="1811">
        <f t="shared" si="4"/>
        <v>1</v>
      </c>
      <c r="AC39" s="2676">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9"/>
      <c r="Q40" s="1810" t="str">
        <f t="shared" si="11"/>
        <v>市政基础设施</v>
      </c>
      <c r="R40" s="774" t="s">
        <v>17</v>
      </c>
      <c r="S40" s="775">
        <f t="shared" si="12"/>
        <v>100</v>
      </c>
      <c r="T40" s="774" t="s">
        <v>17</v>
      </c>
      <c r="U40" s="775">
        <f t="shared" si="13"/>
        <v>100</v>
      </c>
      <c r="V40" s="774" t="s">
        <v>17</v>
      </c>
      <c r="W40" s="775">
        <f t="shared" si="14"/>
        <v>100</v>
      </c>
      <c r="X40" s="1813"/>
      <c r="Y40" s="3201"/>
      <c r="Z40" s="1814" t="str">
        <f t="shared" si="15"/>
        <v>市政基础设施</v>
      </c>
      <c r="AA40" s="1811">
        <f t="shared" si="3"/>
        <v>1</v>
      </c>
      <c r="AB40" s="1811">
        <f t="shared" si="4"/>
        <v>1</v>
      </c>
      <c r="AC40" s="2676">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9"/>
      <c r="Q41" s="1810" t="str">
        <f t="shared" si="11"/>
        <v>层高</v>
      </c>
      <c r="R41" s="774" t="s">
        <v>17</v>
      </c>
      <c r="S41" s="775">
        <f t="shared" si="12"/>
        <v>100</v>
      </c>
      <c r="T41" s="774" t="s">
        <v>17</v>
      </c>
      <c r="U41" s="775">
        <f t="shared" si="13"/>
        <v>100</v>
      </c>
      <c r="V41" s="774" t="s">
        <v>17</v>
      </c>
      <c r="W41" s="775">
        <f t="shared" si="14"/>
        <v>100</v>
      </c>
      <c r="X41" s="1813"/>
      <c r="Y41" s="3201"/>
      <c r="Z41" s="1814" t="str">
        <f t="shared" si="15"/>
        <v>层高</v>
      </c>
      <c r="AA41" s="1811">
        <f t="shared" si="3"/>
        <v>1</v>
      </c>
      <c r="AB41" s="1811">
        <f t="shared" si="4"/>
        <v>1</v>
      </c>
      <c r="AC41" s="2676">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1">
        <f t="shared" si="3"/>
        <v>1</v>
      </c>
      <c r="AB42" s="1811">
        <f t="shared" si="4"/>
        <v>1</v>
      </c>
      <c r="AC42" s="2676">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9"/>
      <c r="Q43" s="1810" t="str">
        <f t="shared" si="11"/>
        <v>内部装修</v>
      </c>
      <c r="R43" s="774" t="s">
        <v>17</v>
      </c>
      <c r="S43" s="775">
        <f t="shared" si="12"/>
        <v>100</v>
      </c>
      <c r="T43" s="774" t="s">
        <v>17</v>
      </c>
      <c r="U43" s="775">
        <f t="shared" si="13"/>
        <v>100</v>
      </c>
      <c r="V43" s="774" t="s">
        <v>17</v>
      </c>
      <c r="W43" s="775">
        <f t="shared" si="14"/>
        <v>100</v>
      </c>
      <c r="X43" s="1813"/>
      <c r="Y43" s="3201"/>
      <c r="Z43" s="1814" t="str">
        <f t="shared" si="15"/>
        <v>内部装修</v>
      </c>
      <c r="AA43" s="1811">
        <f t="shared" si="3"/>
        <v>1</v>
      </c>
      <c r="AB43" s="1811">
        <f t="shared" si="4"/>
        <v>1</v>
      </c>
      <c r="AC43" s="2676">
        <f t="shared" si="5"/>
        <v>1</v>
      </c>
    </row>
    <row r="44" spans="1:29" ht="2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99"/>
      <c r="Q44" s="1810" t="str">
        <f t="shared" si="11"/>
        <v>内部装修维护情况</v>
      </c>
      <c r="R44" s="774" t="s">
        <v>17</v>
      </c>
      <c r="S44" s="775">
        <f t="shared" si="12"/>
        <v>100</v>
      </c>
      <c r="T44" s="774" t="s">
        <v>17</v>
      </c>
      <c r="U44" s="775">
        <f t="shared" si="13"/>
        <v>100</v>
      </c>
      <c r="V44" s="774" t="s">
        <v>17</v>
      </c>
      <c r="W44" s="775">
        <f t="shared" si="14"/>
        <v>100</v>
      </c>
      <c r="X44" s="1813"/>
      <c r="Y44" s="3201"/>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9"/>
      <c r="Q45" s="1795">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9"/>
      <c r="Q46" s="1810">
        <f t="shared" si="11"/>
        <v>111</v>
      </c>
      <c r="R46" s="774" t="s">
        <v>17</v>
      </c>
      <c r="S46" s="775">
        <f t="shared" si="12"/>
        <v>100</v>
      </c>
      <c r="T46" s="774" t="s">
        <v>17</v>
      </c>
      <c r="U46" s="775">
        <f t="shared" si="13"/>
        <v>100</v>
      </c>
      <c r="V46" s="774" t="s">
        <v>17</v>
      </c>
      <c r="W46" s="775">
        <f t="shared" si="14"/>
        <v>100</v>
      </c>
      <c r="X46" s="1813"/>
      <c r="Y46" s="3201"/>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0"/>
      <c r="Q47" s="1810">
        <f t="shared" si="11"/>
        <v>111</v>
      </c>
      <c r="R47" s="774" t="s">
        <v>17</v>
      </c>
      <c r="S47" s="775">
        <f t="shared" si="12"/>
        <v>100</v>
      </c>
      <c r="T47" s="774" t="s">
        <v>17</v>
      </c>
      <c r="U47" s="775">
        <f t="shared" si="13"/>
        <v>100</v>
      </c>
      <c r="V47" s="774" t="s">
        <v>17</v>
      </c>
      <c r="W47" s="775">
        <f t="shared" si="14"/>
        <v>100</v>
      </c>
      <c r="X47" s="1813"/>
      <c r="Y47" s="3202"/>
      <c r="Z47" s="1814">
        <f t="shared" si="15"/>
        <v>111</v>
      </c>
      <c r="AA47" s="1811">
        <f t="shared" si="3"/>
        <v>1</v>
      </c>
      <c r="AB47" s="1811">
        <f t="shared" si="4"/>
        <v>1</v>
      </c>
      <c r="AC47" s="2676">
        <f t="shared" si="5"/>
        <v>1</v>
      </c>
    </row>
    <row r="48" spans="1:29">
      <c r="A48" s="479" t="s">
        <v>2576</v>
      </c>
      <c r="B48" s="480"/>
      <c r="C48" s="1407" t="s">
        <v>1</v>
      </c>
      <c r="D48" s="1408"/>
      <c r="E48" s="1409">
        <v>4700</v>
      </c>
      <c r="F48" s="1410"/>
      <c r="G48" s="1411">
        <v>5000</v>
      </c>
      <c r="H48" s="1412"/>
      <c r="I48" s="1409">
        <v>4180</v>
      </c>
      <c r="J48" s="485"/>
      <c r="K48" s="783"/>
      <c r="L48" s="1143"/>
      <c r="M48" s="1131"/>
      <c r="N48" s="1131"/>
      <c r="O48" s="1131"/>
      <c r="P48" s="3205" t="str">
        <f>A48</f>
        <v>成交单价（元/平方米）</v>
      </c>
      <c r="Q48" s="3194"/>
      <c r="R48" s="3195">
        <f>E48</f>
        <v>4700</v>
      </c>
      <c r="S48" s="3195"/>
      <c r="T48" s="3195">
        <f>G48</f>
        <v>5000</v>
      </c>
      <c r="U48" s="3195"/>
      <c r="V48" s="3195">
        <f>I48</f>
        <v>4180</v>
      </c>
      <c r="W48" s="3195"/>
      <c r="X48" s="446"/>
      <c r="Y48" s="781"/>
      <c r="Z48" s="446"/>
      <c r="AA48" s="446"/>
      <c r="AB48" s="446"/>
      <c r="AC48" s="630"/>
    </row>
    <row r="49" spans="1:29" ht="14.5" thickBot="1">
      <c r="A49" s="486" t="s">
        <v>2668</v>
      </c>
      <c r="B49" s="487"/>
      <c r="C49" s="1413">
        <f>R50</f>
        <v>4627</v>
      </c>
      <c r="D49" s="1414"/>
      <c r="E49" s="1415">
        <f>R49</f>
        <v>4700</v>
      </c>
      <c r="F49" s="1415"/>
      <c r="G49" s="1413">
        <f>T49</f>
        <v>5000</v>
      </c>
      <c r="H49" s="1414"/>
      <c r="I49" s="1415">
        <f>V49</f>
        <v>4180</v>
      </c>
      <c r="J49" s="489"/>
      <c r="K49" s="784"/>
      <c r="L49" s="1143"/>
      <c r="M49" s="1131"/>
      <c r="N49" s="1131"/>
      <c r="O49" s="1131"/>
      <c r="P49" s="3205" t="str">
        <f>A49</f>
        <v>比较价值（元/平方米）</v>
      </c>
      <c r="Q49" s="3194"/>
      <c r="R49" s="3195">
        <f>IF(F1="售价",ROUND(PRODUCT(R48,AA7:AA47),0),ROUND(PRODUCT(R48,AA7:AA47),1))</f>
        <v>4700</v>
      </c>
      <c r="S49" s="3195"/>
      <c r="T49" s="3195">
        <f>IF(F1="售价",ROUND(PRODUCT(T48,AB7:AB47),0),ROUND(PRODUCT(T48,AB7:AB47),1))</f>
        <v>5000</v>
      </c>
      <c r="U49" s="3195"/>
      <c r="V49" s="3195">
        <f>IF(F1="售价",ROUND(PRODUCT(V48,AC7:AC47),0),ROUND(PRODUCT(V48,AC7:AC47),1))</f>
        <v>4180</v>
      </c>
      <c r="W49" s="3195"/>
      <c r="X49" s="446"/>
      <c r="Y49" s="446"/>
      <c r="Z49" s="446"/>
      <c r="AA49" s="446"/>
      <c r="AB49" s="446"/>
      <c r="AC49" s="630"/>
    </row>
    <row r="50" spans="1:29" ht="14.5" thickBot="1">
      <c r="A50" s="492" t="s">
        <v>2669</v>
      </c>
      <c r="B50" s="493"/>
      <c r="C50" s="1417">
        <f>R50</f>
        <v>4627</v>
      </c>
      <c r="D50" s="1417"/>
      <c r="E50" s="1417"/>
      <c r="F50" s="1417"/>
      <c r="G50" s="1417"/>
      <c r="H50" s="1417"/>
      <c r="I50" s="1417"/>
      <c r="J50" s="494"/>
      <c r="K50" s="785"/>
      <c r="L50" s="1143"/>
      <c r="M50" s="1131"/>
      <c r="N50" s="1131"/>
      <c r="O50" s="1131"/>
      <c r="P50" s="3237" t="str">
        <f>A50</f>
        <v>估价对象XX用房的比较价值（楼面单价，元/平方米）</v>
      </c>
      <c r="Q50" s="3238"/>
      <c r="R50" s="3239">
        <f>IF(F1="售价",ROUND(AVERAGE(R49:V49),0),ROUND(AVERAGE(R49:V49),1))</f>
        <v>4627</v>
      </c>
      <c r="S50" s="3239"/>
      <c r="T50" s="3239"/>
      <c r="U50" s="3239"/>
      <c r="V50" s="3239"/>
      <c r="W50" s="323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6.3829787234042534E-2</v>
      </c>
      <c r="F54" s="500" t="str">
        <f>IF(OR(E54&gt;=0.2,E54&lt;=-0.2),"超过20%","")</f>
        <v/>
      </c>
      <c r="G54" s="499">
        <f>IF(G49&lt;I49,I49/G49-1,G49/I49-1)</f>
        <v>0.19617224880382778</v>
      </c>
      <c r="H54" s="500" t="str">
        <f>IF(OR(G54&gt;=0.2,G54&lt;=-0.2),"超过20%","")</f>
        <v/>
      </c>
      <c r="I54" s="499">
        <f>IF(I49&lt;E49,E49/I49-1,I49/E49-1)</f>
        <v>0.12440191387559807</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6.3829787234042534E-2</v>
      </c>
      <c r="F55" s="500" t="str">
        <f>IF(OR(E55&gt;=0.3,E55&lt;=-0.3),"超过30%","")</f>
        <v/>
      </c>
      <c r="G55" s="499">
        <f>IF(G48&lt;I48,I48/G48-1,G48/I48-1)</f>
        <v>0.19617224880382778</v>
      </c>
      <c r="H55" s="500" t="str">
        <f>IF(OR(G55&gt;=0.3,G55&lt;=-0.3),"超过30%","")</f>
        <v/>
      </c>
      <c r="I55" s="499">
        <f>IF(I48&lt;E48,E48/I48-1,I48/E48-1)</f>
        <v>0.12440191387559807</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3"/>
      <c r="Q58" s="504"/>
    </row>
    <row r="59" spans="1:29" s="508" customFormat="1">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2584</v>
      </c>
      <c r="B61" s="516"/>
      <c r="C61" s="517"/>
      <c r="D61" s="518"/>
      <c r="E61" s="518"/>
      <c r="F61" s="518"/>
      <c r="G61" s="518"/>
      <c r="H61" s="518"/>
      <c r="I61" s="518"/>
      <c r="J61" s="518"/>
      <c r="K61" s="518"/>
      <c r="L61" s="518"/>
      <c r="M61" s="519"/>
      <c r="N61" s="518"/>
      <c r="O61" s="519"/>
      <c r="P61" s="2684"/>
      <c r="Q61" s="504"/>
    </row>
    <row r="62" spans="1:29" s="117" customFormat="1">
      <c r="A62" s="521" t="s">
        <v>2549</v>
      </c>
      <c r="B62" s="510"/>
      <c r="C62" s="522" t="s">
        <v>2651</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v>0</v>
      </c>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2698</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2613</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2615</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2616</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2617</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2700</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2619</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K15" sqref="K15"/>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27</v>
      </c>
      <c r="D1" s="1820" t="s">
        <v>70</v>
      </c>
      <c r="E1" s="1821" t="s">
        <v>1381</v>
      </c>
      <c r="F1" s="1283">
        <f ca="1">J53</f>
        <v>31.46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7019</v>
      </c>
      <c r="C2" s="1845" t="s">
        <v>1510</v>
      </c>
      <c r="D2" s="1845"/>
      <c r="E2" s="1846"/>
      <c r="F2" s="1847"/>
      <c r="G2" s="1848"/>
      <c r="H2" s="1840"/>
      <c r="I2" s="1840"/>
      <c r="J2" s="1840"/>
      <c r="K2" s="1841"/>
      <c r="L2" s="1840"/>
      <c r="M2" s="1840"/>
    </row>
    <row r="3" spans="1:37" ht="18" customHeight="1" thickBot="1">
      <c r="A3" s="1849" t="s">
        <v>1511</v>
      </c>
      <c r="B3" s="1850">
        <f ca="1">IF(ISERROR(B2*10000/F43),0,ROUND(B2*10000/F43,0))</f>
        <v>4239</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515</v>
      </c>
      <c r="D5" s="1822" t="s">
        <v>1396</v>
      </c>
      <c r="E5" s="1293"/>
      <c r="F5" s="1294"/>
      <c r="G5" s="1851"/>
      <c r="H5" s="344">
        <v>1</v>
      </c>
      <c r="I5" s="345" t="s">
        <v>1395</v>
      </c>
      <c r="J5" s="1292">
        <f ca="1">J6+J10+J12</f>
        <v>0</v>
      </c>
      <c r="K5" s="1822" t="s">
        <v>1396</v>
      </c>
      <c r="L5" s="1293"/>
      <c r="M5" s="1294"/>
    </row>
    <row r="6" spans="1:37" ht="18" customHeight="1">
      <c r="A6" s="1291" t="s">
        <v>1031</v>
      </c>
      <c r="B6" s="3166" t="s">
        <v>1397</v>
      </c>
      <c r="C6" s="1296">
        <f ca="1">ROUND(F6*F8*F7*(1-F9)/10000,0)</f>
        <v>514</v>
      </c>
      <c r="D6" s="164" t="s">
        <v>3031</v>
      </c>
      <c r="E6" s="347" t="s">
        <v>1399</v>
      </c>
      <c r="F6" s="348">
        <f ca="1">INDIRECT("'数据-取费表'!u"&amp;$G$1)</f>
        <v>1</v>
      </c>
      <c r="G6" s="1851"/>
      <c r="H6" s="1291" t="s">
        <v>1031</v>
      </c>
      <c r="I6" s="3166" t="s">
        <v>1397</v>
      </c>
      <c r="J6" s="346">
        <f ca="1">ROUND(M6*M8*M7*(1-M9)/10000,0)</f>
        <v>0</v>
      </c>
      <c r="K6" s="164" t="s">
        <v>3030</v>
      </c>
      <c r="L6" s="347" t="s">
        <v>1399</v>
      </c>
      <c r="M6" s="348">
        <f ca="1">INDIRECT("'数据-取费表'!z"&amp;$G$1)</f>
        <v>0</v>
      </c>
    </row>
    <row r="7" spans="1:37" ht="18" customHeight="1">
      <c r="A7" s="1295"/>
      <c r="B7" s="3167"/>
      <c r="C7" s="1297"/>
      <c r="D7" s="352"/>
      <c r="E7" s="1298" t="s">
        <v>1400</v>
      </c>
      <c r="F7" s="348">
        <f ca="1">IF(INDIRECT("'数据-取费表'!ah"&amp;$G$1)="",INDIRECT("'数据-取费表'!k"&amp;$G$1),INDIRECT("'数据-取费表'!ah"&amp;$G$1))</f>
        <v>16556.82</v>
      </c>
      <c r="G7" s="1851"/>
      <c r="H7" s="349"/>
      <c r="I7" s="3167"/>
      <c r="J7" s="351"/>
      <c r="K7" s="352"/>
      <c r="L7" s="347" t="s">
        <v>1400</v>
      </c>
      <c r="M7" s="348">
        <f ca="1">F7</f>
        <v>16556.82</v>
      </c>
    </row>
    <row r="8" spans="1:37" ht="18" customHeight="1">
      <c r="A8" s="349"/>
      <c r="B8" s="3167"/>
      <c r="C8" s="351"/>
      <c r="D8" s="352"/>
      <c r="E8" s="347" t="s">
        <v>1401</v>
      </c>
      <c r="F8" s="348">
        <f ca="1">INDIRECT("'数据-取费表'!ai"&amp;$G$1)</f>
        <v>365</v>
      </c>
      <c r="G8" s="1851"/>
      <c r="H8" s="349"/>
      <c r="I8" s="3167"/>
      <c r="J8" s="351"/>
      <c r="K8" s="352"/>
      <c r="L8" s="347" t="s">
        <v>1401</v>
      </c>
      <c r="M8" s="348">
        <f ca="1">INDIRECT("'数据-取费表'!ai"&amp;$G$1)</f>
        <v>365</v>
      </c>
    </row>
    <row r="9" spans="1:37" ht="18" customHeight="1">
      <c r="A9" s="349"/>
      <c r="B9" s="3168"/>
      <c r="C9" s="351"/>
      <c r="D9" s="352"/>
      <c r="E9" s="347" t="s">
        <v>1402</v>
      </c>
      <c r="F9" s="357">
        <f ca="1">INDIRECT("'数据-取费表'!w"&amp;$G$1)</f>
        <v>0.15</v>
      </c>
      <c r="G9" s="1851"/>
      <c r="H9" s="349"/>
      <c r="I9" s="3168"/>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3040</v>
      </c>
      <c r="E10" s="358" t="s">
        <v>1404</v>
      </c>
      <c r="F10" s="1366" t="s">
        <v>3067</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5304</v>
      </c>
      <c r="D13" s="1331" t="s">
        <v>1409</v>
      </c>
      <c r="E13" s="1331" t="s">
        <v>1410</v>
      </c>
      <c r="F13" s="1332">
        <f ca="1">INDIRECT("'数据-取费表'!y"&amp;$G$1)</f>
        <v>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4139</v>
      </c>
      <c r="D14" s="1800" t="s">
        <v>1412</v>
      </c>
      <c r="E14" s="1794"/>
      <c r="F14" s="364"/>
      <c r="G14" s="1851"/>
      <c r="H14" s="1201" t="s">
        <v>1031</v>
      </c>
      <c r="I14" s="347" t="s">
        <v>1413</v>
      </c>
      <c r="J14" s="24">
        <f ca="1">C29</f>
        <v>5893</v>
      </c>
      <c r="K14" s="15"/>
      <c r="L14" s="979"/>
      <c r="M14" s="980"/>
    </row>
    <row r="15" spans="1:37" s="1858" customFormat="1" ht="18" customHeight="1" thickBot="1">
      <c r="A15" s="1201" t="s">
        <v>1032</v>
      </c>
      <c r="B15" s="347" t="s">
        <v>1414</v>
      </c>
      <c r="C15" s="24">
        <f ca="1">ROUND(C14*F15,0)</f>
        <v>124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110</v>
      </c>
      <c r="K16" s="1337" t="s">
        <v>1419</v>
      </c>
      <c r="L16" s="1338"/>
      <c r="M16" s="1294"/>
    </row>
    <row r="17" spans="1:37" s="1858" customFormat="1" ht="18" customHeight="1">
      <c r="A17" s="1201" t="s">
        <v>1384</v>
      </c>
      <c r="B17" s="347" t="s">
        <v>1420</v>
      </c>
      <c r="C17" s="24">
        <f ca="1">ROUND(F17*(F43+INDIRECT("'数据-取费表'!S"&amp;$G$1))/10000,0)</f>
        <v>331</v>
      </c>
      <c r="D17" s="347" t="s">
        <v>1421</v>
      </c>
      <c r="E17" s="347" t="s">
        <v>1422</v>
      </c>
      <c r="F17" s="26">
        <f>'数据-取费表'!B35</f>
        <v>200</v>
      </c>
      <c r="G17" s="1854"/>
      <c r="H17" s="1201" t="s">
        <v>1031</v>
      </c>
      <c r="I17" s="347" t="s">
        <v>1423</v>
      </c>
      <c r="J17" s="24">
        <f ca="1">ROUND(IF(项目基本情况!B11="自然人",J6*M17/(1+'数据-取费表'!C42),J18+J19+J20),1)</f>
        <v>51.2</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62</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4656</v>
      </c>
      <c r="D19" s="140" t="s">
        <v>1430</v>
      </c>
      <c r="E19" s="1818"/>
      <c r="F19" s="26"/>
      <c r="G19" s="1851"/>
      <c r="H19" s="1201" t="s">
        <v>1032</v>
      </c>
      <c r="I19" s="347" t="s">
        <v>1431</v>
      </c>
      <c r="J19" s="24">
        <f ca="1">IF(K19="按租金收入计税",ROUND(J6*M19/(1+'数据-取费表'!C42),2),ROUND(C29*M19*0.7,2))</f>
        <v>49.5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93</v>
      </c>
      <c r="D20" s="369" t="s">
        <v>1434</v>
      </c>
      <c r="E20" s="347" t="s">
        <v>1416</v>
      </c>
      <c r="F20" s="367">
        <f>'数据-取费表'!B37</f>
        <v>0.02</v>
      </c>
      <c r="G20" s="1854"/>
      <c r="H20" s="1201" t="s">
        <v>1383</v>
      </c>
      <c r="I20" s="164" t="s">
        <v>1435</v>
      </c>
      <c r="J20" s="25">
        <f ca="1">ROUND(M20*M21/10000,2)</f>
        <v>1.71</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2853.97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58.9</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225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-110</v>
      </c>
      <c r="K25" s="1345" t="s">
        <v>1458</v>
      </c>
      <c r="L25" s="1346"/>
      <c r="M25" s="1347"/>
    </row>
    <row r="26" spans="1:37" ht="13">
      <c r="A26" s="1201" t="s">
        <v>1030</v>
      </c>
      <c r="B26" s="347" t="s">
        <v>1459</v>
      </c>
      <c r="C26" s="24">
        <f ca="1">ROUND((C19+C20)*F26,0)</f>
        <v>475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5893</v>
      </c>
      <c r="D29" s="1342"/>
      <c r="E29" s="1340"/>
      <c r="F29" s="1343"/>
      <c r="G29" s="1854"/>
      <c r="H29" s="380" t="s">
        <v>1029</v>
      </c>
      <c r="I29" s="381" t="s">
        <v>1473</v>
      </c>
      <c r="J29" s="382">
        <f ca="1">ROUND(J26/(1+F40)^F41,0)</f>
        <v>0</v>
      </c>
      <c r="K29" s="383" t="s">
        <v>1474</v>
      </c>
      <c r="L29" s="384"/>
      <c r="M29" s="385">
        <f ca="1">INDIRECT("'数据-取费表'!k"&amp;$G$1)</f>
        <v>16556.82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162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87.4</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26.92</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58.74</v>
      </c>
      <c r="D33" s="1828" t="s">
        <v>3068</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1.71</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2853.97</v>
      </c>
      <c r="G35" s="1851"/>
      <c r="H35" s="745"/>
      <c r="I35" s="1860"/>
      <c r="J35" s="1861"/>
      <c r="K35" s="1862"/>
      <c r="L35" s="1859"/>
      <c r="M35" s="1859"/>
    </row>
    <row r="36" spans="1:18" ht="18" customHeight="1">
      <c r="A36" s="1352" t="s">
        <v>1035</v>
      </c>
      <c r="B36" s="347" t="s">
        <v>1443</v>
      </c>
      <c r="C36" s="24">
        <f ca="1">ROUND(C29*F36,1)</f>
        <v>58.9</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8</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7.7</v>
      </c>
      <c r="D38" s="1342" t="s">
        <v>1453</v>
      </c>
      <c r="E38" s="1340" t="s">
        <v>1449</v>
      </c>
      <c r="F38" s="1336">
        <f ca="1">INDIRECT("'数据-取费表'!Am"&amp;$G$1)</f>
        <v>1.4999999999999999E-2</v>
      </c>
      <c r="G38" s="1851"/>
      <c r="H38" s="1859"/>
      <c r="I38" s="1860"/>
      <c r="J38" s="1861"/>
      <c r="K38" s="1865"/>
      <c r="L38" s="1859"/>
      <c r="M38" s="1859"/>
    </row>
    <row r="39" spans="1:18" ht="24.65" customHeight="1" thickTop="1">
      <c r="A39" s="1329" t="s">
        <v>1027</v>
      </c>
      <c r="B39" s="1344" t="s">
        <v>1477</v>
      </c>
      <c r="C39" s="355">
        <f ca="1">C5-C30</f>
        <v>353</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7019</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4239</v>
      </c>
      <c r="D43" s="383" t="s">
        <v>1482</v>
      </c>
      <c r="E43" s="384" t="s">
        <v>1483</v>
      </c>
      <c r="F43" s="385">
        <f ca="1">INDIRECT("'数据-取费表'!k"&amp;$G$1)</f>
        <v>16556.82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-15371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3069</v>
      </c>
      <c r="K47" s="1882" t="s">
        <v>1521</v>
      </c>
      <c r="L47" s="1883">
        <f ca="1">INDIRECT("'数据-取费表'!d"&amp;$G$1)</f>
        <v>40</v>
      </c>
      <c r="M47" s="1838" t="str">
        <f>IF(ISNUMBER(FIND("住宅",C1)),"住宅","非住宅")</f>
        <v>非住宅</v>
      </c>
      <c r="O47" s="1884" t="s">
        <v>1036</v>
      </c>
      <c r="P47" s="1885" t="s">
        <v>1522</v>
      </c>
      <c r="Q47" s="1886">
        <f ca="1">C40+J29</f>
        <v>7019</v>
      </c>
      <c r="R47" s="1886" t="s">
        <v>1523</v>
      </c>
    </row>
    <row r="48" spans="1:18" s="1842" customFormat="1" ht="43.5" thickBot="1">
      <c r="A48" s="1360" t="s">
        <v>1131</v>
      </c>
      <c r="B48" s="345" t="s">
        <v>1395</v>
      </c>
      <c r="C48" s="1817">
        <f ca="1">C49+C53+C55</f>
        <v>0</v>
      </c>
      <c r="D48" s="1362"/>
      <c r="E48" s="1363"/>
      <c r="F48" s="1181"/>
      <c r="G48" s="792"/>
      <c r="H48" s="793"/>
      <c r="I48" s="1887" t="s">
        <v>1524</v>
      </c>
      <c r="J48" s="1888" t="s">
        <v>3070</v>
      </c>
      <c r="K48" s="1889" t="s">
        <v>1525</v>
      </c>
      <c r="L48" s="1890">
        <f ca="1">INDIRECT("'数据-取费表'!f"&amp;$G$1)</f>
        <v>31.46</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v>2014</v>
      </c>
      <c r="K49" s="1889" t="s">
        <v>1529</v>
      </c>
      <c r="L49" s="1893"/>
      <c r="O49" s="1894" t="s">
        <v>1038</v>
      </c>
      <c r="P49" s="1885" t="s">
        <v>1530</v>
      </c>
      <c r="Q49" s="1886">
        <f ca="1">C29</f>
        <v>5893</v>
      </c>
      <c r="R49" s="1886" t="s">
        <v>1523</v>
      </c>
    </row>
    <row r="50" spans="1:18" s="1842" customFormat="1" ht="13.5" thickBot="1">
      <c r="A50" s="1195"/>
      <c r="B50" s="1198"/>
      <c r="C50" s="1368"/>
      <c r="D50" s="1172"/>
      <c r="E50" s="1277" t="s">
        <v>1400</v>
      </c>
      <c r="F50" s="1278">
        <f ca="1">F7</f>
        <v>16556.82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54</v>
      </c>
      <c r="K51" s="1900" t="s">
        <v>1535</v>
      </c>
      <c r="L51" s="1901">
        <f ca="1">ROUND(-PV(INDIRECT("'数据-取费表'!h"&amp;$G$1),L48,(C39-C13*C76),0),0)</f>
        <v>-1535</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31.46</v>
      </c>
      <c r="R52" s="1886" t="s">
        <v>1540</v>
      </c>
    </row>
    <row r="53" spans="1:18" s="1842" customFormat="1" ht="26.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31.46</v>
      </c>
      <c r="K53" s="3164" t="s">
        <v>1542</v>
      </c>
      <c r="L53" s="3165"/>
      <c r="O53" s="1884" t="s">
        <v>1042</v>
      </c>
      <c r="P53" s="1885" t="s">
        <v>1543</v>
      </c>
      <c r="Q53" s="1886">
        <f ca="1">Q47+Q48</f>
        <v>7019</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5304</v>
      </c>
      <c r="D56" s="1913"/>
      <c r="E56" s="1914"/>
      <c r="F56" s="1906"/>
      <c r="I56" s="1915" t="s">
        <v>1548</v>
      </c>
      <c r="J56" s="1916" t="s">
        <v>3059</v>
      </c>
      <c r="K56" s="1887" t="s">
        <v>1549</v>
      </c>
      <c r="L56" s="1890" t="str">
        <f ca="1">IF(L48&lt;J51,"——",L48-J53)</f>
        <v>——</v>
      </c>
      <c r="O56" s="1884" t="s">
        <v>1036</v>
      </c>
      <c r="P56" s="1885" t="s">
        <v>1522</v>
      </c>
      <c r="Q56" s="1886">
        <f ca="1">C40+J29</f>
        <v>7019</v>
      </c>
      <c r="R56" s="1886" t="s">
        <v>1523</v>
      </c>
    </row>
    <row r="57" spans="1:18" s="1842" customFormat="1" ht="26.5" thickBot="1">
      <c r="A57" s="1917"/>
      <c r="B57" s="1169" t="s">
        <v>1472</v>
      </c>
      <c r="C57" s="282">
        <f ca="1">C29</f>
        <v>5893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564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496.7</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495.01</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1.71</v>
      </c>
      <c r="D62" s="1184" t="s">
        <v>1491</v>
      </c>
      <c r="E62" s="1169" t="s">
        <v>1492</v>
      </c>
      <c r="F62" s="371">
        <f t="shared" si="0"/>
        <v>6</v>
      </c>
      <c r="I62" s="1928" t="s">
        <v>1564</v>
      </c>
      <c r="J62" s="1929" t="s">
        <v>1565</v>
      </c>
      <c r="K62" s="1929" t="s">
        <v>1566</v>
      </c>
      <c r="L62" s="1929" t="s">
        <v>1567</v>
      </c>
      <c r="M62" s="1930" t="s">
        <v>1568</v>
      </c>
      <c r="O62" s="1884" t="s">
        <v>1042</v>
      </c>
      <c r="P62" s="1885" t="s">
        <v>1569</v>
      </c>
      <c r="Q62" s="1886">
        <f ca="1">Q56+Q57</f>
        <v>7019</v>
      </c>
      <c r="R62" s="1886" t="s">
        <v>1043</v>
      </c>
    </row>
    <row r="63" spans="1:18" s="1842" customFormat="1" ht="13.5" thickBot="1">
      <c r="A63" s="372"/>
      <c r="B63" s="1175"/>
      <c r="C63" s="29"/>
      <c r="D63" s="1185"/>
      <c r="E63" s="1169" t="s">
        <v>1493</v>
      </c>
      <c r="F63" s="348">
        <f t="shared" ca="1" si="0"/>
        <v>2853.97</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58.9</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8</v>
      </c>
      <c r="D65" s="1183" t="s">
        <v>1448</v>
      </c>
      <c r="E65" s="1169" t="s">
        <v>1449</v>
      </c>
      <c r="F65" s="376">
        <f t="shared" ca="1" si="0"/>
        <v>1.5E-3</v>
      </c>
      <c r="I65" s="1928" t="s">
        <v>1573</v>
      </c>
      <c r="J65" s="1929">
        <v>40</v>
      </c>
      <c r="K65" s="1929">
        <v>30</v>
      </c>
      <c r="L65" s="1929">
        <v>50</v>
      </c>
      <c r="M65" s="1931">
        <v>0.02</v>
      </c>
      <c r="O65" s="1884" t="s">
        <v>1036</v>
      </c>
      <c r="P65" s="1885" t="s">
        <v>1574</v>
      </c>
      <c r="Q65" s="1886">
        <f ca="1">C40+J29</f>
        <v>7019</v>
      </c>
      <c r="R65" s="1886" t="s">
        <v>1523</v>
      </c>
    </row>
    <row r="66" spans="1:18" s="1842" customFormat="1" ht="16"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6.5" thickBot="1">
      <c r="A67" s="1176" t="s">
        <v>1027</v>
      </c>
      <c r="B67" s="1186" t="s">
        <v>1457</v>
      </c>
      <c r="C67" s="361">
        <f ca="1">C48-C58</f>
        <v>-564</v>
      </c>
      <c r="D67" s="1182" t="s">
        <v>1458</v>
      </c>
      <c r="E67" s="1187"/>
      <c r="F67" s="1188"/>
      <c r="O67" s="1894" t="s">
        <v>1038</v>
      </c>
      <c r="P67" s="1885" t="s">
        <v>1556</v>
      </c>
      <c r="Q67" s="1932">
        <f ca="1">L51</f>
        <v>-1535</v>
      </c>
      <c r="R67" s="1886" t="s">
        <v>1576</v>
      </c>
    </row>
    <row r="68" spans="1:18" s="1842" customFormat="1" ht="16" thickBot="1">
      <c r="A68" s="1166" t="s">
        <v>1028</v>
      </c>
      <c r="B68" s="1167" t="s">
        <v>1479</v>
      </c>
      <c r="C68" s="346">
        <f ca="1">ROUND(C67*(1-((1+F70)/(1+F68))^F69)/(F68-F70),0)</f>
        <v>-8352</v>
      </c>
      <c r="D68" s="1184" t="s">
        <v>1463</v>
      </c>
      <c r="E68" s="1169" t="s">
        <v>1464</v>
      </c>
      <c r="F68" s="357">
        <f ca="1">F40</f>
        <v>5.5E-2</v>
      </c>
      <c r="O68" s="1894" t="s">
        <v>1039</v>
      </c>
      <c r="P68" s="1933" t="s">
        <v>1577</v>
      </c>
      <c r="Q68" s="1886">
        <f ca="1">ROUND(Q69-Q70*Q71,0)</f>
        <v>-98</v>
      </c>
      <c r="R68" s="1886" t="s">
        <v>1047</v>
      </c>
    </row>
    <row r="69" spans="1:18" s="1842" customFormat="1" ht="13.5" thickBot="1">
      <c r="A69" s="1170"/>
      <c r="B69" s="1171"/>
      <c r="C69" s="351"/>
      <c r="D69" s="1189" t="s">
        <v>1467</v>
      </c>
      <c r="E69" s="1169" t="s">
        <v>1468</v>
      </c>
      <c r="F69" s="379">
        <f ca="1">F41</f>
        <v>31.46</v>
      </c>
      <c r="O69" s="1894" t="s">
        <v>1044</v>
      </c>
      <c r="P69" s="1933" t="s">
        <v>1578</v>
      </c>
      <c r="Q69" s="1886">
        <f ca="1">C39</f>
        <v>353</v>
      </c>
      <c r="R69" s="1886" t="s">
        <v>1523</v>
      </c>
    </row>
    <row r="70" spans="1:18" s="1842" customFormat="1" ht="13.5" thickBot="1">
      <c r="A70" s="1173"/>
      <c r="B70" s="1174"/>
      <c r="C70" s="355"/>
      <c r="D70" s="1185"/>
      <c r="E70" s="1169" t="s">
        <v>1471</v>
      </c>
      <c r="F70" s="1275"/>
      <c r="O70" s="1894" t="s">
        <v>1045</v>
      </c>
      <c r="P70" s="1933" t="s">
        <v>1579</v>
      </c>
      <c r="Q70" s="1886">
        <f ca="1">C13</f>
        <v>5304</v>
      </c>
      <c r="R70" s="1886" t="s">
        <v>1523</v>
      </c>
    </row>
    <row r="71" spans="1:18" s="1842" customFormat="1" ht="13.5" thickBot="1">
      <c r="A71" s="1190" t="s">
        <v>1029</v>
      </c>
      <c r="B71" s="1191" t="s">
        <v>1481</v>
      </c>
      <c r="C71" s="382">
        <f ca="1">ROUND(C68*10000/F71,0)</f>
        <v>-5044</v>
      </c>
      <c r="D71" s="1192" t="s">
        <v>1482</v>
      </c>
      <c r="E71" s="1193" t="s">
        <v>1483</v>
      </c>
      <c r="F71" s="385">
        <f ca="1">F43</f>
        <v>16556.82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451</v>
      </c>
      <c r="D75" s="1842"/>
      <c r="E75" s="1842"/>
      <c r="F75" s="1842"/>
      <c r="K75" s="1868"/>
      <c r="L75" s="1842"/>
      <c r="O75" s="1884" t="s">
        <v>1042</v>
      </c>
      <c r="P75" s="1885" t="s">
        <v>1543</v>
      </c>
      <c r="Q75" s="1886">
        <f ca="1">Q65+Q66</f>
        <v>7019</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-0.27800000000000002</v>
      </c>
    </row>
    <row r="80" spans="1:18" ht="13">
      <c r="B80" s="386" t="s">
        <v>1505</v>
      </c>
      <c r="C80" s="318">
        <f ca="1">ROUND(C75/C39,3)</f>
        <v>1.278</v>
      </c>
    </row>
    <row r="81" spans="2:3" ht="13.5">
      <c r="B81" s="314" t="s">
        <v>1506</v>
      </c>
      <c r="C81" s="282"/>
    </row>
    <row r="82" spans="2:3" ht="13">
      <c r="B82" s="317" t="s">
        <v>1507</v>
      </c>
      <c r="C82" s="319">
        <f ca="1">1-C83</f>
        <v>0.24399999999999999</v>
      </c>
    </row>
    <row r="83" spans="2:3" ht="13">
      <c r="B83" s="317" t="s">
        <v>1508</v>
      </c>
      <c r="C83" s="318">
        <f ca="1">ROUND(C13/C40,3)</f>
        <v>0.75600000000000001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F4EB7-5C9D-4D93-B19F-5AC27AB1315B}">
  <sheetPr>
    <tabColor rgb="FF92D050"/>
  </sheetPr>
  <dimension ref="A1"/>
  <sheetViews>
    <sheetView workbookViewId="0">
      <selection activeCell="M13" sqref="M13"/>
    </sheetView>
  </sheetViews>
  <sheetFormatPr defaultRowHeight="14"/>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H22" sqref="H22"/>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8</v>
      </c>
    </row>
    <row r="2" spans="1:9" s="244" customFormat="1" ht="18" customHeight="1">
      <c r="A2" s="245" t="s">
        <v>2326</v>
      </c>
      <c r="B2" s="246">
        <f ca="1">IF(D2="——",C52,C52-E2)</f>
        <v>16357</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2879</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 ca="1">C6+C7+C8</f>
        <v>873</v>
      </c>
      <c r="D5" s="255" t="s">
        <v>2333</v>
      </c>
      <c r="E5" s="256" t="s">
        <v>2334</v>
      </c>
      <c r="F5" s="256" t="s">
        <v>2335</v>
      </c>
      <c r="G5" s="257"/>
    </row>
    <row r="6" spans="1:9" s="258" customFormat="1" ht="13.5" customHeight="1">
      <c r="A6" s="949" t="s">
        <v>2336</v>
      </c>
      <c r="B6" s="259" t="s">
        <v>2337</v>
      </c>
      <c r="C6" s="260">
        <f>'土地比较法-住宅、综合'!F63</f>
        <v>185</v>
      </c>
      <c r="D6" s="261"/>
      <c r="E6" s="262"/>
      <c r="F6" s="262"/>
      <c r="G6" s="263"/>
    </row>
    <row r="7" spans="1:9" s="258" customFormat="1" ht="13.5" customHeight="1">
      <c r="A7" s="949" t="s">
        <v>2338</v>
      </c>
      <c r="B7" s="259" t="s">
        <v>2339</v>
      </c>
      <c r="C7" s="264">
        <f>ROUND(C6*F7,0)</f>
        <v>6</v>
      </c>
      <c r="D7" s="264"/>
      <c r="E7" s="262"/>
      <c r="F7" s="265">
        <f>IF(项目基本情况!B8="出让",0,'数据-取费表'!B48+'数据-取费表'!B49)</f>
        <v>3.0499999999999999E-2</v>
      </c>
      <c r="G7" s="263"/>
    </row>
    <row r="8" spans="1:9" s="267" customFormat="1" ht="13">
      <c r="A8" s="949" t="s">
        <v>2340</v>
      </c>
      <c r="B8" s="259" t="s">
        <v>2341</v>
      </c>
      <c r="C8" s="264">
        <f ca="1">IF(G8="已包含在土地购买价格中","0",IF(B1="",'数据-取费表'!B29,IF(G9="全部缴纳",C9+C10,H9)))</f>
        <v>682</v>
      </c>
      <c r="D8" s="266"/>
      <c r="E8" s="264"/>
      <c r="F8" s="265"/>
      <c r="G8" s="2552" t="s">
        <v>3133</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60</v>
      </c>
      <c r="F9" s="265"/>
      <c r="G9" s="2553" t="s">
        <v>3134</v>
      </c>
      <c r="H9" s="1390"/>
      <c r="I9" s="2554" t="s">
        <v>2343</v>
      </c>
    </row>
    <row r="10" spans="1:9" s="258" customFormat="1" ht="13.5" customHeight="1">
      <c r="A10" s="950" t="s">
        <v>801</v>
      </c>
      <c r="B10" s="268" t="s">
        <v>2344</v>
      </c>
      <c r="C10" s="269">
        <f ca="1">ROUND(D10*E10/10000,0)</f>
        <v>682</v>
      </c>
      <c r="D10" s="1032">
        <f ca="1">IF(B1="",'数据-汇总表'!E6,IF(INDIRECT("'数据-取费表'!c"&amp;$G$1)="住宅",INDIRECT("'数据-取费表'!s"&amp;$G$1),INDIRECT("'数据-取费表'!k"&amp;$G$1)+INDIRECT("'数据-取费表'!s"&amp;$G$1)))</f>
        <v>56816.98</v>
      </c>
      <c r="E10" s="269">
        <f>'数据-取费表'!B28</f>
        <v>120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56816.98</v>
      </c>
      <c r="E19" s="255">
        <f>'数据-取费表'!B31</f>
        <v>200</v>
      </c>
      <c r="F19" s="275"/>
      <c r="G19" s="2552" t="s">
        <v>3135</v>
      </c>
    </row>
    <row r="20" spans="1:7" s="258" customFormat="1" ht="13.5" customHeight="1">
      <c r="A20" s="299" t="s">
        <v>2357</v>
      </c>
      <c r="B20" s="254" t="s">
        <v>2358</v>
      </c>
      <c r="C20" s="276">
        <f ca="1">ROUND((C5+C19)*F20,0)</f>
        <v>17</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86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85</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6">
      <c r="A25" s="951" t="s">
        <v>2372</v>
      </c>
      <c r="B25" s="259" t="s">
        <v>2373</v>
      </c>
      <c r="C25" s="1355">
        <f ca="1">ROUND(IF('数据-取费表'!B22&lt;=1,C20*F22*'数据-取费表'!B23/2,C20*(POWER((1+F22),'数据-取费表'!B23/2)-1)),0)</f>
        <v>1</v>
      </c>
      <c r="D25" s="282"/>
      <c r="E25" s="285"/>
      <c r="F25" s="283"/>
      <c r="G25" s="286" t="s">
        <v>2374</v>
      </c>
    </row>
    <row r="26" spans="1:7" s="258" customFormat="1" ht="13">
      <c r="A26" s="951" t="s">
        <v>795</v>
      </c>
      <c r="B26" s="259" t="s">
        <v>2375</v>
      </c>
      <c r="C26" s="282">
        <f ca="1">ROUND(IF('数据-取费表'!B22&lt;=1,F21*F22*'数据-取费表'!B23/2,F21*(POWER((1+F22),'数据-取费表'!B23/2)-1)),4)</f>
        <v>1E-3</v>
      </c>
      <c r="D26" s="282"/>
      <c r="E26" s="285"/>
      <c r="F26" s="283"/>
      <c r="G26" s="287"/>
    </row>
    <row r="27" spans="1:7" s="258" customFormat="1" ht="27">
      <c r="A27" s="299" t="s">
        <v>2376</v>
      </c>
      <c r="B27" s="288" t="s">
        <v>2377</v>
      </c>
      <c r="C27" s="289">
        <f ca="1">C28</f>
        <v>53</v>
      </c>
      <c r="D27" s="279">
        <f ca="1">C29</f>
        <v>1.1999999999999999E-3</v>
      </c>
      <c r="E27" s="280" t="s">
        <v>2378</v>
      </c>
      <c r="F27" s="290">
        <f ca="1">IF(B1="",'数据-取费表'!Q16,INDIRECT("'数据-取费表'!q"&amp;$G$1))</f>
        <v>0.06</v>
      </c>
      <c r="G27" s="291" t="s">
        <v>2379</v>
      </c>
    </row>
    <row r="28" spans="1:7" s="258" customFormat="1" ht="13.5" customHeight="1">
      <c r="A28" s="951" t="s">
        <v>791</v>
      </c>
      <c r="B28" s="292" t="s">
        <v>2380</v>
      </c>
      <c r="C28" s="293">
        <f ca="1">ROUND((C5+C19+C20)*F27*'数据-取费表'!B21/'数据-取费表'!B20,0)</f>
        <v>53</v>
      </c>
      <c r="D28" s="279"/>
      <c r="E28" s="280"/>
      <c r="F28" s="290"/>
      <c r="G28" s="291"/>
    </row>
    <row r="29" spans="1:7" s="258" customFormat="1" ht="13.5" customHeight="1">
      <c r="A29" s="951" t="s">
        <v>792</v>
      </c>
      <c r="B29" s="292" t="s">
        <v>2381</v>
      </c>
      <c r="C29" s="282">
        <f ca="1">ROUND(C21*F27*'数据-取费表'!B21/'数据-取费表'!B20,4)</f>
        <v>1.1999999999999999E-3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1112</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13876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12191</v>
      </c>
      <c r="D34" s="261"/>
      <c r="E34" s="264"/>
      <c r="F34" s="301">
        <f ca="1">IF('数据-取费表'!B24=0,1,IF(B1="",'数据-取费表'!N16,INDIRECT("'数据-取费表'!n"&amp;$G$1)))</f>
        <v>1</v>
      </c>
      <c r="G34" s="263" t="s">
        <v>2390</v>
      </c>
    </row>
    <row r="35" spans="1:7" ht="13.5" customHeight="1">
      <c r="A35" s="951" t="s">
        <v>796</v>
      </c>
      <c r="B35" s="259" t="s">
        <v>2391</v>
      </c>
      <c r="C35" s="264">
        <f ca="1">ROUND(C34*F35,0)</f>
        <v>366</v>
      </c>
      <c r="D35" s="264"/>
      <c r="E35" s="264"/>
      <c r="F35" s="303">
        <f>'数据-取费表'!B33</f>
        <v>0.03</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1136</v>
      </c>
      <c r="D37" s="261">
        <f ca="1">D19</f>
        <v>56816.98</v>
      </c>
      <c r="E37" s="293">
        <f>'数据-取费表'!B35</f>
        <v>200</v>
      </c>
      <c r="F37" s="303"/>
      <c r="G37" s="305" t="s">
        <v>2396</v>
      </c>
    </row>
    <row r="38" spans="1:7" ht="13.5" customHeight="1">
      <c r="A38" s="951" t="s">
        <v>799</v>
      </c>
      <c r="B38" s="259" t="s">
        <v>2397</v>
      </c>
      <c r="C38" s="264">
        <f ca="1">ROUND(C34*F38,0)</f>
        <v>183</v>
      </c>
      <c r="D38" s="264"/>
      <c r="E38" s="264"/>
      <c r="F38" s="303">
        <f>'数据-取费表'!B36</f>
        <v>1.4999999999999999E-2</v>
      </c>
      <c r="G38" s="263" t="s">
        <v>2392</v>
      </c>
    </row>
    <row r="39" spans="1:7" s="258" customFormat="1" ht="13.5" customHeight="1">
      <c r="A39" s="299" t="s">
        <v>2398</v>
      </c>
      <c r="B39" s="254" t="s">
        <v>2399</v>
      </c>
      <c r="C39" s="276">
        <f ca="1">ROUND(C33*F20,0)</f>
        <v>278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672</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659</v>
      </c>
      <c r="D42" s="282"/>
      <c r="E42" s="282"/>
      <c r="F42" s="283"/>
      <c r="G42" s="3161" t="s">
        <v>2408</v>
      </c>
    </row>
    <row r="43" spans="1:7" ht="13.5" customHeight="1">
      <c r="A43" s="951" t="s">
        <v>792</v>
      </c>
      <c r="B43" s="259" t="s">
        <v>2409</v>
      </c>
      <c r="C43" s="282">
        <f ca="1">ROUND(IF('数据-取费表'!B22&lt;=1,C39*F22*'数据-取费表'!B21/2,C39*(POWER((1+F22),'数据-取费表'!B21/2)-1)),0)</f>
        <v>13</v>
      </c>
      <c r="D43" s="282"/>
      <c r="E43" s="282"/>
      <c r="F43" s="283"/>
      <c r="G43" s="3162"/>
    </row>
    <row r="44" spans="1:7" ht="13.5" customHeight="1">
      <c r="A44" s="951" t="s">
        <v>793</v>
      </c>
      <c r="B44" s="259" t="s">
        <v>2410</v>
      </c>
      <c r="C44" s="282">
        <f ca="1">ROUND(IF('数据-取费表'!B22&lt;=1,C40*F22*'数据-取费表'!B21/2,C40*(POWER((1+F22),'数据-取费表'!B21/2)-1)),4)</f>
        <v>1E-3</v>
      </c>
      <c r="D44" s="282"/>
      <c r="E44" s="282"/>
      <c r="F44" s="283"/>
      <c r="G44" s="3163"/>
    </row>
    <row r="45" spans="1:7" s="258" customFormat="1" ht="13.5" customHeight="1">
      <c r="A45" s="299" t="s">
        <v>2411</v>
      </c>
      <c r="B45" s="288" t="s">
        <v>2377</v>
      </c>
      <c r="C45" s="289">
        <f ca="1">C46</f>
        <v>849</v>
      </c>
      <c r="D45" s="279">
        <f ca="1">C47</f>
        <v>1.1999999999999999E-3</v>
      </c>
      <c r="E45" s="280" t="s">
        <v>2403</v>
      </c>
      <c r="F45" s="290"/>
      <c r="G45" s="291" t="s">
        <v>2412</v>
      </c>
    </row>
    <row r="46" spans="1:7" s="258" customFormat="1" ht="13.5" customHeight="1">
      <c r="A46" s="951" t="s">
        <v>791</v>
      </c>
      <c r="B46" s="292" t="s">
        <v>2413</v>
      </c>
      <c r="C46" s="293">
        <f ca="1">ROUND((C33+C39)*F27,0)</f>
        <v>849</v>
      </c>
      <c r="D46" s="307"/>
      <c r="E46" s="280"/>
      <c r="F46" s="290"/>
      <c r="G46" s="291"/>
    </row>
    <row r="47" spans="1:7" s="258" customFormat="1" ht="13.5" customHeight="1">
      <c r="A47" s="951" t="s">
        <v>792</v>
      </c>
      <c r="B47" s="292" t="s">
        <v>2414</v>
      </c>
      <c r="C47" s="282">
        <f ca="1">ROUND(C40*F27,4)</f>
        <v>1.1999999999999999E-3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16939</v>
      </c>
      <c r="D49" s="276"/>
      <c r="E49" s="276"/>
      <c r="F49" s="308"/>
      <c r="G49" s="278" t="s">
        <v>2418</v>
      </c>
    </row>
    <row r="50" spans="1:7" s="302" customFormat="1" ht="26">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15245</v>
      </c>
      <c r="D51" s="276"/>
      <c r="E51" s="276"/>
      <c r="F51" s="308"/>
      <c r="G51" s="278" t="s">
        <v>2424</v>
      </c>
    </row>
    <row r="52" spans="1:7" s="252" customFormat="1" ht="16.5" thickBot="1">
      <c r="A52" s="309" t="s">
        <v>2425</v>
      </c>
      <c r="B52" s="310"/>
      <c r="C52" s="311">
        <f ca="1">C31+C51</f>
        <v>16357</v>
      </c>
      <c r="D52" s="310"/>
      <c r="E52" s="310"/>
      <c r="F52" s="310"/>
      <c r="G52" s="312"/>
    </row>
    <row r="55" spans="1:7" ht="15.5">
      <c r="B55" s="314" t="s">
        <v>2426</v>
      </c>
      <c r="C55" s="315"/>
    </row>
    <row r="56" spans="1:7" ht="13">
      <c r="B56" s="317" t="s">
        <v>1507</v>
      </c>
      <c r="C56" s="319">
        <f ca="1">1-C57</f>
        <v>6.7999999999999949E-2</v>
      </c>
    </row>
    <row r="57" spans="1:7" ht="13">
      <c r="B57" s="317" t="s">
        <v>1508</v>
      </c>
      <c r="C57" s="318">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2325</v>
      </c>
      <c r="B1" s="1936"/>
      <c r="C1" s="2555"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17562</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3091</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6818038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6818038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2344</v>
      </c>
      <c r="C10" s="269">
        <f ca="1">ROUND(D10*E10,0)</f>
        <v>6818038</v>
      </c>
      <c r="D10" s="1032">
        <f ca="1">IF(B1="",'数据-汇总表'!E6,IF(INDIRECT("'数据-取费表'!c"&amp;$G$1)="住宅",INDIRECT("'数据-取费表'!s"&amp;$G$1),INDIRECT("'数据-取费表'!k"&amp;$G$1)+INDIRECT("'数据-取费表'!s"&amp;$G$1)))</f>
        <v>56816.98</v>
      </c>
      <c r="E10" s="269">
        <f>'数据-取费表'!B28</f>
        <v>120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11363396</v>
      </c>
      <c r="D19" s="1036">
        <f ca="1">D9+D10</f>
        <v>56816.98</v>
      </c>
      <c r="E19" s="255">
        <f>'数据-取费表'!B31</f>
        <v>200</v>
      </c>
      <c r="F19" s="275"/>
      <c r="G19" s="2552"/>
    </row>
    <row r="20" spans="1:7" s="258" customFormat="1" ht="13.5" customHeight="1">
      <c r="A20" s="299" t="s">
        <v>2438</v>
      </c>
      <c r="B20" s="254" t="s">
        <v>2439</v>
      </c>
      <c r="C20" s="276">
        <f ca="1">ROUND((C5+C19)*F20,0)</f>
        <v>363629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1785530</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663097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1105161</v>
      </c>
      <c r="D24" s="282"/>
      <c r="E24" s="282"/>
      <c r="F24" s="283"/>
      <c r="G24" s="284" t="s">
        <v>2450</v>
      </c>
    </row>
    <row r="25" spans="1:7" s="258" customFormat="1" ht="26">
      <c r="A25" s="951" t="s">
        <v>2340</v>
      </c>
      <c r="B25" s="259" t="s">
        <v>2451</v>
      </c>
      <c r="C25" s="1381">
        <f ca="1">ROUND(IF('数据-取费表'!B22&lt;=1,C20*F22*'数据-取费表'!B22/2,C20*(POWER((1+F22),'数据-取费表'!B22/2)-1)),0)</f>
        <v>17272</v>
      </c>
      <c r="D25" s="282"/>
      <c r="E25" s="285"/>
      <c r="F25" s="283"/>
      <c r="G25" s="286" t="s">
        <v>2452</v>
      </c>
    </row>
    <row r="26" spans="1:7" s="258" customFormat="1" ht="13">
      <c r="A26" s="951" t="s">
        <v>795</v>
      </c>
      <c r="B26" s="259" t="s">
        <v>2375</v>
      </c>
      <c r="C26" s="282">
        <f ca="1">ROUND(IF('数据-取费表'!B22&lt;=1,F21*F22*'数据-取费表'!B22/2,F21*(POWER((1+F22),'数据-取费表'!B22/2)-1)),4)</f>
        <v>1E-3</v>
      </c>
      <c r="D26" s="282"/>
      <c r="E26" s="285"/>
      <c r="F26" s="283"/>
      <c r="G26" s="287"/>
    </row>
    <row r="27" spans="1:7" s="258" customFormat="1" ht="27">
      <c r="A27" s="299" t="s">
        <v>2376</v>
      </c>
      <c r="B27" s="288" t="s">
        <v>2377</v>
      </c>
      <c r="C27" s="289">
        <f ca="1">C28</f>
        <v>1112704</v>
      </c>
      <c r="D27" s="279">
        <f ca="1">C29</f>
        <v>1.1999999999999999E-3</v>
      </c>
      <c r="E27" s="280" t="s">
        <v>2378</v>
      </c>
      <c r="F27" s="290">
        <f ca="1">IF(B1="",'数据-取费表'!Q16,INDIRECT("'数据-取费表'!q"&amp;$G$1))</f>
        <v>0.06</v>
      </c>
      <c r="G27" s="291" t="s">
        <v>2379</v>
      </c>
    </row>
    <row r="28" spans="1:7" s="258" customFormat="1" ht="13.5" customHeight="1">
      <c r="A28" s="951" t="s">
        <v>791</v>
      </c>
      <c r="B28" s="292" t="s">
        <v>2380</v>
      </c>
      <c r="C28" s="293">
        <f ca="1">ROUND((C5+C19+C20)*F27,0)</f>
        <v>1112704</v>
      </c>
      <c r="D28" s="279"/>
      <c r="E28" s="280"/>
      <c r="F28" s="290"/>
      <c r="G28" s="291"/>
    </row>
    <row r="29" spans="1:7" s="258" customFormat="1" ht="13.5" customHeight="1">
      <c r="A29" s="951" t="s">
        <v>792</v>
      </c>
      <c r="B29" s="292" t="s">
        <v>2381</v>
      </c>
      <c r="C29" s="282">
        <f ca="1">ROUND(C21*F27,4)</f>
        <v>1.1999999999999999E-3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23171922</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138761823</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121912370</v>
      </c>
      <c r="D34" s="261"/>
      <c r="E34" s="264"/>
      <c r="F34" s="301"/>
      <c r="G34" s="263"/>
    </row>
    <row r="35" spans="1:7" ht="13.5" customHeight="1">
      <c r="A35" s="951" t="s">
        <v>796</v>
      </c>
      <c r="B35" s="259" t="s">
        <v>2391</v>
      </c>
      <c r="C35" s="264">
        <f ca="1">ROUND(C34*F35,0)</f>
        <v>3657371</v>
      </c>
      <c r="D35" s="264"/>
      <c r="E35" s="264"/>
      <c r="F35" s="303">
        <f>'数据-取费表'!B33</f>
        <v>0.03</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11363396</v>
      </c>
      <c r="D37" s="261">
        <f ca="1">D19</f>
        <v>56816.98</v>
      </c>
      <c r="E37" s="293">
        <f>'数据-取费表'!B35</f>
        <v>200</v>
      </c>
      <c r="F37" s="303"/>
      <c r="G37" s="305"/>
    </row>
    <row r="38" spans="1:7" ht="13.5" customHeight="1">
      <c r="A38" s="951" t="s">
        <v>799</v>
      </c>
      <c r="B38" s="259" t="s">
        <v>2397</v>
      </c>
      <c r="C38" s="264">
        <f ca="1">ROUND(C34*F38,0)</f>
        <v>1828686</v>
      </c>
      <c r="D38" s="264"/>
      <c r="E38" s="264"/>
      <c r="F38" s="303">
        <f>'数据-取费表'!B36</f>
        <v>1.4999999999999999E-2</v>
      </c>
      <c r="G38" s="263" t="s">
        <v>2392</v>
      </c>
    </row>
    <row r="39" spans="1:7" s="258" customFormat="1" ht="13.5" customHeight="1">
      <c r="A39" s="299" t="s">
        <v>2398</v>
      </c>
      <c r="B39" s="254" t="s">
        <v>2399</v>
      </c>
      <c r="C39" s="276">
        <f ca="1">ROUND(C33*F20,0)</f>
        <v>2775236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6723011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6591187</v>
      </c>
      <c r="D42" s="282"/>
      <c r="E42" s="282"/>
      <c r="F42" s="283"/>
      <c r="G42" s="3161" t="s">
        <v>2455</v>
      </c>
    </row>
    <row r="43" spans="1:7" ht="13.5" customHeight="1">
      <c r="A43" s="951" t="s">
        <v>792</v>
      </c>
      <c r="B43" s="259" t="s">
        <v>2409</v>
      </c>
      <c r="C43" s="282">
        <f ca="1">ROUND(IF('数据-取费表'!B22&lt;=1,C39*F22*'数据-取费表'!B20/2,C39*(POWER((1+F22),'数据-取费表'!B20/2)-1)),0)</f>
        <v>131824</v>
      </c>
      <c r="D43" s="282"/>
      <c r="E43" s="282"/>
      <c r="F43" s="283"/>
      <c r="G43" s="3162"/>
    </row>
    <row r="44" spans="1:7" ht="13.5" customHeight="1">
      <c r="A44" s="951" t="s">
        <v>793</v>
      </c>
      <c r="B44" s="259" t="s">
        <v>2410</v>
      </c>
      <c r="C44" s="282">
        <f ca="1">ROUND(IF('数据-取费表'!B22&lt;=1,C40*F22*'数据-取费表'!B20/2,C40*(POWER((1+F22),'数据-取费表'!B20/2)-1)),4)</f>
        <v>1E-3</v>
      </c>
      <c r="D44" s="282"/>
      <c r="E44" s="282"/>
      <c r="F44" s="283"/>
      <c r="G44" s="3163"/>
    </row>
    <row r="45" spans="1:7" s="258" customFormat="1" ht="13.5" customHeight="1">
      <c r="A45" s="299" t="s">
        <v>2411</v>
      </c>
      <c r="B45" s="288" t="s">
        <v>2377</v>
      </c>
      <c r="C45" s="289">
        <f ca="1">C46</f>
        <v>8492224</v>
      </c>
      <c r="D45" s="279">
        <f ca="1">C47</f>
        <v>1.1999999999999999E-3</v>
      </c>
      <c r="E45" s="280" t="s">
        <v>2403</v>
      </c>
      <c r="F45" s="290"/>
      <c r="G45" s="291" t="s">
        <v>2412</v>
      </c>
    </row>
    <row r="46" spans="1:7" s="258" customFormat="1" ht="13.5" customHeight="1">
      <c r="A46" s="951" t="s">
        <v>791</v>
      </c>
      <c r="B46" s="292" t="s">
        <v>2413</v>
      </c>
      <c r="C46" s="293">
        <f ca="1">ROUND((C33+C39)*F27,0)</f>
        <v>8492224</v>
      </c>
      <c r="D46" s="307"/>
      <c r="E46" s="280"/>
      <c r="F46" s="290"/>
      <c r="G46" s="291"/>
    </row>
    <row r="47" spans="1:7" s="258" customFormat="1" ht="13.5" customHeight="1">
      <c r="A47" s="951" t="s">
        <v>792</v>
      </c>
      <c r="B47" s="292" t="s">
        <v>2414</v>
      </c>
      <c r="C47" s="282">
        <f ca="1">ROUND(C40*F27,4)</f>
        <v>1.1999999999999999E-3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169388690</v>
      </c>
      <c r="D49" s="276"/>
      <c r="E49" s="276"/>
      <c r="F49" s="308"/>
      <c r="G49" s="278" t="s">
        <v>2418</v>
      </c>
    </row>
    <row r="50" spans="1:7" s="302" customFormat="1" ht="13.5">
      <c r="A50" s="299" t="s">
        <v>2419</v>
      </c>
      <c r="B50" s="254" t="s">
        <v>2420</v>
      </c>
      <c r="C50" s="276"/>
      <c r="D50" s="276"/>
      <c r="E50" s="276"/>
      <c r="F50" s="308">
        <f>IF('数据-取费表'!B24=0,'数据-取费表'!N16,1)</f>
        <v>0.9</v>
      </c>
      <c r="G50" s="291"/>
    </row>
    <row r="51" spans="1:7" ht="16.5" customHeight="1">
      <c r="A51" s="299" t="s">
        <v>2422</v>
      </c>
      <c r="B51" s="254" t="s">
        <v>2457</v>
      </c>
      <c r="C51" s="276">
        <f ca="1">ROUND(C49*F50,0)</f>
        <v>152449821</v>
      </c>
      <c r="D51" s="276"/>
      <c r="E51" s="276"/>
      <c r="F51" s="308"/>
      <c r="G51" s="278" t="s">
        <v>2424</v>
      </c>
    </row>
    <row r="52" spans="1:7" s="252" customFormat="1" ht="16.5" thickBot="1">
      <c r="A52" s="309" t="s">
        <v>2425</v>
      </c>
      <c r="B52" s="310"/>
      <c r="C52" s="311">
        <f ca="1">C31+C51</f>
        <v>175621743</v>
      </c>
      <c r="D52" s="310"/>
      <c r="E52" s="310"/>
      <c r="F52" s="310"/>
      <c r="G52" s="312"/>
    </row>
    <row r="55" spans="1:7" ht="15.5">
      <c r="B55" s="314" t="s">
        <v>2426</v>
      </c>
      <c r="C55" s="315"/>
    </row>
    <row r="56" spans="1:7" ht="13">
      <c r="B56" s="317" t="s">
        <v>1507</v>
      </c>
      <c r="C56" s="319">
        <f ca="1">1-C57</f>
        <v>0.13200000000000001</v>
      </c>
    </row>
    <row r="57" spans="1:7" ht="13">
      <c r="B57" s="317" t="s">
        <v>1508</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56816.98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56816.98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2494</v>
      </c>
      <c r="C20" s="24">
        <f ca="1">ROUND(D20*E20/10000,0)</f>
        <v>682</v>
      </c>
      <c r="D20" s="1033">
        <f ca="1">IF(C1="",'数据-汇总表'!E6,IF(INDIRECT("'数据-取费表'!c"&amp;$K$1)="住宅",INDIRECT("'数据-取费表'!s"&amp;$K$1),INDIRECT("'数据-取费表'!k"&amp;$K$1)+INDIRECT("'数据-取费表'!s"&amp;$K$1)))</f>
        <v>56816.98</v>
      </c>
      <c r="E20" s="24">
        <f>'数据-取费表'!B28</f>
        <v>120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0.06</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4E3F9-3293-4C47-917F-D861019FB95A}">
  <sheetPr>
    <tabColor rgb="FF92D050"/>
  </sheetPr>
  <dimension ref="A1:AK83"/>
  <sheetViews>
    <sheetView zoomScale="70" zoomScaleNormal="70" zoomScaleSheetLayoutView="90" workbookViewId="0">
      <selection activeCell="I41" sqref="I41"/>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3063</v>
      </c>
      <c r="D1" s="1820" t="s">
        <v>70</v>
      </c>
      <c r="E1" s="1821" t="s">
        <v>1381</v>
      </c>
      <c r="F1" s="1283">
        <f ca="1">J53</f>
        <v>31.46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4088</v>
      </c>
      <c r="C2" s="1845" t="s">
        <v>1510</v>
      </c>
      <c r="D2" s="1845"/>
      <c r="E2" s="1846"/>
      <c r="F2" s="1847"/>
      <c r="G2" s="1848"/>
      <c r="H2" s="1840"/>
      <c r="I2" s="1840"/>
      <c r="J2" s="1840"/>
      <c r="K2" s="1841"/>
      <c r="L2" s="1840"/>
      <c r="M2" s="1840"/>
    </row>
    <row r="3" spans="1:37" ht="18" customHeight="1" thickBot="1">
      <c r="A3" s="1849" t="s">
        <v>1511</v>
      </c>
      <c r="B3" s="1850">
        <f ca="1">IF(ISERROR(B2*10000/F43),0,ROUND(B2*10000/F43,0))</f>
        <v>1015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342</v>
      </c>
      <c r="D5" s="1822" t="s">
        <v>1396</v>
      </c>
      <c r="E5" s="1293"/>
      <c r="F5" s="1294"/>
      <c r="G5" s="1851"/>
      <c r="H5" s="344">
        <v>1</v>
      </c>
      <c r="I5" s="345" t="s">
        <v>1395</v>
      </c>
      <c r="J5" s="1292">
        <f ca="1">J6+J10+J12</f>
        <v>0</v>
      </c>
      <c r="K5" s="1822" t="s">
        <v>1396</v>
      </c>
      <c r="L5" s="1293"/>
      <c r="M5" s="1294"/>
    </row>
    <row r="6" spans="1:37" ht="18" customHeight="1">
      <c r="A6" s="1291" t="s">
        <v>1031</v>
      </c>
      <c r="B6" s="3166" t="s">
        <v>1397</v>
      </c>
      <c r="C6" s="1296">
        <f ca="1">ROUND(F6*F8*F7*(1-F9)/10000,0)</f>
        <v>342</v>
      </c>
      <c r="D6" s="164" t="s">
        <v>3031</v>
      </c>
      <c r="E6" s="347" t="s">
        <v>1399</v>
      </c>
      <c r="F6" s="348">
        <f ca="1">INDIRECT("'数据-取费表'!u"&amp;$G$1)</f>
        <v>250</v>
      </c>
      <c r="G6" s="1851"/>
      <c r="H6" s="1291" t="s">
        <v>1031</v>
      </c>
      <c r="I6" s="3166" t="s">
        <v>1397</v>
      </c>
      <c r="J6" s="346">
        <f ca="1">ROUND(M6*M8*M7*(1-M9)/10000,0)</f>
        <v>0</v>
      </c>
      <c r="K6" s="164" t="s">
        <v>3030</v>
      </c>
      <c r="L6" s="347" t="s">
        <v>1399</v>
      </c>
      <c r="M6" s="348">
        <f ca="1">INDIRECT("'数据-取费表'!z"&amp;$G$1)</f>
        <v>0</v>
      </c>
    </row>
    <row r="7" spans="1:37" ht="18" customHeight="1">
      <c r="A7" s="1295"/>
      <c r="B7" s="3167"/>
      <c r="C7" s="1297"/>
      <c r="D7" s="352"/>
      <c r="E7" s="2962" t="s">
        <v>1400</v>
      </c>
      <c r="F7" s="348">
        <f ca="1">IF(INDIRECT("'数据-取费表'!ah"&amp;$G$1)="",INDIRECT("'数据-取费表'!k"&amp;$G$1),INDIRECT("'数据-取费表'!ah"&amp;$G$1))</f>
        <v>1343</v>
      </c>
      <c r="G7" s="1851"/>
      <c r="H7" s="349"/>
      <c r="I7" s="3167"/>
      <c r="J7" s="351"/>
      <c r="K7" s="352"/>
      <c r="L7" s="347" t="s">
        <v>1400</v>
      </c>
      <c r="M7" s="348">
        <f ca="1">F7</f>
        <v>1343</v>
      </c>
    </row>
    <row r="8" spans="1:37" ht="18" customHeight="1">
      <c r="A8" s="349"/>
      <c r="B8" s="3167"/>
      <c r="C8" s="351"/>
      <c r="D8" s="352"/>
      <c r="E8" s="347" t="s">
        <v>1401</v>
      </c>
      <c r="F8" s="348">
        <f ca="1">INDIRECT("'数据-取费表'!ai"&amp;$G$1)</f>
        <v>12</v>
      </c>
      <c r="G8" s="1851"/>
      <c r="H8" s="349"/>
      <c r="I8" s="3167"/>
      <c r="J8" s="351"/>
      <c r="K8" s="352"/>
      <c r="L8" s="347" t="s">
        <v>1401</v>
      </c>
      <c r="M8" s="348">
        <f ca="1">INDIRECT("'数据-取费表'!ai"&amp;$G$1)</f>
        <v>12</v>
      </c>
    </row>
    <row r="9" spans="1:37" ht="18" customHeight="1">
      <c r="A9" s="349"/>
      <c r="B9" s="3168"/>
      <c r="C9" s="351"/>
      <c r="D9" s="352"/>
      <c r="E9" s="347" t="s">
        <v>1402</v>
      </c>
      <c r="F9" s="357">
        <f ca="1">INDIRECT("'数据-取费表'!w"&amp;$G$1)</f>
        <v>0.15</v>
      </c>
      <c r="G9" s="1851"/>
      <c r="H9" s="349"/>
      <c r="I9" s="316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t="s">
        <v>3136</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10036</v>
      </c>
      <c r="D13" s="1331" t="s">
        <v>1409</v>
      </c>
      <c r="E13" s="1331" t="s">
        <v>1410</v>
      </c>
      <c r="F13" s="1332">
        <f ca="1">INDIRECT("'数据-取费表'!y"&amp;$G$1)</f>
        <v>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8052</v>
      </c>
      <c r="D14" s="2971" t="s">
        <v>1412</v>
      </c>
      <c r="E14" s="2970"/>
      <c r="F14" s="364"/>
      <c r="G14" s="1851"/>
      <c r="H14" s="1201" t="s">
        <v>1031</v>
      </c>
      <c r="I14" s="347" t="s">
        <v>1413</v>
      </c>
      <c r="J14" s="24">
        <f ca="1">C29</f>
        <v>11151</v>
      </c>
      <c r="K14" s="2961"/>
      <c r="L14" s="979"/>
      <c r="M14" s="980"/>
    </row>
    <row r="15" spans="1:37" s="1858" customFormat="1" ht="18" customHeight="1" thickBot="1">
      <c r="A15" s="1201" t="s">
        <v>1032</v>
      </c>
      <c r="B15" s="347" t="s">
        <v>1414</v>
      </c>
      <c r="C15" s="24">
        <f ca="1">ROUND(C14*F15,0)</f>
        <v>242</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154</v>
      </c>
      <c r="K16" s="1337" t="s">
        <v>1419</v>
      </c>
      <c r="L16" s="2974"/>
      <c r="M16" s="1294"/>
    </row>
    <row r="17" spans="1:37" s="1858" customFormat="1" ht="18" customHeight="1">
      <c r="A17" s="1201" t="s">
        <v>1384</v>
      </c>
      <c r="B17" s="347" t="s">
        <v>1420</v>
      </c>
      <c r="C17" s="24">
        <f ca="1">ROUND(F17*(F43+INDIRECT("'数据-取费表'!S"&amp;$G$1))/10000,0)</f>
        <v>805</v>
      </c>
      <c r="D17" s="347" t="s">
        <v>1421</v>
      </c>
      <c r="E17" s="347" t="s">
        <v>1422</v>
      </c>
      <c r="F17" s="26">
        <f>'数据-取费表'!B35</f>
        <v>200</v>
      </c>
      <c r="G17" s="1854"/>
      <c r="H17" s="1201" t="s">
        <v>1031</v>
      </c>
      <c r="I17" s="347" t="s">
        <v>1423</v>
      </c>
      <c r="J17" s="24">
        <f ca="1">ROUND(IF(项目基本情况!B11="自然人",J6*M17/(1+'数据-取费表'!C42),J18+J19+J20),1)</f>
        <v>97.8</v>
      </c>
      <c r="K17" s="2971" t="s">
        <v>1424</v>
      </c>
      <c r="L17" s="2973"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121</v>
      </c>
      <c r="D18" s="347" t="s">
        <v>1415</v>
      </c>
      <c r="E18" s="347" t="s">
        <v>1416</v>
      </c>
      <c r="F18" s="367">
        <f>'数据-取费表'!B36</f>
        <v>1.4999999999999999E-2</v>
      </c>
      <c r="G18" s="1854"/>
      <c r="H18" s="1201" t="s">
        <v>1030</v>
      </c>
      <c r="I18" s="347" t="s">
        <v>1427</v>
      </c>
      <c r="J18" s="24">
        <f ca="1">ROUND(J6*M18/(1+'数据-取费表'!C42),2)</f>
        <v>0</v>
      </c>
      <c r="K18" s="2973"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9220</v>
      </c>
      <c r="D19" s="140" t="s">
        <v>1430</v>
      </c>
      <c r="E19" s="2959"/>
      <c r="F19" s="26"/>
      <c r="G19" s="1851"/>
      <c r="H19" s="1201" t="s">
        <v>1032</v>
      </c>
      <c r="I19" s="347" t="s">
        <v>1431</v>
      </c>
      <c r="J19" s="24">
        <f ca="1">IF(K19="按租金收入计税",ROUND(J6*M19/(1+'数据-取费表'!C42),2),ROUND(C29*M19*0.7,2))</f>
        <v>93.67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184</v>
      </c>
      <c r="D20" s="369" t="s">
        <v>1434</v>
      </c>
      <c r="E20" s="347" t="s">
        <v>1416</v>
      </c>
      <c r="F20" s="367">
        <f>'数据-取费表'!B37</f>
        <v>0.02</v>
      </c>
      <c r="G20" s="1854"/>
      <c r="H20" s="1201" t="s">
        <v>1383</v>
      </c>
      <c r="I20" s="164" t="s">
        <v>1435</v>
      </c>
      <c r="J20" s="25">
        <f ca="1">ROUND(M20*M21/10000,2)</f>
        <v>4.16</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6939.81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9"/>
      <c r="F22" s="26"/>
      <c r="G22" s="1851"/>
      <c r="H22" s="1201" t="s">
        <v>1035</v>
      </c>
      <c r="I22" s="347" t="s">
        <v>1443</v>
      </c>
      <c r="J22" s="24">
        <f ca="1">ROUND(J14*M22,1)</f>
        <v>55.8</v>
      </c>
      <c r="K22" s="2973" t="s">
        <v>1444</v>
      </c>
      <c r="L22" s="347" t="s">
        <v>1416</v>
      </c>
      <c r="M22" s="374">
        <f ca="1">INDIRECT("'数据-取费表'!Ak"&amp;$G$1)</f>
        <v>5.0000000000000001E-3</v>
      </c>
    </row>
    <row r="23" spans="1:37" s="1858" customFormat="1" ht="18" customHeight="1">
      <c r="A23" s="1201" t="s">
        <v>1030</v>
      </c>
      <c r="B23" s="347" t="s">
        <v>1445</v>
      </c>
      <c r="C23" s="24">
        <f ca="1">IF('数据-取费表'!B22&lt;=1,ROUND(C19*F24*F23/2,0)+ROUND(C20*F24*F23/2,0),ROUND(C19*(POWER((1+F24),F23/2)-1),0)+ROUND(C20*(POWER((1+F24),F23/2)-1),0))</f>
        <v>447</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73"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9"/>
      <c r="F25" s="26"/>
      <c r="G25" s="1851"/>
      <c r="H25" s="1329" t="s">
        <v>1027</v>
      </c>
      <c r="I25" s="1344" t="s">
        <v>1457</v>
      </c>
      <c r="J25" s="355">
        <f ca="1">J5-J16</f>
        <v>-154</v>
      </c>
      <c r="K25" s="1345" t="s">
        <v>1458</v>
      </c>
      <c r="L25" s="1346"/>
      <c r="M25" s="1347"/>
    </row>
    <row r="26" spans="1:37" ht="13">
      <c r="A26" s="1201" t="s">
        <v>1030</v>
      </c>
      <c r="B26" s="347" t="s">
        <v>1459</v>
      </c>
      <c r="C26" s="24">
        <f ca="1">ROUND((C19+C20)*F26,0)</f>
        <v>470</v>
      </c>
      <c r="D26" s="369" t="s">
        <v>1460</v>
      </c>
      <c r="E26" s="358" t="s">
        <v>1461</v>
      </c>
      <c r="F26" s="357">
        <f ca="1">INDIRECT("'数据-取费表'!q"&amp;$G$1)</f>
        <v>0.05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11151</v>
      </c>
      <c r="D29" s="1342"/>
      <c r="E29" s="1340"/>
      <c r="F29" s="1343"/>
      <c r="G29" s="1854"/>
      <c r="H29" s="380" t="s">
        <v>1029</v>
      </c>
      <c r="I29" s="381" t="s">
        <v>1473</v>
      </c>
      <c r="J29" s="382">
        <f ca="1">ROUND(J26/(1+F40)^F41,0)</f>
        <v>0</v>
      </c>
      <c r="K29" s="383" t="s">
        <v>1474</v>
      </c>
      <c r="L29" s="384"/>
      <c r="M29" s="385">
        <f ca="1">INDIRECT("'数据-取费表'!k"&amp;$G$1)</f>
        <v>40260.160000000003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137</v>
      </c>
      <c r="D30" s="1337" t="s">
        <v>1419</v>
      </c>
      <c r="E30" s="2974"/>
      <c r="F30" s="1294"/>
      <c r="G30" s="1851"/>
      <c r="H30" s="745"/>
      <c r="I30" s="746"/>
      <c r="J30" s="747"/>
      <c r="K30" s="748"/>
      <c r="L30" s="749"/>
      <c r="M30" s="750"/>
    </row>
    <row r="31" spans="1:37" ht="18" customHeight="1">
      <c r="A31" s="1201" t="s">
        <v>1031</v>
      </c>
      <c r="B31" s="347" t="s">
        <v>1423</v>
      </c>
      <c r="C31" s="24">
        <f ca="1">ROUND(IF(项目基本情况!B11="自然人",C6*F31/(1+'数据-取费表'!C42),C32+C33+C34),1)</f>
        <v>61.2</v>
      </c>
      <c r="D31" s="2971" t="s">
        <v>1424</v>
      </c>
      <c r="E31" s="2973"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17.91</v>
      </c>
      <c r="D32" s="2973"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39.090000000000003</v>
      </c>
      <c r="D33" s="1828" t="s">
        <v>3068</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4.16</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6939.81</v>
      </c>
      <c r="G35" s="1851"/>
      <c r="H35" s="745"/>
      <c r="I35" s="1860"/>
      <c r="J35" s="1861"/>
      <c r="K35" s="1862"/>
      <c r="L35" s="1859"/>
      <c r="M35" s="1859"/>
    </row>
    <row r="36" spans="1:18" ht="18" customHeight="1">
      <c r="A36" s="1352" t="s">
        <v>1035</v>
      </c>
      <c r="B36" s="347" t="s">
        <v>1443</v>
      </c>
      <c r="C36" s="24">
        <f ca="1">ROUND(C29*F36,1)</f>
        <v>55.8</v>
      </c>
      <c r="D36" s="2973" t="s">
        <v>1476</v>
      </c>
      <c r="E36" s="347" t="s">
        <v>1416</v>
      </c>
      <c r="F36" s="374">
        <f ca="1">INDIRECT("'数据-取费表'!Ak"&amp;$G$1)</f>
        <v>5.0000000000000001E-3</v>
      </c>
      <c r="G36" s="1851"/>
      <c r="H36" s="1859"/>
      <c r="I36" s="1860"/>
      <c r="J36" s="1861"/>
      <c r="K36" s="751"/>
      <c r="L36" s="1859"/>
      <c r="M36" s="1859"/>
    </row>
    <row r="37" spans="1:18" ht="18" customHeight="1">
      <c r="A37" s="1201" t="s">
        <v>1071</v>
      </c>
      <c r="B37" s="347" t="s">
        <v>1447</v>
      </c>
      <c r="C37" s="24">
        <f ca="1">ROUND(C13*F37,1)</f>
        <v>15.1</v>
      </c>
      <c r="D37" s="2973"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5.0999999999999996</v>
      </c>
      <c r="D38" s="1342" t="s">
        <v>1453</v>
      </c>
      <c r="E38" s="1340" t="s">
        <v>1416</v>
      </c>
      <c r="F38" s="1336">
        <f ca="1">INDIRECT("'数据-取费表'!Am"&amp;$G$1)</f>
        <v>1.4999999999999999E-2</v>
      </c>
      <c r="G38" s="1851"/>
      <c r="H38" s="1859"/>
      <c r="I38" s="1860"/>
      <c r="J38" s="1861"/>
      <c r="K38" s="1865"/>
      <c r="L38" s="1859"/>
      <c r="M38" s="1859"/>
    </row>
    <row r="39" spans="1:18" ht="24.65" customHeight="1" thickTop="1">
      <c r="A39" s="1329" t="s">
        <v>1027</v>
      </c>
      <c r="B39" s="1344" t="s">
        <v>1457</v>
      </c>
      <c r="C39" s="355">
        <f ca="1">C5-C30</f>
        <v>205</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4088</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31.46</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1015</v>
      </c>
      <c r="D43" s="383" t="s">
        <v>1482</v>
      </c>
      <c r="E43" s="384" t="s">
        <v>1483</v>
      </c>
      <c r="F43" s="385">
        <f ca="1">INDIRECT("'数据-取费表'!k"&amp;$G$1)</f>
        <v>40260.160000000003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-19967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3069</v>
      </c>
      <c r="K47" s="1882" t="s">
        <v>1521</v>
      </c>
      <c r="L47" s="1883">
        <f ca="1">INDIRECT("'数据-取费表'!d"&amp;$G$1)</f>
        <v>40</v>
      </c>
      <c r="M47" s="1838" t="str">
        <f>IF(ISNUMBER(FIND("住宅",C1)),"住宅","非住宅")</f>
        <v>非住宅</v>
      </c>
      <c r="O47" s="1884" t="s">
        <v>1036</v>
      </c>
      <c r="P47" s="1885" t="s">
        <v>1522</v>
      </c>
      <c r="Q47" s="1886">
        <f ca="1">C40+J29</f>
        <v>4088</v>
      </c>
      <c r="R47" s="1886" t="s">
        <v>1523</v>
      </c>
    </row>
    <row r="48" spans="1:18" s="1842" customFormat="1" ht="43.5" thickBot="1">
      <c r="A48" s="1360" t="s">
        <v>1131</v>
      </c>
      <c r="B48" s="345" t="s">
        <v>1395</v>
      </c>
      <c r="C48" s="2958">
        <f ca="1">C49+C53+C55</f>
        <v>0</v>
      </c>
      <c r="D48" s="1362"/>
      <c r="E48" s="1363"/>
      <c r="F48" s="1181"/>
      <c r="G48" s="792"/>
      <c r="H48" s="793"/>
      <c r="I48" s="1887" t="s">
        <v>1524</v>
      </c>
      <c r="J48" s="1888" t="s">
        <v>3070</v>
      </c>
      <c r="K48" s="1889" t="s">
        <v>1525</v>
      </c>
      <c r="L48" s="1890">
        <f ca="1">INDIRECT("'数据-取费表'!f"&amp;$G$1)</f>
        <v>31.46</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2014</v>
      </c>
      <c r="K49" s="1889" t="s">
        <v>1529</v>
      </c>
      <c r="L49" s="1893"/>
      <c r="O49" s="1894" t="s">
        <v>1038</v>
      </c>
      <c r="P49" s="1885" t="s">
        <v>1530</v>
      </c>
      <c r="Q49" s="1886">
        <f ca="1">C29</f>
        <v>11151</v>
      </c>
      <c r="R49" s="1886" t="s">
        <v>1523</v>
      </c>
    </row>
    <row r="50" spans="1:18" s="1842" customFormat="1" ht="13.5" thickBot="1">
      <c r="A50" s="1195"/>
      <c r="B50" s="1198"/>
      <c r="C50" s="1368"/>
      <c r="D50" s="1172"/>
      <c r="E50" s="1277" t="s">
        <v>1400</v>
      </c>
      <c r="F50" s="1278">
        <f ca="1">F7</f>
        <v>1343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12</v>
      </c>
      <c r="I51" s="1898" t="s">
        <v>1534</v>
      </c>
      <c r="J51" s="1899">
        <f>IF(J49="",J50,J49+J50-YEAR('数据-取费表'!B2))</f>
        <v>54</v>
      </c>
      <c r="K51" s="1900" t="s">
        <v>1535</v>
      </c>
      <c r="L51" s="1901">
        <f ca="1">ROUND(-PV(INDIRECT("'数据-取费表'!h"&amp;$G$1),L48,(C39-C13*C76),0),0)</f>
        <v>-10796</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31.46</v>
      </c>
      <c r="R52" s="1886" t="s">
        <v>1540</v>
      </c>
    </row>
    <row r="53" spans="1:18" s="1842" customFormat="1" ht="26.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31.46</v>
      </c>
      <c r="K53" s="3164" t="s">
        <v>1542</v>
      </c>
      <c r="L53" s="3165"/>
      <c r="O53" s="1884" t="s">
        <v>1042</v>
      </c>
      <c r="P53" s="1885" t="s">
        <v>1543</v>
      </c>
      <c r="Q53" s="1886">
        <f ca="1">Q47+Q48</f>
        <v>4088</v>
      </c>
      <c r="R53" s="1886" t="s">
        <v>1043</v>
      </c>
    </row>
    <row r="54" spans="1:18" s="1842" customFormat="1" ht="26.5" thickBot="1">
      <c r="A54" s="1406"/>
      <c r="B54" s="1825" t="s">
        <v>1382</v>
      </c>
      <c r="C54" s="1178"/>
      <c r="D54" s="1824"/>
      <c r="E54" s="296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3"/>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10036</v>
      </c>
      <c r="D56" s="1913"/>
      <c r="E56" s="1914"/>
      <c r="F56" s="1906"/>
      <c r="I56" s="1915" t="s">
        <v>1548</v>
      </c>
      <c r="J56" s="1916" t="s">
        <v>3059</v>
      </c>
      <c r="K56" s="1887" t="s">
        <v>1549</v>
      </c>
      <c r="L56" s="1890" t="str">
        <f ca="1">IF(L48&lt;J51,"——",L48-J53)</f>
        <v>——</v>
      </c>
      <c r="O56" s="1884" t="s">
        <v>1036</v>
      </c>
      <c r="P56" s="1885" t="s">
        <v>1522</v>
      </c>
      <c r="Q56" s="1886">
        <f ca="1">C40+J29</f>
        <v>4088</v>
      </c>
      <c r="R56" s="1886" t="s">
        <v>1523</v>
      </c>
    </row>
    <row r="57" spans="1:18" s="1842" customFormat="1" ht="26.5" thickBot="1">
      <c r="A57" s="1917"/>
      <c r="B57" s="1169" t="s">
        <v>1472</v>
      </c>
      <c r="C57" s="282">
        <f ca="1">C29</f>
        <v>11151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1012</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940.8</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936.68</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4.16</v>
      </c>
      <c r="D62" s="1184" t="s">
        <v>1436</v>
      </c>
      <c r="E62" s="1169" t="s">
        <v>1437</v>
      </c>
      <c r="F62" s="371">
        <f t="shared" si="0"/>
        <v>6</v>
      </c>
      <c r="I62" s="1928" t="s">
        <v>1564</v>
      </c>
      <c r="J62" s="1929" t="s">
        <v>1565</v>
      </c>
      <c r="K62" s="1929" t="s">
        <v>1566</v>
      </c>
      <c r="L62" s="1929" t="s">
        <v>1567</v>
      </c>
      <c r="M62" s="1930" t="s">
        <v>1568</v>
      </c>
      <c r="O62" s="1884" t="s">
        <v>1042</v>
      </c>
      <c r="P62" s="1885" t="s">
        <v>1543</v>
      </c>
      <c r="Q62" s="1886">
        <f ca="1">Q56+Q57</f>
        <v>4088</v>
      </c>
      <c r="R62" s="1886" t="s">
        <v>1043</v>
      </c>
    </row>
    <row r="63" spans="1:18" s="1842" customFormat="1" ht="13.5" thickBot="1">
      <c r="A63" s="372"/>
      <c r="B63" s="1175"/>
      <c r="C63" s="29"/>
      <c r="D63" s="1185"/>
      <c r="E63" s="1169" t="s">
        <v>1441</v>
      </c>
      <c r="F63" s="348">
        <f t="shared" ca="1" si="0"/>
        <v>6939.81</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55.8</v>
      </c>
      <c r="D64" s="1183" t="s">
        <v>1476</v>
      </c>
      <c r="E64" s="1169" t="s">
        <v>1416</v>
      </c>
      <c r="F64" s="374">
        <f t="shared" ca="1" si="0"/>
        <v>5.0000000000000001E-3</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15.1</v>
      </c>
      <c r="D65" s="1183" t="s">
        <v>1448</v>
      </c>
      <c r="E65" s="1169" t="s">
        <v>1416</v>
      </c>
      <c r="F65" s="376">
        <f t="shared" ca="1" si="0"/>
        <v>1.5E-3</v>
      </c>
      <c r="I65" s="1928" t="s">
        <v>1573</v>
      </c>
      <c r="J65" s="1929">
        <v>40</v>
      </c>
      <c r="K65" s="1929">
        <v>30</v>
      </c>
      <c r="L65" s="1929">
        <v>50</v>
      </c>
      <c r="M65" s="1931">
        <v>0.02</v>
      </c>
      <c r="O65" s="1884" t="s">
        <v>1036</v>
      </c>
      <c r="P65" s="1885" t="s">
        <v>1522</v>
      </c>
      <c r="Q65" s="1886">
        <f ca="1">C40+J29</f>
        <v>4088</v>
      </c>
      <c r="R65" s="1886" t="s">
        <v>1523</v>
      </c>
    </row>
    <row r="66" spans="1:18" s="1842" customFormat="1" ht="16"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26.5" thickBot="1">
      <c r="A67" s="1176" t="s">
        <v>1027</v>
      </c>
      <c r="B67" s="1186" t="s">
        <v>1457</v>
      </c>
      <c r="C67" s="361">
        <f ca="1">C48-C58</f>
        <v>-1012</v>
      </c>
      <c r="D67" s="1182" t="s">
        <v>1458</v>
      </c>
      <c r="E67" s="1187"/>
      <c r="F67" s="1188"/>
      <c r="O67" s="1894" t="s">
        <v>1038</v>
      </c>
      <c r="P67" s="1885" t="s">
        <v>1556</v>
      </c>
      <c r="Q67" s="1932">
        <f ca="1">L51</f>
        <v>-10796</v>
      </c>
      <c r="R67" s="1886" t="s">
        <v>1576</v>
      </c>
    </row>
    <row r="68" spans="1:18" s="1842" customFormat="1" ht="16" thickBot="1">
      <c r="A68" s="1166" t="s">
        <v>1028</v>
      </c>
      <c r="B68" s="1167" t="s">
        <v>1479</v>
      </c>
      <c r="C68" s="346">
        <f ca="1">ROUND(C67*(1-((1+F70)/(1+F68))^F69)/(F68-F70),0)</f>
        <v>-15879</v>
      </c>
      <c r="D68" s="1184" t="s">
        <v>1463</v>
      </c>
      <c r="E68" s="1169" t="s">
        <v>1464</v>
      </c>
      <c r="F68" s="357">
        <f ca="1">F40</f>
        <v>0.05</v>
      </c>
      <c r="O68" s="1894" t="s">
        <v>1039</v>
      </c>
      <c r="P68" s="1933" t="s">
        <v>1577</v>
      </c>
      <c r="Q68" s="1886">
        <f ca="1">ROUND(Q69-Q70*Q71,0)</f>
        <v>-648</v>
      </c>
      <c r="R68" s="1886" t="s">
        <v>1047</v>
      </c>
    </row>
    <row r="69" spans="1:18" s="1842" customFormat="1" ht="13.5" thickBot="1">
      <c r="A69" s="1170"/>
      <c r="B69" s="1171"/>
      <c r="C69" s="351"/>
      <c r="D69" s="1189" t="s">
        <v>1467</v>
      </c>
      <c r="E69" s="1169" t="s">
        <v>1468</v>
      </c>
      <c r="F69" s="379">
        <f ca="1">F41</f>
        <v>31.46</v>
      </c>
      <c r="O69" s="1894" t="s">
        <v>1044</v>
      </c>
      <c r="P69" s="1933" t="s">
        <v>1578</v>
      </c>
      <c r="Q69" s="1886">
        <f ca="1">C39</f>
        <v>205</v>
      </c>
      <c r="R69" s="1886" t="s">
        <v>1523</v>
      </c>
    </row>
    <row r="70" spans="1:18" s="1842" customFormat="1" ht="13.5" thickBot="1">
      <c r="A70" s="1173"/>
      <c r="B70" s="1174"/>
      <c r="C70" s="355"/>
      <c r="D70" s="1185"/>
      <c r="E70" s="1169" t="s">
        <v>1471</v>
      </c>
      <c r="F70" s="1275"/>
      <c r="O70" s="1894" t="s">
        <v>1045</v>
      </c>
      <c r="P70" s="1933" t="s">
        <v>1579</v>
      </c>
      <c r="Q70" s="1886">
        <f ca="1">C13</f>
        <v>10036</v>
      </c>
      <c r="R70" s="1886" t="s">
        <v>1523</v>
      </c>
    </row>
    <row r="71" spans="1:18" s="1842" customFormat="1" ht="13.5" thickBot="1">
      <c r="A71" s="1190" t="s">
        <v>1029</v>
      </c>
      <c r="B71" s="1191" t="s">
        <v>1481</v>
      </c>
      <c r="C71" s="382">
        <f ca="1">ROUND(C68*10000/F71,0)</f>
        <v>-3944</v>
      </c>
      <c r="D71" s="1192" t="s">
        <v>1482</v>
      </c>
      <c r="E71" s="1193" t="s">
        <v>1483</v>
      </c>
      <c r="F71" s="385">
        <f ca="1">F43</f>
        <v>40260.160000000003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853</v>
      </c>
      <c r="D75" s="1842"/>
      <c r="E75" s="1842"/>
      <c r="F75" s="1842"/>
      <c r="K75" s="1868"/>
      <c r="L75" s="1842"/>
      <c r="O75" s="1884" t="s">
        <v>1042</v>
      </c>
      <c r="P75" s="1885" t="s">
        <v>1543</v>
      </c>
      <c r="Q75" s="1886">
        <f ca="1">Q65+Q66</f>
        <v>4088</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-3.1609999999999996</v>
      </c>
    </row>
    <row r="80" spans="1:18" ht="13">
      <c r="B80" s="386" t="s">
        <v>1505</v>
      </c>
      <c r="C80" s="318">
        <f ca="1">ROUND(C75/C39,3)</f>
        <v>4.1609999999999996</v>
      </c>
    </row>
    <row r="81" spans="2:3" ht="13.5">
      <c r="B81" s="314" t="s">
        <v>1506</v>
      </c>
      <c r="C81" s="282"/>
    </row>
    <row r="82" spans="2:3" ht="13">
      <c r="B82" s="317" t="s">
        <v>1507</v>
      </c>
      <c r="C82" s="319">
        <f ca="1">1-C83</f>
        <v>-1.4550000000000001</v>
      </c>
    </row>
    <row r="83" spans="2:3" ht="13">
      <c r="B83" s="317" t="s">
        <v>1508</v>
      </c>
      <c r="C83" s="318">
        <f ca="1">ROUND(C13/C40,3)</f>
        <v>2.4550000000000001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xr:uid="{DCB0A49B-1C0F-4FD3-9A8B-D771BC0B6B73}">
      <formula1>"在建（套用方法）,土地（套用方法）,——"</formula1>
    </dataValidation>
    <dataValidation type="list" allowBlank="1" showInputMessage="1" showErrorMessage="1" sqref="M10 F10 F53" xr:uid="{0C47E070-5FE2-4603-A810-0EFEB3144D7B}">
      <formula1>"押一,押二,押三,自定义"</formula1>
    </dataValidation>
    <dataValidation type="list" allowBlank="1" showInputMessage="1" showErrorMessage="1" sqref="L55" xr:uid="{973AF623-F6F5-43B4-B361-7A4D44BC7698}">
      <formula1>"比较法,基准地价,收益还原"</formula1>
    </dataValidation>
    <dataValidation type="list" allowBlank="1" showInputMessage="1" showErrorMessage="1" sqref="J56" xr:uid="{60E1AA07-5DFB-433B-B3E1-0E5EAF7EB65E}">
      <formula1>判定</formula1>
    </dataValidation>
    <dataValidation type="list" allowBlank="1" showInputMessage="1" showErrorMessage="1" sqref="J48" xr:uid="{C60343A3-FB6D-4861-8764-80DC81F171F8}">
      <formula1>"非生产用房,生产用房,受腐蚀的生产用房"</formula1>
    </dataValidation>
    <dataValidation type="list" allowBlank="1" showInputMessage="1" showErrorMessage="1" sqref="J47" xr:uid="{B0F71F06-A9BF-44C3-B5BC-44FB84D298D7}">
      <formula1>"钢,钢混,砖混"</formula1>
    </dataValidation>
    <dataValidation type="list" allowBlank="1" showInputMessage="1" showErrorMessage="1" sqref="C1" xr:uid="{7E656DB8-9AAD-4D72-A21D-C386B76E5EB9}">
      <formula1>项目类型</formula1>
    </dataValidation>
    <dataValidation type="list" allowBlank="1" showInputMessage="1" showErrorMessage="1" sqref="D33 D61" xr:uid="{023B6A0D-BCC4-4F7C-B498-1DC7141D586A}">
      <formula1>"按租金收入计税,按房产原值计税,按票据"</formula1>
    </dataValidation>
    <dataValidation type="list" allowBlank="1" showInputMessage="1" showErrorMessage="1" sqref="K19" xr:uid="{D1E84B04-44D1-4DAE-8C41-9E80B42100B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3" zoomScale="80" zoomScaleNormal="80" workbookViewId="0">
      <selection activeCell="J63" sqref="J63"/>
    </sheetView>
  </sheetViews>
  <sheetFormatPr defaultColWidth="9" defaultRowHeight="14"/>
  <cols>
    <col min="1" max="1" width="14.36328125" style="403" customWidth="1"/>
    <col min="2" max="2" width="15.81640625" style="403" customWidth="1"/>
    <col min="3" max="3" width="18.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2221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391</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07" t="s">
        <v>2647</v>
      </c>
      <c r="AC4" s="3206" t="s">
        <v>2648</v>
      </c>
    </row>
    <row r="5" spans="1:30">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07"/>
      <c r="AC5" s="3207"/>
    </row>
    <row r="6" spans="1:30" ht="15" thickBot="1">
      <c r="A6" s="406"/>
      <c r="B6" s="407"/>
      <c r="C6" s="3226" t="s">
        <v>2545</v>
      </c>
      <c r="D6" s="3227"/>
      <c r="E6" s="3233" t="s">
        <v>2545</v>
      </c>
      <c r="F6" s="3234"/>
      <c r="G6" s="3226" t="s">
        <v>2545</v>
      </c>
      <c r="H6" s="3227"/>
      <c r="I6" s="3226" t="s">
        <v>2545</v>
      </c>
      <c r="J6" s="3227"/>
      <c r="K6" s="610" t="s">
        <v>2546</v>
      </c>
      <c r="L6" s="1130"/>
      <c r="M6" s="1131"/>
      <c r="N6" s="1131"/>
      <c r="O6" s="1131"/>
      <c r="P6" s="3217"/>
      <c r="Q6" s="3218"/>
      <c r="R6" s="3221"/>
      <c r="S6" s="3222"/>
      <c r="T6" s="3223"/>
      <c r="U6" s="3224"/>
      <c r="V6" s="3225"/>
      <c r="W6" s="3225"/>
      <c r="X6" s="1813"/>
      <c r="Y6" s="3223"/>
      <c r="Z6" s="3224"/>
      <c r="AA6" s="3208"/>
      <c r="AB6" s="3208"/>
      <c r="AC6" s="3208"/>
    </row>
    <row r="7" spans="1:30" s="117" customFormat="1" ht="14.5" thickBot="1">
      <c r="A7" s="408" t="s">
        <v>2547</v>
      </c>
      <c r="B7" s="409"/>
      <c r="C7" s="410">
        <f>'数据-取费表'!B2</f>
        <v>43900</v>
      </c>
      <c r="D7" s="411">
        <v>100</v>
      </c>
      <c r="E7" s="412" t="str">
        <f>Sheet2!H2</f>
        <v>2019-12-25</v>
      </c>
      <c r="F7" s="413">
        <f>SUMIF(70:70,YEAR(E7)&amp;"-"&amp;INT((MONTH(E7)+2)/3),71:71)</f>
        <v>99.5</v>
      </c>
      <c r="G7" s="2698" t="str">
        <f>Sheet2!H5</f>
        <v>2019-11-20</v>
      </c>
      <c r="H7" s="411">
        <f>SUMIF(70:70,YEAR(G7)&amp;"-"&amp;INT((MONTH(G7)+2)/3),71:71)</f>
        <v>99.5</v>
      </c>
      <c r="I7" s="2698" t="str">
        <f>Sheet2!H9</f>
        <v>2018-12-28</v>
      </c>
      <c r="J7" s="411">
        <f>SUMIF(70:70,YEAR(I7)&amp;"-"&amp;INT((MONTH(I7)+2)/3),71:71)</f>
        <v>97.5</v>
      </c>
      <c r="K7" s="611"/>
      <c r="L7" s="1132"/>
      <c r="M7" s="1133"/>
      <c r="N7" s="1133"/>
      <c r="O7" s="1133"/>
      <c r="P7" s="3230" t="s">
        <v>2548</v>
      </c>
      <c r="Q7" s="3232"/>
      <c r="R7" s="770" t="s">
        <v>17</v>
      </c>
      <c r="S7" s="771">
        <f t="shared" ref="S7:S15" si="0">F7</f>
        <v>99.5</v>
      </c>
      <c r="T7" s="770" t="s">
        <v>17</v>
      </c>
      <c r="U7" s="771">
        <f t="shared" ref="U7:U15" si="1">H7</f>
        <v>99.5</v>
      </c>
      <c r="V7" s="770" t="s">
        <v>17</v>
      </c>
      <c r="W7" s="771">
        <f t="shared" ref="W7:W15" si="2">J7</f>
        <v>97.5</v>
      </c>
      <c r="X7" s="772"/>
      <c r="Y7" s="3230" t="s">
        <v>2548</v>
      </c>
      <c r="Z7" s="3231"/>
      <c r="AA7" s="773">
        <f>D7/F7</f>
        <v>1.0050251256281406</v>
      </c>
      <c r="AB7" s="773">
        <f>D7/H7</f>
        <v>1.0050251256281406</v>
      </c>
      <c r="AC7" s="773">
        <f>D7/J7</f>
        <v>1.0256410256410255</v>
      </c>
    </row>
    <row r="8" spans="1:30" s="117" customFormat="1" ht="14.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2"/>
      <c r="M8" s="1133"/>
      <c r="N8" s="1133"/>
      <c r="O8" s="1133"/>
      <c r="P8" s="3230" t="s">
        <v>2551</v>
      </c>
      <c r="Q8" s="3231"/>
      <c r="R8" s="770" t="s">
        <v>17</v>
      </c>
      <c r="S8" s="771">
        <f t="shared" si="0"/>
        <v>100</v>
      </c>
      <c r="T8" s="770" t="s">
        <v>17</v>
      </c>
      <c r="U8" s="771">
        <f t="shared" si="1"/>
        <v>100</v>
      </c>
      <c r="V8" s="770" t="s">
        <v>17</v>
      </c>
      <c r="W8" s="771">
        <f t="shared" si="2"/>
        <v>100</v>
      </c>
      <c r="X8" s="772"/>
      <c r="Y8" s="3230" t="s">
        <v>2551</v>
      </c>
      <c r="Z8" s="3231"/>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94"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194"/>
      <c r="Q10" s="1795" t="str">
        <f t="shared" si="6"/>
        <v>土地使用年限（年）</v>
      </c>
      <c r="R10" s="770" t="s">
        <v>17</v>
      </c>
      <c r="S10" s="771">
        <f t="shared" si="0"/>
        <v>110</v>
      </c>
      <c r="T10" s="770" t="s">
        <v>17</v>
      </c>
      <c r="U10" s="771">
        <f t="shared" si="1"/>
        <v>110</v>
      </c>
      <c r="V10" s="770" t="s">
        <v>17</v>
      </c>
      <c r="W10" s="771">
        <f t="shared" si="2"/>
        <v>110</v>
      </c>
      <c r="X10" s="772"/>
      <c r="Y10" s="3019"/>
      <c r="Z10" s="55" t="str">
        <f t="shared" si="7"/>
        <v>土地使用年限（年）</v>
      </c>
      <c r="AA10" s="773">
        <f t="shared" si="3"/>
        <v>0.90909090909090906</v>
      </c>
      <c r="AB10" s="773">
        <f t="shared" si="4"/>
        <v>0.90909090909090906</v>
      </c>
      <c r="AC10" s="773">
        <f t="shared" si="5"/>
        <v>0.90909090909090906</v>
      </c>
    </row>
    <row r="11" spans="1:30" ht="15.5">
      <c r="A11" s="428"/>
      <c r="B11" s="422" t="s">
        <v>2557</v>
      </c>
      <c r="C11" s="429">
        <f>'数据-汇总表'!I6</f>
        <v>1.69</v>
      </c>
      <c r="D11" s="136">
        <v>100</v>
      </c>
      <c r="E11" s="429">
        <v>1</v>
      </c>
      <c r="F11" s="136">
        <f>LOOKUP(E11,80:80,81:81)-LOOKUP(C11,80:80,81:81)+100</f>
        <v>100</v>
      </c>
      <c r="G11" s="430">
        <v>2</v>
      </c>
      <c r="H11" s="136">
        <f>LOOKUP(G11,80:80,81:81)-LOOKUP(C11,80:80,81:81)+100</f>
        <v>98</v>
      </c>
      <c r="I11" s="429">
        <v>1.2</v>
      </c>
      <c r="J11" s="136">
        <f>LOOKUP(I11,80:80,81:81)-LOOKUP(C11,80:80,81:81)+100</f>
        <v>100</v>
      </c>
      <c r="K11" s="673">
        <v>2</v>
      </c>
      <c r="L11" s="1138"/>
      <c r="M11" s="1131"/>
      <c r="N11" s="1131"/>
      <c r="O11" s="1139"/>
      <c r="P11" s="3194"/>
      <c r="Q11" s="1795" t="str">
        <f t="shared" si="6"/>
        <v>容积率</v>
      </c>
      <c r="R11" s="770" t="s">
        <v>17</v>
      </c>
      <c r="S11" s="771">
        <f t="shared" si="0"/>
        <v>100</v>
      </c>
      <c r="T11" s="770" t="s">
        <v>17</v>
      </c>
      <c r="U11" s="771">
        <f t="shared" si="1"/>
        <v>98</v>
      </c>
      <c r="V11" s="770" t="s">
        <v>17</v>
      </c>
      <c r="W11" s="771">
        <f t="shared" si="2"/>
        <v>100</v>
      </c>
      <c r="X11" s="772"/>
      <c r="Y11" s="3019"/>
      <c r="Z11" s="55" t="str">
        <f t="shared" si="7"/>
        <v>容积率</v>
      </c>
      <c r="AA11" s="773">
        <f t="shared" si="3"/>
        <v>1</v>
      </c>
      <c r="AB11" s="773">
        <f t="shared" si="4"/>
        <v>1.0204081632653061</v>
      </c>
      <c r="AC11" s="773">
        <f t="shared" si="5"/>
        <v>1</v>
      </c>
    </row>
    <row r="12" spans="1:30" s="117" customFormat="1" ht="15.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5"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8">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2559</v>
      </c>
      <c r="Q15" s="1810" t="str">
        <f t="shared" si="6"/>
        <v>居住社区成熟度</v>
      </c>
      <c r="R15" s="774" t="s">
        <v>17</v>
      </c>
      <c r="S15" s="775">
        <f t="shared" si="0"/>
        <v>100</v>
      </c>
      <c r="T15" s="774" t="s">
        <v>17</v>
      </c>
      <c r="U15" s="775">
        <f t="shared" si="1"/>
        <v>100</v>
      </c>
      <c r="V15" s="774" t="s">
        <v>17</v>
      </c>
      <c r="W15" s="775">
        <f t="shared" si="2"/>
        <v>100</v>
      </c>
      <c r="X15" s="1813"/>
      <c r="Y15" s="3196" t="s">
        <v>2559</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84">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7"/>
      <c r="Q17" s="1810" t="str">
        <f>B17</f>
        <v>商业繁华度</v>
      </c>
      <c r="R17" s="774" t="s">
        <v>17</v>
      </c>
      <c r="S17" s="775">
        <f>F17</f>
        <v>100</v>
      </c>
      <c r="T17" s="774" t="s">
        <v>17</v>
      </c>
      <c r="U17" s="775">
        <f>H17</f>
        <v>100</v>
      </c>
      <c r="V17" s="774" t="s">
        <v>17</v>
      </c>
      <c r="W17" s="775">
        <f>J17</f>
        <v>100</v>
      </c>
      <c r="X17" s="1813"/>
      <c r="Y17" s="3197"/>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84">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10" t="str">
        <f>B19</f>
        <v>办公集聚程度</v>
      </c>
      <c r="R19" s="774" t="s">
        <v>17</v>
      </c>
      <c r="S19" s="775">
        <f>F19</f>
        <v>100</v>
      </c>
      <c r="T19" s="774" t="s">
        <v>17</v>
      </c>
      <c r="U19" s="775">
        <f>H19</f>
        <v>100</v>
      </c>
      <c r="V19" s="774" t="s">
        <v>17</v>
      </c>
      <c r="W19" s="775">
        <f>J19</f>
        <v>100</v>
      </c>
      <c r="X19" s="1813"/>
      <c r="Y19" s="3197"/>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197"/>
      <c r="Q20" s="1810"/>
      <c r="R20" s="774"/>
      <c r="S20" s="775"/>
      <c r="T20" s="774"/>
      <c r="U20" s="775"/>
      <c r="V20" s="774"/>
      <c r="W20" s="775"/>
      <c r="X20" s="1813"/>
      <c r="Y20" s="3197"/>
      <c r="Z20" s="1814"/>
      <c r="AA20" s="1811">
        <v>1</v>
      </c>
      <c r="AB20" s="1811">
        <v>1</v>
      </c>
      <c r="AC20" s="1811">
        <v>1</v>
      </c>
    </row>
    <row r="21" spans="1:29" ht="98">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7"/>
      <c r="Q21" s="1810" t="str">
        <f>B21</f>
        <v>交通便捷度</v>
      </c>
      <c r="R21" s="774" t="s">
        <v>17</v>
      </c>
      <c r="S21" s="775">
        <f>F21</f>
        <v>100</v>
      </c>
      <c r="T21" s="774" t="s">
        <v>17</v>
      </c>
      <c r="U21" s="775">
        <f>H21</f>
        <v>100</v>
      </c>
      <c r="V21" s="774" t="s">
        <v>17</v>
      </c>
      <c r="W21" s="775">
        <f>J21</f>
        <v>100</v>
      </c>
      <c r="X21" s="1813"/>
      <c r="Y21" s="3197"/>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7"/>
      <c r="Q23" s="1810" t="str">
        <f t="shared" ref="Q23:Q37" si="8">B23</f>
        <v>区域土地利用方向</v>
      </c>
      <c r="R23" s="774" t="s">
        <v>17</v>
      </c>
      <c r="S23" s="775">
        <f>F23</f>
        <v>100</v>
      </c>
      <c r="T23" s="774" t="s">
        <v>17</v>
      </c>
      <c r="U23" s="775">
        <f>H23</f>
        <v>100</v>
      </c>
      <c r="V23" s="774" t="s">
        <v>17</v>
      </c>
      <c r="W23" s="775">
        <f>J23</f>
        <v>100</v>
      </c>
      <c r="X23" s="1813"/>
      <c r="Y23" s="3197"/>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197"/>
      <c r="Q24" s="1810"/>
      <c r="R24" s="774"/>
      <c r="S24" s="775"/>
      <c r="T24" s="774"/>
      <c r="U24" s="775"/>
      <c r="V24" s="774"/>
      <c r="W24" s="775"/>
      <c r="X24" s="1813"/>
      <c r="Y24" s="3197"/>
      <c r="Z24" s="1814"/>
      <c r="AA24" s="1811"/>
      <c r="AB24" s="1811"/>
      <c r="AC24" s="1811"/>
    </row>
    <row r="25" spans="1:29" ht="56">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7"/>
      <c r="Q25" s="1810" t="str">
        <f t="shared" si="8"/>
        <v>自然及人文环境状况</v>
      </c>
      <c r="R25" s="774" t="s">
        <v>17</v>
      </c>
      <c r="S25" s="775">
        <f>F25</f>
        <v>100</v>
      </c>
      <c r="T25" s="774" t="s">
        <v>17</v>
      </c>
      <c r="U25" s="775">
        <f>H25</f>
        <v>100</v>
      </c>
      <c r="V25" s="774" t="s">
        <v>17</v>
      </c>
      <c r="W25" s="775">
        <f>J25</f>
        <v>100</v>
      </c>
      <c r="X25" s="1813"/>
      <c r="Y25" s="3197"/>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197"/>
      <c r="Q26" s="1810"/>
      <c r="R26" s="774"/>
      <c r="S26" s="775"/>
      <c r="T26" s="774"/>
      <c r="U26" s="775"/>
      <c r="V26" s="774"/>
      <c r="W26" s="775"/>
      <c r="X26" s="1813"/>
      <c r="Y26" s="3197"/>
      <c r="Z26" s="1814"/>
      <c r="AA26" s="1811">
        <v>1</v>
      </c>
      <c r="AB26" s="1811">
        <v>1</v>
      </c>
      <c r="AC26" s="1811">
        <v>1</v>
      </c>
    </row>
    <row r="27" spans="1:29" s="117" customFormat="1" ht="42">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7"/>
      <c r="Q27" s="1795" t="str">
        <f t="shared" si="8"/>
        <v>公共配套设施</v>
      </c>
      <c r="R27" s="770" t="s">
        <v>17</v>
      </c>
      <c r="S27" s="771">
        <f>F27</f>
        <v>100</v>
      </c>
      <c r="T27" s="770" t="s">
        <v>17</v>
      </c>
      <c r="U27" s="771">
        <f>H27</f>
        <v>100</v>
      </c>
      <c r="V27" s="770" t="s">
        <v>17</v>
      </c>
      <c r="W27" s="771">
        <f>J27</f>
        <v>100</v>
      </c>
      <c r="X27" s="772"/>
      <c r="Y27" s="3197"/>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197"/>
      <c r="Q28" s="1795"/>
      <c r="R28" s="770"/>
      <c r="S28" s="771"/>
      <c r="T28" s="770"/>
      <c r="U28" s="771"/>
      <c r="V28" s="770"/>
      <c r="W28" s="771"/>
      <c r="X28" s="772"/>
      <c r="Y28" s="3197"/>
      <c r="Z28" s="55"/>
      <c r="AA28" s="1811">
        <v>1</v>
      </c>
      <c r="AB28" s="1811">
        <v>1</v>
      </c>
      <c r="AC28" s="1811">
        <v>1</v>
      </c>
    </row>
    <row r="29" spans="1:29" s="117" customFormat="1" ht="42">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7"/>
      <c r="Q29" s="1795"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197"/>
      <c r="Q30" s="1795"/>
      <c r="R30" s="770"/>
      <c r="S30" s="771"/>
      <c r="T30" s="770"/>
      <c r="U30" s="771"/>
      <c r="V30" s="770"/>
      <c r="W30" s="771"/>
      <c r="X30" s="772"/>
      <c r="Y30" s="3197"/>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7"/>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10" t="str">
        <f t="shared" si="8"/>
        <v>毗邻道路的类型与等级</v>
      </c>
      <c r="R32" s="774" t="s">
        <v>17</v>
      </c>
      <c r="S32" s="775">
        <f t="shared" si="10"/>
        <v>100</v>
      </c>
      <c r="T32" s="774" t="s">
        <v>17</v>
      </c>
      <c r="U32" s="775">
        <f t="shared" si="11"/>
        <v>100</v>
      </c>
      <c r="V32" s="774" t="s">
        <v>17</v>
      </c>
      <c r="W32" s="775">
        <f t="shared" si="12"/>
        <v>100</v>
      </c>
      <c r="X32" s="1813"/>
      <c r="Y32" s="3197"/>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197"/>
      <c r="Q33" s="1810"/>
      <c r="R33" s="774"/>
      <c r="S33" s="775"/>
      <c r="T33" s="774"/>
      <c r="U33" s="775"/>
      <c r="V33" s="774"/>
      <c r="W33" s="775"/>
      <c r="X33" s="1813"/>
      <c r="Y33" s="3197"/>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10" t="str">
        <f t="shared" si="8"/>
        <v>土地级别</v>
      </c>
      <c r="R34" s="774" t="s">
        <v>17</v>
      </c>
      <c r="S34" s="775">
        <f t="shared" si="10"/>
        <v>100</v>
      </c>
      <c r="T34" s="774" t="s">
        <v>17</v>
      </c>
      <c r="U34" s="775">
        <f t="shared" si="11"/>
        <v>100</v>
      </c>
      <c r="V34" s="774" t="s">
        <v>17</v>
      </c>
      <c r="W34" s="775">
        <f t="shared" si="12"/>
        <v>100</v>
      </c>
      <c r="X34" s="1813"/>
      <c r="Y34" s="3197"/>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10">
        <f t="shared" si="8"/>
        <v>111</v>
      </c>
      <c r="R35" s="774" t="s">
        <v>17</v>
      </c>
      <c r="S35" s="775">
        <f t="shared" si="10"/>
        <v>100</v>
      </c>
      <c r="T35" s="774" t="s">
        <v>17</v>
      </c>
      <c r="U35" s="775">
        <f t="shared" si="11"/>
        <v>100</v>
      </c>
      <c r="V35" s="774" t="s">
        <v>17</v>
      </c>
      <c r="W35" s="775">
        <f t="shared" si="12"/>
        <v>100</v>
      </c>
      <c r="X35" s="1813"/>
      <c r="Y35" s="3197"/>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2" t="s">
        <v>2564</v>
      </c>
      <c r="Q36" s="1810">
        <f t="shared" si="8"/>
        <v>111</v>
      </c>
      <c r="R36" s="774" t="s">
        <v>17</v>
      </c>
      <c r="S36" s="775">
        <f t="shared" si="10"/>
        <v>100</v>
      </c>
      <c r="T36" s="774" t="s">
        <v>17</v>
      </c>
      <c r="U36" s="775">
        <f t="shared" si="11"/>
        <v>100</v>
      </c>
      <c r="V36" s="774" t="s">
        <v>17</v>
      </c>
      <c r="W36" s="775">
        <f t="shared" si="12"/>
        <v>100</v>
      </c>
      <c r="X36" s="1813"/>
      <c r="Y36" s="3201"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1"/>
      <c r="Q37" s="1810">
        <f t="shared" si="8"/>
        <v>111</v>
      </c>
      <c r="R37" s="777" t="s">
        <v>17</v>
      </c>
      <c r="S37" s="778">
        <f t="shared" si="10"/>
        <v>100</v>
      </c>
      <c r="T37" s="777" t="s">
        <v>17</v>
      </c>
      <c r="U37" s="778">
        <f t="shared" si="11"/>
        <v>100</v>
      </c>
      <c r="V37" s="777" t="s">
        <v>17</v>
      </c>
      <c r="W37" s="778">
        <f t="shared" si="12"/>
        <v>100</v>
      </c>
      <c r="X37" s="779"/>
      <c r="Y37" s="3201"/>
      <c r="Z37" s="780">
        <f t="shared" si="13"/>
        <v>111</v>
      </c>
      <c r="AA37" s="1811">
        <f t="shared" si="3"/>
        <v>1</v>
      </c>
      <c r="AB37" s="1811">
        <f t="shared" si="4"/>
        <v>1</v>
      </c>
      <c r="AC37" s="1811">
        <f t="shared" si="5"/>
        <v>1</v>
      </c>
    </row>
    <row r="38" spans="1:29" ht="15.5">
      <c r="A38" s="472" t="s">
        <v>2562</v>
      </c>
      <c r="B38" s="456" t="s">
        <v>2750</v>
      </c>
      <c r="C38" s="679">
        <f>'数据-汇总表'!D3</f>
        <v>9793.7800000000007</v>
      </c>
      <c r="D38" s="467">
        <v>100</v>
      </c>
      <c r="E38" s="679">
        <f>Sheet2!D2</f>
        <v>4000</v>
      </c>
      <c r="F38" s="467">
        <f>LOOKUP(E38,117:117,118:118)-LOOKUP(C38,117:117,118:118)+100</f>
        <v>100</v>
      </c>
      <c r="G38" s="679">
        <f>Sheet2!D5</f>
        <v>6406.62</v>
      </c>
      <c r="H38" s="467">
        <f>LOOKUP(G38,117:117,118:118)-LOOKUP(C38,117:117,118:118)+100</f>
        <v>100</v>
      </c>
      <c r="I38" s="530">
        <f>Sheet2!D9</f>
        <v>4082.02</v>
      </c>
      <c r="J38" s="467">
        <f>LOOKUP(I38,117:117,118:118)-LOOKUP(C38,117:117,118:118)+100</f>
        <v>100</v>
      </c>
      <c r="K38" s="613"/>
      <c r="L38" s="1140"/>
      <c r="M38" s="1131"/>
      <c r="N38" s="1131"/>
      <c r="O38" s="1139"/>
      <c r="P38" s="3201"/>
      <c r="Q38" s="1810" t="str">
        <f>B38</f>
        <v>宗地面积</v>
      </c>
      <c r="R38" s="774" t="s">
        <v>17</v>
      </c>
      <c r="S38" s="775">
        <f t="shared" si="10"/>
        <v>100</v>
      </c>
      <c r="T38" s="774" t="s">
        <v>17</v>
      </c>
      <c r="U38" s="775">
        <f t="shared" si="11"/>
        <v>100</v>
      </c>
      <c r="V38" s="774" t="s">
        <v>17</v>
      </c>
      <c r="W38" s="775">
        <f t="shared" si="12"/>
        <v>100</v>
      </c>
      <c r="X38" s="1813"/>
      <c r="Y38" s="3201"/>
      <c r="Z38" s="1814" t="str">
        <f t="shared" si="13"/>
        <v>宗地面积</v>
      </c>
      <c r="AA38" s="1811">
        <f t="shared" si="3"/>
        <v>1</v>
      </c>
      <c r="AB38" s="1811">
        <f t="shared" si="4"/>
        <v>1</v>
      </c>
      <c r="AC38" s="1811">
        <f t="shared" si="5"/>
        <v>1</v>
      </c>
    </row>
    <row r="39" spans="1:29" ht="15.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01"/>
      <c r="Q39" s="1810" t="str">
        <f t="shared" ref="Q39:Q45" si="14">B39</f>
        <v>宗地形状</v>
      </c>
      <c r="R39" s="774" t="s">
        <v>17</v>
      </c>
      <c r="S39" s="775">
        <f t="shared" si="10"/>
        <v>100</v>
      </c>
      <c r="T39" s="774" t="s">
        <v>17</v>
      </c>
      <c r="U39" s="775">
        <f t="shared" si="11"/>
        <v>100</v>
      </c>
      <c r="V39" s="774" t="s">
        <v>17</v>
      </c>
      <c r="W39" s="775">
        <f t="shared" si="12"/>
        <v>100</v>
      </c>
      <c r="X39" s="1813"/>
      <c r="Y39" s="3201"/>
      <c r="Z39" s="1814" t="str">
        <f t="shared" si="13"/>
        <v>宗地形状</v>
      </c>
      <c r="AA39" s="1811">
        <f t="shared" si="3"/>
        <v>1</v>
      </c>
      <c r="AB39" s="1811">
        <f t="shared" si="4"/>
        <v>1</v>
      </c>
      <c r="AC39" s="1811">
        <f t="shared" si="5"/>
        <v>1</v>
      </c>
    </row>
    <row r="40" spans="1:29" ht="15.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01"/>
      <c r="Q40" s="1810" t="str">
        <f t="shared" si="14"/>
        <v>临街宽度及深度</v>
      </c>
      <c r="R40" s="774" t="s">
        <v>17</v>
      </c>
      <c r="S40" s="775">
        <f t="shared" si="10"/>
        <v>100</v>
      </c>
      <c r="T40" s="774" t="s">
        <v>17</v>
      </c>
      <c r="U40" s="775">
        <f t="shared" si="11"/>
        <v>100</v>
      </c>
      <c r="V40" s="774" t="s">
        <v>17</v>
      </c>
      <c r="W40" s="775">
        <f t="shared" si="12"/>
        <v>100</v>
      </c>
      <c r="X40" s="1813"/>
      <c r="Y40" s="3201"/>
      <c r="Z40" s="1814" t="str">
        <f t="shared" si="13"/>
        <v>临街宽度及深度</v>
      </c>
      <c r="AA40" s="1811">
        <f t="shared" si="3"/>
        <v>1</v>
      </c>
      <c r="AB40" s="1811">
        <f t="shared" si="4"/>
        <v>1</v>
      </c>
      <c r="AC40" s="1811">
        <f t="shared" si="5"/>
        <v>1</v>
      </c>
    </row>
    <row r="41" spans="1:29" s="117" customFormat="1" ht="15.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01"/>
      <c r="Q41" s="1810"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01" t="s">
        <v>2564</v>
      </c>
      <c r="Q42" s="1810" t="str">
        <f t="shared" si="14"/>
        <v>工程地质条件</v>
      </c>
      <c r="R42" s="774" t="s">
        <v>17</v>
      </c>
      <c r="S42" s="775">
        <f t="shared" si="10"/>
        <v>100</v>
      </c>
      <c r="T42" s="774" t="s">
        <v>17</v>
      </c>
      <c r="U42" s="775">
        <f t="shared" si="11"/>
        <v>100</v>
      </c>
      <c r="V42" s="774" t="s">
        <v>17</v>
      </c>
      <c r="W42" s="775">
        <f t="shared" si="12"/>
        <v>100</v>
      </c>
      <c r="X42" s="1813"/>
      <c r="Y42" s="3201"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1"/>
      <c r="Q43" s="1810">
        <f t="shared" si="14"/>
        <v>111</v>
      </c>
      <c r="R43" s="774" t="s">
        <v>17</v>
      </c>
      <c r="S43" s="775">
        <f t="shared" si="10"/>
        <v>100</v>
      </c>
      <c r="T43" s="774" t="s">
        <v>17</v>
      </c>
      <c r="U43" s="775">
        <f t="shared" si="11"/>
        <v>100</v>
      </c>
      <c r="V43" s="774" t="s">
        <v>17</v>
      </c>
      <c r="W43" s="775">
        <f t="shared" si="12"/>
        <v>100</v>
      </c>
      <c r="X43" s="1813"/>
      <c r="Y43" s="3201"/>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1"/>
      <c r="Q44" s="1810">
        <f t="shared" si="14"/>
        <v>111</v>
      </c>
      <c r="R44" s="774" t="s">
        <v>17</v>
      </c>
      <c r="S44" s="775">
        <f t="shared" si="10"/>
        <v>100</v>
      </c>
      <c r="T44" s="774" t="s">
        <v>17</v>
      </c>
      <c r="U44" s="775">
        <f t="shared" si="11"/>
        <v>100</v>
      </c>
      <c r="V44" s="774" t="s">
        <v>17</v>
      </c>
      <c r="W44" s="775">
        <f t="shared" si="12"/>
        <v>100</v>
      </c>
      <c r="X44" s="1813"/>
      <c r="Y44" s="3201"/>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1"/>
      <c r="Q45" s="1810">
        <f t="shared" si="14"/>
        <v>111</v>
      </c>
      <c r="R45" s="777" t="s">
        <v>17</v>
      </c>
      <c r="S45" s="778">
        <f t="shared" si="10"/>
        <v>100</v>
      </c>
      <c r="T45" s="777" t="s">
        <v>17</v>
      </c>
      <c r="U45" s="778">
        <f t="shared" si="11"/>
        <v>100</v>
      </c>
      <c r="V45" s="777" t="s">
        <v>17</v>
      </c>
      <c r="W45" s="778">
        <f t="shared" si="12"/>
        <v>100</v>
      </c>
      <c r="X45" s="779"/>
      <c r="Y45" s="3201"/>
      <c r="Z45" s="780">
        <f t="shared" si="13"/>
        <v>111</v>
      </c>
      <c r="AA45" s="1811">
        <f t="shared" si="3"/>
        <v>1</v>
      </c>
      <c r="AB45" s="1811">
        <f t="shared" si="4"/>
        <v>1</v>
      </c>
      <c r="AC45" s="1811">
        <f t="shared" si="5"/>
        <v>1</v>
      </c>
    </row>
    <row r="46" spans="1:29">
      <c r="A46" s="479" t="s">
        <v>2719</v>
      </c>
      <c r="B46" s="2706" t="s">
        <v>2755</v>
      </c>
      <c r="C46" s="682" t="s">
        <v>1</v>
      </c>
      <c r="D46" s="481"/>
      <c r="E46" s="482">
        <f>Sheet2!K2</f>
        <v>1500</v>
      </c>
      <c r="F46" s="483"/>
      <c r="G46" s="484">
        <f>ROUND(Sheet2!K5,0)</f>
        <v>1238</v>
      </c>
      <c r="H46" s="485"/>
      <c r="I46" s="482">
        <f>ROUND(Sheet2!K9,0)</f>
        <v>1249</v>
      </c>
      <c r="J46" s="485"/>
      <c r="K46" s="783"/>
      <c r="L46" s="1143"/>
      <c r="M46" s="1144"/>
      <c r="N46" s="1131"/>
      <c r="O46" s="1144"/>
      <c r="P46" s="3194" t="str">
        <f>A46</f>
        <v>成交单价</v>
      </c>
      <c r="Q46" s="3194"/>
      <c r="R46" s="3225">
        <f>E46</f>
        <v>1500</v>
      </c>
      <c r="S46" s="3225"/>
      <c r="T46" s="3225">
        <f>G46</f>
        <v>1238</v>
      </c>
      <c r="U46" s="3225"/>
      <c r="V46" s="3225">
        <f>I46</f>
        <v>1249</v>
      </c>
      <c r="W46" s="3225"/>
      <c r="X46" s="759"/>
      <c r="Y46" s="781"/>
      <c r="Z46" s="759"/>
      <c r="AA46" s="759"/>
      <c r="AB46" s="759"/>
      <c r="AC46" s="759"/>
    </row>
    <row r="47" spans="1:29" ht="14.5" thickBot="1">
      <c r="A47" s="486" t="s">
        <v>2668</v>
      </c>
      <c r="B47" s="683"/>
      <c r="C47" s="490">
        <f>R48</f>
        <v>1230</v>
      </c>
      <c r="D47" s="489"/>
      <c r="E47" s="490">
        <f>R47</f>
        <v>1370</v>
      </c>
      <c r="F47" s="491"/>
      <c r="G47" s="488">
        <f>T47</f>
        <v>1154</v>
      </c>
      <c r="H47" s="489"/>
      <c r="I47" s="490">
        <f>V47</f>
        <v>1165</v>
      </c>
      <c r="J47" s="489"/>
      <c r="K47" s="784"/>
      <c r="L47" s="1143"/>
      <c r="M47" s="1144"/>
      <c r="N47" s="1144"/>
      <c r="O47" s="1144"/>
      <c r="P47" s="3194" t="str">
        <f>A47</f>
        <v>比较价值（元/平方米）</v>
      </c>
      <c r="Q47" s="3194"/>
      <c r="R47" s="3253">
        <f>ROUND(PRODUCT(R46,AA7:AA45),0)</f>
        <v>1370</v>
      </c>
      <c r="S47" s="3253"/>
      <c r="T47" s="3253">
        <f>ROUND(PRODUCT(T46,AB7:AB45),0)</f>
        <v>1154</v>
      </c>
      <c r="U47" s="3253"/>
      <c r="V47" s="3253">
        <f>ROUND(PRODUCT(V46,AC7:AC45),0)</f>
        <v>1165</v>
      </c>
      <c r="W47" s="3253"/>
      <c r="X47" s="759"/>
      <c r="Y47" s="759"/>
      <c r="Z47" s="759"/>
      <c r="AA47" s="759"/>
      <c r="AB47" s="759"/>
      <c r="AC47" s="759"/>
    </row>
    <row r="48" spans="1:29" ht="14.5" thickBot="1">
      <c r="A48" s="492" t="s">
        <v>2756</v>
      </c>
      <c r="B48" s="493"/>
      <c r="C48" s="494">
        <f>R48</f>
        <v>1230</v>
      </c>
      <c r="D48" s="494"/>
      <c r="E48" s="494"/>
      <c r="F48" s="494"/>
      <c r="G48" s="494"/>
      <c r="H48" s="494"/>
      <c r="I48" s="494"/>
      <c r="J48" s="494"/>
      <c r="K48" s="785"/>
      <c r="L48" s="1143"/>
      <c r="M48" s="1144"/>
      <c r="N48" s="1144"/>
      <c r="O48" s="1144"/>
      <c r="P48" s="3191" t="str">
        <f>A48</f>
        <v>估价对象XX用房的比较价值（楼面单价，元/平方米）</v>
      </c>
      <c r="Q48" s="3192"/>
      <c r="R48" s="3254">
        <f>ROUND(AVERAGE(R47:V47),0)</f>
        <v>1230</v>
      </c>
      <c r="S48" s="3254"/>
      <c r="T48" s="3254"/>
      <c r="U48" s="3254"/>
      <c r="V48" s="3254"/>
      <c r="W48" s="325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IF(E46&lt;E47,E47/E46-1,E46/E47-1)</f>
        <v>9.4890510948905105E-2</v>
      </c>
      <c r="F51" s="500" t="str">
        <f>IF(OR(E51&gt;=0.3,E51&lt;=-0.3),"超过30%","")</f>
        <v/>
      </c>
      <c r="G51" s="499">
        <f>IF(G46&lt;G47,G47/G46-1,G46/G47-1)</f>
        <v>7.2790294627383068E-2</v>
      </c>
      <c r="H51" s="500" t="str">
        <f>IF(OR(G51&gt;=0.3,G51&lt;=-0.3),"超过30%","")</f>
        <v/>
      </c>
      <c r="I51" s="499">
        <f>IF(I46&lt;I47,I47/I46-1,I46/I47-1)</f>
        <v>7.2103004291845574E-2</v>
      </c>
      <c r="J51" s="500" t="str">
        <f>IF(OR(I51&gt;=0.3,I51&lt;=-0.3),"超过30%","")</f>
        <v/>
      </c>
      <c r="K51" s="1105"/>
      <c r="L51" s="1106"/>
      <c r="M51" s="1144"/>
      <c r="N51" s="1144"/>
      <c r="O51" s="1144"/>
    </row>
    <row r="52" spans="1:15" ht="13.5" customHeight="1">
      <c r="A52" s="1144"/>
      <c r="B52" s="1144"/>
      <c r="C52" s="497" t="s">
        <v>2671</v>
      </c>
      <c r="D52" s="501"/>
      <c r="E52" s="499">
        <f>IF(E47&lt;G47,G47/E47-1,E47/G47-1)</f>
        <v>0.1871750433275563</v>
      </c>
      <c r="F52" s="500" t="str">
        <f>IF(OR(E52&gt;=0.2,E52&lt;=-0.2),"超过20%","")</f>
        <v/>
      </c>
      <c r="G52" s="499">
        <f>IF(G47&lt;I47,I47/G47-1,G47/I47-1)</f>
        <v>9.5320623916810288E-3</v>
      </c>
      <c r="H52" s="500" t="str">
        <f>IF(OR(G52&gt;=0.2,G52&lt;=-0.2),"超过20%","")</f>
        <v/>
      </c>
      <c r="I52" s="499">
        <f>IF(I47&lt;E47,E47/I47-1,I47/E47-1)</f>
        <v>0.17596566523605151</v>
      </c>
      <c r="J52" s="500" t="str">
        <f>IF(OR(I52&gt;=0.2,I52&lt;=-0.2),"超过20%","")</f>
        <v/>
      </c>
      <c r="K52" s="1105"/>
      <c r="L52" s="1106"/>
      <c r="M52" s="1144"/>
      <c r="N52" s="1144"/>
      <c r="O52" s="1144"/>
    </row>
    <row r="53" spans="1:15" s="502" customFormat="1" ht="13.5" customHeight="1">
      <c r="A53" s="1145"/>
      <c r="B53" s="1145"/>
      <c r="C53" s="497" t="s">
        <v>2672</v>
      </c>
      <c r="D53" s="501"/>
      <c r="E53" s="499">
        <f>IF(E46&lt;G46,G46/E46-1,E46/G46-1)</f>
        <v>0.21163166397415178</v>
      </c>
      <c r="F53" s="500" t="str">
        <f>IF(OR(E53&gt;=0.3,E53&lt;=-0.3),"超过30%","")</f>
        <v/>
      </c>
      <c r="G53" s="499">
        <f>IF(G46&lt;I46,I46/G46-1,G46/I46-1)</f>
        <v>8.8852988691436874E-3</v>
      </c>
      <c r="H53" s="500" t="str">
        <f>IF(OR(G53&gt;=0.3,G53&lt;=-0.3),"超过30%","")</f>
        <v/>
      </c>
      <c r="I53" s="499">
        <f>IF(I46&lt;E46,E46/I46-1,I46/E46-1)</f>
        <v>0.20096076861489198</v>
      </c>
      <c r="J53" s="500" t="str">
        <f>IF(OR(I53&gt;=0.3,I53&lt;=-0.3),"超过30%","")</f>
        <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3131</v>
      </c>
      <c r="D55" s="2708" t="s">
        <v>2760</v>
      </c>
      <c r="E55" s="686" t="s">
        <v>2761</v>
      </c>
      <c r="F55" s="1107" t="s">
        <v>2762</v>
      </c>
      <c r="G55" s="3209" t="s">
        <v>2763</v>
      </c>
      <c r="H55" s="3255"/>
      <c r="I55" s="144" t="s">
        <v>2764</v>
      </c>
      <c r="J55" s="2709">
        <f>项目基本情况!F35</f>
        <v>0</v>
      </c>
      <c r="K55" s="2710" t="s">
        <v>2765</v>
      </c>
      <c r="L55" s="1106"/>
      <c r="M55" s="1144"/>
      <c r="N55" s="1144"/>
      <c r="O55" s="1144"/>
    </row>
    <row r="56" spans="1:15" s="692" customFormat="1">
      <c r="A56" s="688" t="s">
        <v>2766</v>
      </c>
      <c r="B56" s="689">
        <f>C48</f>
        <v>1230</v>
      </c>
      <c r="C56" s="690">
        <v>1</v>
      </c>
      <c r="D56" s="1163">
        <v>1</v>
      </c>
      <c r="E56" s="690">
        <f>'数据-汇总表'!E8+'数据-汇总表'!E9</f>
        <v>16556.82</v>
      </c>
      <c r="F56" s="1103">
        <f t="shared" ref="F56:F65" si="15">ROUND(B56*E56/10000,0)</f>
        <v>2036</v>
      </c>
      <c r="G56" s="3205"/>
      <c r="H56" s="3194"/>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256"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256"/>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256"/>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256"/>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11"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46</v>
      </c>
      <c r="C63" s="200">
        <f t="shared" si="16"/>
        <v>0.15</v>
      </c>
      <c r="D63" s="1164">
        <v>0.25</v>
      </c>
      <c r="E63" s="261">
        <f>'数据-汇总表'!E13</f>
        <v>40260.160000000003</v>
      </c>
      <c r="F63" s="1103">
        <f t="shared" si="15"/>
        <v>185</v>
      </c>
      <c r="G63" s="1109" t="s">
        <v>2777</v>
      </c>
      <c r="H63" s="1104">
        <f>IF(G63="商业",项目基本情况!B37,IF(G63="办公",项目基本情况!C37,IF(G63="住宅",项目基本情况!D37,项目基本情况!E37)))</f>
        <v>0</v>
      </c>
      <c r="I63" s="1108">
        <f>SUMIF(修正!A45:A56,H63,修正!H45:H56)</f>
        <v>0</v>
      </c>
      <c r="J63" s="1112">
        <v>0.15</v>
      </c>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11" t="s">
        <v>2768</v>
      </c>
      <c r="H64" s="1104">
        <f>项目基本情况!B37</f>
        <v>0</v>
      </c>
      <c r="I64" s="1108">
        <f>SUMIF(修正!A45:A56,H64,修正!H45:H56)</f>
        <v>0</v>
      </c>
      <c r="J64" s="1112"/>
      <c r="K64" s="1145"/>
      <c r="L64" s="941"/>
      <c r="M64" s="941"/>
      <c r="N64" s="941"/>
      <c r="O64" s="941"/>
    </row>
    <row r="65" spans="1:17" s="692" customFormat="1" ht="14.5" thickBot="1">
      <c r="A65" s="693" t="s">
        <v>2779</v>
      </c>
      <c r="B65" s="262">
        <f t="shared" si="17"/>
        <v>0</v>
      </c>
      <c r="C65" s="200">
        <f t="shared" si="16"/>
        <v>0</v>
      </c>
      <c r="D65" s="1164">
        <v>0.25</v>
      </c>
      <c r="E65" s="261">
        <f>'数据-汇总表'!E15</f>
        <v>0</v>
      </c>
      <c r="F65" s="1103">
        <f t="shared" si="15"/>
        <v>0</v>
      </c>
      <c r="G65" s="2712"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56816.98</v>
      </c>
      <c r="F66" s="697">
        <f>IF(B46="楼面地价",SUM(F56:F65),ROUND(C48*E66/10000,0))</f>
        <v>2221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3"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2782</v>
      </c>
      <c r="B71" s="332" t="str">
        <f>"北京市平均增长率"&amp;TEXT(SUMIF(基准地价修正!N21:N25,A71,基准地价修正!P21:P25),"0.00%")</f>
        <v>北京市平均增长率2.08%</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0（含）-1</v>
      </c>
      <c r="D79" s="547" t="str">
        <f t="shared" ref="D79:L79" si="21">D80&amp;"（含）"&amp;"-"&amp;E80</f>
        <v>1（含）-2</v>
      </c>
      <c r="E79" s="547" t="str">
        <f t="shared" si="21"/>
        <v>2（含）-3</v>
      </c>
      <c r="F79" s="547" t="str">
        <f t="shared" si="21"/>
        <v>3（含）-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c r="H80" s="549"/>
      <c r="I80" s="549"/>
      <c r="J80" s="549"/>
      <c r="K80" s="550"/>
      <c r="L80" s="551"/>
      <c r="M80" s="552"/>
      <c r="N80" s="1152"/>
      <c r="O80" s="1152"/>
      <c r="P80" s="45"/>
      <c r="Q80" s="504"/>
    </row>
    <row r="81" spans="1:17" ht="14.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2CFBB-0E1B-46DD-84BA-837A53CDAB0A}">
  <sheetPr>
    <tabColor rgb="FF92D050"/>
  </sheetPr>
  <dimension ref="A1:N29"/>
  <sheetViews>
    <sheetView topLeftCell="A10" workbookViewId="0">
      <selection activeCell="J29" sqref="J29"/>
    </sheetView>
  </sheetViews>
  <sheetFormatPr defaultRowHeight="14"/>
  <cols>
    <col min="1" max="1" width="25.81640625" style="1635" customWidth="1"/>
    <col min="2" max="2" width="7.08984375" style="1635" customWidth="1"/>
    <col min="3" max="3" width="13.36328125" style="1635" customWidth="1"/>
    <col min="4" max="5" width="15.90625" style="1635" customWidth="1"/>
    <col min="6" max="6" width="15" style="1635" customWidth="1"/>
    <col min="7" max="7" width="9" style="1635" customWidth="1"/>
    <col min="8" max="8" width="10.26953125" style="1635" customWidth="1"/>
    <col min="9" max="10" width="12.08984375" style="1635" customWidth="1"/>
    <col min="11" max="11" width="16.36328125" style="1635" customWidth="1"/>
    <col min="12" max="12" width="7.08984375" style="1635" customWidth="1"/>
    <col min="13" max="13" width="37.36328125" style="1635" customWidth="1"/>
    <col min="14" max="14" width="9" style="1635" customWidth="1"/>
    <col min="15" max="256" width="8.7265625" style="1635"/>
    <col min="257" max="257" width="52.453125" style="1635" customWidth="1"/>
    <col min="258" max="258" width="7.08984375" style="1635" customWidth="1"/>
    <col min="259" max="259" width="13.36328125" style="1635" customWidth="1"/>
    <col min="260" max="261" width="15.90625" style="1635" customWidth="1"/>
    <col min="262" max="262" width="11.90625" style="1635" customWidth="1"/>
    <col min="263" max="263" width="9" style="1635" customWidth="1"/>
    <col min="264" max="264" width="10.26953125" style="1635" customWidth="1"/>
    <col min="265" max="266" width="12.08984375" style="1635" customWidth="1"/>
    <col min="267" max="267" width="16.36328125" style="1635" customWidth="1"/>
    <col min="268" max="268" width="7.08984375" style="1635" customWidth="1"/>
    <col min="269" max="269" width="37.36328125" style="1635" customWidth="1"/>
    <col min="270" max="270" width="9" style="1635" customWidth="1"/>
    <col min="271" max="512" width="8.7265625" style="1635"/>
    <col min="513" max="513" width="52.453125" style="1635" customWidth="1"/>
    <col min="514" max="514" width="7.08984375" style="1635" customWidth="1"/>
    <col min="515" max="515" width="13.36328125" style="1635" customWidth="1"/>
    <col min="516" max="517" width="15.90625" style="1635" customWidth="1"/>
    <col min="518" max="518" width="11.90625" style="1635" customWidth="1"/>
    <col min="519" max="519" width="9" style="1635" customWidth="1"/>
    <col min="520" max="520" width="10.26953125" style="1635" customWidth="1"/>
    <col min="521" max="522" width="12.08984375" style="1635" customWidth="1"/>
    <col min="523" max="523" width="16.36328125" style="1635" customWidth="1"/>
    <col min="524" max="524" width="7.08984375" style="1635" customWidth="1"/>
    <col min="525" max="525" width="37.36328125" style="1635" customWidth="1"/>
    <col min="526" max="526" width="9" style="1635" customWidth="1"/>
    <col min="527" max="768" width="8.7265625" style="1635"/>
    <col min="769" max="769" width="52.453125" style="1635" customWidth="1"/>
    <col min="770" max="770" width="7.08984375" style="1635" customWidth="1"/>
    <col min="771" max="771" width="13.36328125" style="1635" customWidth="1"/>
    <col min="772" max="773" width="15.90625" style="1635" customWidth="1"/>
    <col min="774" max="774" width="11.90625" style="1635" customWidth="1"/>
    <col min="775" max="775" width="9" style="1635" customWidth="1"/>
    <col min="776" max="776" width="10.26953125" style="1635" customWidth="1"/>
    <col min="777" max="778" width="12.08984375" style="1635" customWidth="1"/>
    <col min="779" max="779" width="16.36328125" style="1635" customWidth="1"/>
    <col min="780" max="780" width="7.08984375" style="1635" customWidth="1"/>
    <col min="781" max="781" width="37.36328125" style="1635" customWidth="1"/>
    <col min="782" max="782" width="9" style="1635" customWidth="1"/>
    <col min="783" max="1024" width="8.7265625" style="1635"/>
    <col min="1025" max="1025" width="52.453125" style="1635" customWidth="1"/>
    <col min="1026" max="1026" width="7.08984375" style="1635" customWidth="1"/>
    <col min="1027" max="1027" width="13.36328125" style="1635" customWidth="1"/>
    <col min="1028" max="1029" width="15.90625" style="1635" customWidth="1"/>
    <col min="1030" max="1030" width="11.90625" style="1635" customWidth="1"/>
    <col min="1031" max="1031" width="9" style="1635" customWidth="1"/>
    <col min="1032" max="1032" width="10.26953125" style="1635" customWidth="1"/>
    <col min="1033" max="1034" width="12.08984375" style="1635" customWidth="1"/>
    <col min="1035" max="1035" width="16.36328125" style="1635" customWidth="1"/>
    <col min="1036" max="1036" width="7.08984375" style="1635" customWidth="1"/>
    <col min="1037" max="1037" width="37.36328125" style="1635" customWidth="1"/>
    <col min="1038" max="1038" width="9" style="1635" customWidth="1"/>
    <col min="1039" max="1280" width="8.7265625" style="1635"/>
    <col min="1281" max="1281" width="52.453125" style="1635" customWidth="1"/>
    <col min="1282" max="1282" width="7.08984375" style="1635" customWidth="1"/>
    <col min="1283" max="1283" width="13.36328125" style="1635" customWidth="1"/>
    <col min="1284" max="1285" width="15.90625" style="1635" customWidth="1"/>
    <col min="1286" max="1286" width="11.90625" style="1635" customWidth="1"/>
    <col min="1287" max="1287" width="9" style="1635" customWidth="1"/>
    <col min="1288" max="1288" width="10.26953125" style="1635" customWidth="1"/>
    <col min="1289" max="1290" width="12.08984375" style="1635" customWidth="1"/>
    <col min="1291" max="1291" width="16.36328125" style="1635" customWidth="1"/>
    <col min="1292" max="1292" width="7.08984375" style="1635" customWidth="1"/>
    <col min="1293" max="1293" width="37.36328125" style="1635" customWidth="1"/>
    <col min="1294" max="1294" width="9" style="1635" customWidth="1"/>
    <col min="1295" max="1536" width="8.7265625" style="1635"/>
    <col min="1537" max="1537" width="52.453125" style="1635" customWidth="1"/>
    <col min="1538" max="1538" width="7.08984375" style="1635" customWidth="1"/>
    <col min="1539" max="1539" width="13.36328125" style="1635" customWidth="1"/>
    <col min="1540" max="1541" width="15.90625" style="1635" customWidth="1"/>
    <col min="1542" max="1542" width="11.90625" style="1635" customWidth="1"/>
    <col min="1543" max="1543" width="9" style="1635" customWidth="1"/>
    <col min="1544" max="1544" width="10.26953125" style="1635" customWidth="1"/>
    <col min="1545" max="1546" width="12.08984375" style="1635" customWidth="1"/>
    <col min="1547" max="1547" width="16.36328125" style="1635" customWidth="1"/>
    <col min="1548" max="1548" width="7.08984375" style="1635" customWidth="1"/>
    <col min="1549" max="1549" width="37.36328125" style="1635" customWidth="1"/>
    <col min="1550" max="1550" width="9" style="1635" customWidth="1"/>
    <col min="1551" max="1792" width="8.7265625" style="1635"/>
    <col min="1793" max="1793" width="52.453125" style="1635" customWidth="1"/>
    <col min="1794" max="1794" width="7.08984375" style="1635" customWidth="1"/>
    <col min="1795" max="1795" width="13.36328125" style="1635" customWidth="1"/>
    <col min="1796" max="1797" width="15.90625" style="1635" customWidth="1"/>
    <col min="1798" max="1798" width="11.90625" style="1635" customWidth="1"/>
    <col min="1799" max="1799" width="9" style="1635" customWidth="1"/>
    <col min="1800" max="1800" width="10.26953125" style="1635" customWidth="1"/>
    <col min="1801" max="1802" width="12.08984375" style="1635" customWidth="1"/>
    <col min="1803" max="1803" width="16.36328125" style="1635" customWidth="1"/>
    <col min="1804" max="1804" width="7.08984375" style="1635" customWidth="1"/>
    <col min="1805" max="1805" width="37.36328125" style="1635" customWidth="1"/>
    <col min="1806" max="1806" width="9" style="1635" customWidth="1"/>
    <col min="1807" max="2048" width="8.7265625" style="1635"/>
    <col min="2049" max="2049" width="52.453125" style="1635" customWidth="1"/>
    <col min="2050" max="2050" width="7.08984375" style="1635" customWidth="1"/>
    <col min="2051" max="2051" width="13.36328125" style="1635" customWidth="1"/>
    <col min="2052" max="2053" width="15.90625" style="1635" customWidth="1"/>
    <col min="2054" max="2054" width="11.90625" style="1635" customWidth="1"/>
    <col min="2055" max="2055" width="9" style="1635" customWidth="1"/>
    <col min="2056" max="2056" width="10.26953125" style="1635" customWidth="1"/>
    <col min="2057" max="2058" width="12.08984375" style="1635" customWidth="1"/>
    <col min="2059" max="2059" width="16.36328125" style="1635" customWidth="1"/>
    <col min="2060" max="2060" width="7.08984375" style="1635" customWidth="1"/>
    <col min="2061" max="2061" width="37.36328125" style="1635" customWidth="1"/>
    <col min="2062" max="2062" width="9" style="1635" customWidth="1"/>
    <col min="2063" max="2304" width="8.7265625" style="1635"/>
    <col min="2305" max="2305" width="52.453125" style="1635" customWidth="1"/>
    <col min="2306" max="2306" width="7.08984375" style="1635" customWidth="1"/>
    <col min="2307" max="2307" width="13.36328125" style="1635" customWidth="1"/>
    <col min="2308" max="2309" width="15.90625" style="1635" customWidth="1"/>
    <col min="2310" max="2310" width="11.90625" style="1635" customWidth="1"/>
    <col min="2311" max="2311" width="9" style="1635" customWidth="1"/>
    <col min="2312" max="2312" width="10.26953125" style="1635" customWidth="1"/>
    <col min="2313" max="2314" width="12.08984375" style="1635" customWidth="1"/>
    <col min="2315" max="2315" width="16.36328125" style="1635" customWidth="1"/>
    <col min="2316" max="2316" width="7.08984375" style="1635" customWidth="1"/>
    <col min="2317" max="2317" width="37.36328125" style="1635" customWidth="1"/>
    <col min="2318" max="2318" width="9" style="1635" customWidth="1"/>
    <col min="2319" max="2560" width="8.7265625" style="1635"/>
    <col min="2561" max="2561" width="52.453125" style="1635" customWidth="1"/>
    <col min="2562" max="2562" width="7.08984375" style="1635" customWidth="1"/>
    <col min="2563" max="2563" width="13.36328125" style="1635" customWidth="1"/>
    <col min="2564" max="2565" width="15.90625" style="1635" customWidth="1"/>
    <col min="2566" max="2566" width="11.90625" style="1635" customWidth="1"/>
    <col min="2567" max="2567" width="9" style="1635" customWidth="1"/>
    <col min="2568" max="2568" width="10.26953125" style="1635" customWidth="1"/>
    <col min="2569" max="2570" width="12.08984375" style="1635" customWidth="1"/>
    <col min="2571" max="2571" width="16.36328125" style="1635" customWidth="1"/>
    <col min="2572" max="2572" width="7.08984375" style="1635" customWidth="1"/>
    <col min="2573" max="2573" width="37.36328125" style="1635" customWidth="1"/>
    <col min="2574" max="2574" width="9" style="1635" customWidth="1"/>
    <col min="2575" max="2816" width="8.7265625" style="1635"/>
    <col min="2817" max="2817" width="52.453125" style="1635" customWidth="1"/>
    <col min="2818" max="2818" width="7.08984375" style="1635" customWidth="1"/>
    <col min="2819" max="2819" width="13.36328125" style="1635" customWidth="1"/>
    <col min="2820" max="2821" width="15.90625" style="1635" customWidth="1"/>
    <col min="2822" max="2822" width="11.90625" style="1635" customWidth="1"/>
    <col min="2823" max="2823" width="9" style="1635" customWidth="1"/>
    <col min="2824" max="2824" width="10.26953125" style="1635" customWidth="1"/>
    <col min="2825" max="2826" width="12.08984375" style="1635" customWidth="1"/>
    <col min="2827" max="2827" width="16.36328125" style="1635" customWidth="1"/>
    <col min="2828" max="2828" width="7.08984375" style="1635" customWidth="1"/>
    <col min="2829" max="2829" width="37.36328125" style="1635" customWidth="1"/>
    <col min="2830" max="2830" width="9" style="1635" customWidth="1"/>
    <col min="2831" max="3072" width="8.7265625" style="1635"/>
    <col min="3073" max="3073" width="52.453125" style="1635" customWidth="1"/>
    <col min="3074" max="3074" width="7.08984375" style="1635" customWidth="1"/>
    <col min="3075" max="3075" width="13.36328125" style="1635" customWidth="1"/>
    <col min="3076" max="3077" width="15.90625" style="1635" customWidth="1"/>
    <col min="3078" max="3078" width="11.90625" style="1635" customWidth="1"/>
    <col min="3079" max="3079" width="9" style="1635" customWidth="1"/>
    <col min="3080" max="3080" width="10.26953125" style="1635" customWidth="1"/>
    <col min="3081" max="3082" width="12.08984375" style="1635" customWidth="1"/>
    <col min="3083" max="3083" width="16.36328125" style="1635" customWidth="1"/>
    <col min="3084" max="3084" width="7.08984375" style="1635" customWidth="1"/>
    <col min="3085" max="3085" width="37.36328125" style="1635" customWidth="1"/>
    <col min="3086" max="3086" width="9" style="1635" customWidth="1"/>
    <col min="3087" max="3328" width="8.7265625" style="1635"/>
    <col min="3329" max="3329" width="52.453125" style="1635" customWidth="1"/>
    <col min="3330" max="3330" width="7.08984375" style="1635" customWidth="1"/>
    <col min="3331" max="3331" width="13.36328125" style="1635" customWidth="1"/>
    <col min="3332" max="3333" width="15.90625" style="1635" customWidth="1"/>
    <col min="3334" max="3334" width="11.90625" style="1635" customWidth="1"/>
    <col min="3335" max="3335" width="9" style="1635" customWidth="1"/>
    <col min="3336" max="3336" width="10.26953125" style="1635" customWidth="1"/>
    <col min="3337" max="3338" width="12.08984375" style="1635" customWidth="1"/>
    <col min="3339" max="3339" width="16.36328125" style="1635" customWidth="1"/>
    <col min="3340" max="3340" width="7.08984375" style="1635" customWidth="1"/>
    <col min="3341" max="3341" width="37.36328125" style="1635" customWidth="1"/>
    <col min="3342" max="3342" width="9" style="1635" customWidth="1"/>
    <col min="3343" max="3584" width="8.7265625" style="1635"/>
    <col min="3585" max="3585" width="52.453125" style="1635" customWidth="1"/>
    <col min="3586" max="3586" width="7.08984375" style="1635" customWidth="1"/>
    <col min="3587" max="3587" width="13.36328125" style="1635" customWidth="1"/>
    <col min="3588" max="3589" width="15.90625" style="1635" customWidth="1"/>
    <col min="3590" max="3590" width="11.90625" style="1635" customWidth="1"/>
    <col min="3591" max="3591" width="9" style="1635" customWidth="1"/>
    <col min="3592" max="3592" width="10.26953125" style="1635" customWidth="1"/>
    <col min="3593" max="3594" width="12.08984375" style="1635" customWidth="1"/>
    <col min="3595" max="3595" width="16.36328125" style="1635" customWidth="1"/>
    <col min="3596" max="3596" width="7.08984375" style="1635" customWidth="1"/>
    <col min="3597" max="3597" width="37.36328125" style="1635" customWidth="1"/>
    <col min="3598" max="3598" width="9" style="1635" customWidth="1"/>
    <col min="3599" max="3840" width="8.7265625" style="1635"/>
    <col min="3841" max="3841" width="52.453125" style="1635" customWidth="1"/>
    <col min="3842" max="3842" width="7.08984375" style="1635" customWidth="1"/>
    <col min="3843" max="3843" width="13.36328125" style="1635" customWidth="1"/>
    <col min="3844" max="3845" width="15.90625" style="1635" customWidth="1"/>
    <col min="3846" max="3846" width="11.90625" style="1635" customWidth="1"/>
    <col min="3847" max="3847" width="9" style="1635" customWidth="1"/>
    <col min="3848" max="3848" width="10.26953125" style="1635" customWidth="1"/>
    <col min="3849" max="3850" width="12.08984375" style="1635" customWidth="1"/>
    <col min="3851" max="3851" width="16.36328125" style="1635" customWidth="1"/>
    <col min="3852" max="3852" width="7.08984375" style="1635" customWidth="1"/>
    <col min="3853" max="3853" width="37.36328125" style="1635" customWidth="1"/>
    <col min="3854" max="3854" width="9" style="1635" customWidth="1"/>
    <col min="3855" max="4096" width="8.7265625" style="1635"/>
    <col min="4097" max="4097" width="52.453125" style="1635" customWidth="1"/>
    <col min="4098" max="4098" width="7.08984375" style="1635" customWidth="1"/>
    <col min="4099" max="4099" width="13.36328125" style="1635" customWidth="1"/>
    <col min="4100" max="4101" width="15.90625" style="1635" customWidth="1"/>
    <col min="4102" max="4102" width="11.90625" style="1635" customWidth="1"/>
    <col min="4103" max="4103" width="9" style="1635" customWidth="1"/>
    <col min="4104" max="4104" width="10.26953125" style="1635" customWidth="1"/>
    <col min="4105" max="4106" width="12.08984375" style="1635" customWidth="1"/>
    <col min="4107" max="4107" width="16.36328125" style="1635" customWidth="1"/>
    <col min="4108" max="4108" width="7.08984375" style="1635" customWidth="1"/>
    <col min="4109" max="4109" width="37.36328125" style="1635" customWidth="1"/>
    <col min="4110" max="4110" width="9" style="1635" customWidth="1"/>
    <col min="4111" max="4352" width="8.7265625" style="1635"/>
    <col min="4353" max="4353" width="52.453125" style="1635" customWidth="1"/>
    <col min="4354" max="4354" width="7.08984375" style="1635" customWidth="1"/>
    <col min="4355" max="4355" width="13.36328125" style="1635" customWidth="1"/>
    <col min="4356" max="4357" width="15.90625" style="1635" customWidth="1"/>
    <col min="4358" max="4358" width="11.90625" style="1635" customWidth="1"/>
    <col min="4359" max="4359" width="9" style="1635" customWidth="1"/>
    <col min="4360" max="4360" width="10.26953125" style="1635" customWidth="1"/>
    <col min="4361" max="4362" width="12.08984375" style="1635" customWidth="1"/>
    <col min="4363" max="4363" width="16.36328125" style="1635" customWidth="1"/>
    <col min="4364" max="4364" width="7.08984375" style="1635" customWidth="1"/>
    <col min="4365" max="4365" width="37.36328125" style="1635" customWidth="1"/>
    <col min="4366" max="4366" width="9" style="1635" customWidth="1"/>
    <col min="4367" max="4608" width="8.7265625" style="1635"/>
    <col min="4609" max="4609" width="52.453125" style="1635" customWidth="1"/>
    <col min="4610" max="4610" width="7.08984375" style="1635" customWidth="1"/>
    <col min="4611" max="4611" width="13.36328125" style="1635" customWidth="1"/>
    <col min="4612" max="4613" width="15.90625" style="1635" customWidth="1"/>
    <col min="4614" max="4614" width="11.90625" style="1635" customWidth="1"/>
    <col min="4615" max="4615" width="9" style="1635" customWidth="1"/>
    <col min="4616" max="4616" width="10.26953125" style="1635" customWidth="1"/>
    <col min="4617" max="4618" width="12.08984375" style="1635" customWidth="1"/>
    <col min="4619" max="4619" width="16.36328125" style="1635" customWidth="1"/>
    <col min="4620" max="4620" width="7.08984375" style="1635" customWidth="1"/>
    <col min="4621" max="4621" width="37.36328125" style="1635" customWidth="1"/>
    <col min="4622" max="4622" width="9" style="1635" customWidth="1"/>
    <col min="4623" max="4864" width="8.7265625" style="1635"/>
    <col min="4865" max="4865" width="52.453125" style="1635" customWidth="1"/>
    <col min="4866" max="4866" width="7.08984375" style="1635" customWidth="1"/>
    <col min="4867" max="4867" width="13.36328125" style="1635" customWidth="1"/>
    <col min="4868" max="4869" width="15.90625" style="1635" customWidth="1"/>
    <col min="4870" max="4870" width="11.90625" style="1635" customWidth="1"/>
    <col min="4871" max="4871" width="9" style="1635" customWidth="1"/>
    <col min="4872" max="4872" width="10.26953125" style="1635" customWidth="1"/>
    <col min="4873" max="4874" width="12.08984375" style="1635" customWidth="1"/>
    <col min="4875" max="4875" width="16.36328125" style="1635" customWidth="1"/>
    <col min="4876" max="4876" width="7.08984375" style="1635" customWidth="1"/>
    <col min="4877" max="4877" width="37.36328125" style="1635" customWidth="1"/>
    <col min="4878" max="4878" width="9" style="1635" customWidth="1"/>
    <col min="4879" max="5120" width="8.7265625" style="1635"/>
    <col min="5121" max="5121" width="52.453125" style="1635" customWidth="1"/>
    <col min="5122" max="5122" width="7.08984375" style="1635" customWidth="1"/>
    <col min="5123" max="5123" width="13.36328125" style="1635" customWidth="1"/>
    <col min="5124" max="5125" width="15.90625" style="1635" customWidth="1"/>
    <col min="5126" max="5126" width="11.90625" style="1635" customWidth="1"/>
    <col min="5127" max="5127" width="9" style="1635" customWidth="1"/>
    <col min="5128" max="5128" width="10.26953125" style="1635" customWidth="1"/>
    <col min="5129" max="5130" width="12.08984375" style="1635" customWidth="1"/>
    <col min="5131" max="5131" width="16.36328125" style="1635" customWidth="1"/>
    <col min="5132" max="5132" width="7.08984375" style="1635" customWidth="1"/>
    <col min="5133" max="5133" width="37.36328125" style="1635" customWidth="1"/>
    <col min="5134" max="5134" width="9" style="1635" customWidth="1"/>
    <col min="5135" max="5376" width="8.7265625" style="1635"/>
    <col min="5377" max="5377" width="52.453125" style="1635" customWidth="1"/>
    <col min="5378" max="5378" width="7.08984375" style="1635" customWidth="1"/>
    <col min="5379" max="5379" width="13.36328125" style="1635" customWidth="1"/>
    <col min="5380" max="5381" width="15.90625" style="1635" customWidth="1"/>
    <col min="5382" max="5382" width="11.90625" style="1635" customWidth="1"/>
    <col min="5383" max="5383" width="9" style="1635" customWidth="1"/>
    <col min="5384" max="5384" width="10.26953125" style="1635" customWidth="1"/>
    <col min="5385" max="5386" width="12.08984375" style="1635" customWidth="1"/>
    <col min="5387" max="5387" width="16.36328125" style="1635" customWidth="1"/>
    <col min="5388" max="5388" width="7.08984375" style="1635" customWidth="1"/>
    <col min="5389" max="5389" width="37.36328125" style="1635" customWidth="1"/>
    <col min="5390" max="5390" width="9" style="1635" customWidth="1"/>
    <col min="5391" max="5632" width="8.7265625" style="1635"/>
    <col min="5633" max="5633" width="52.453125" style="1635" customWidth="1"/>
    <col min="5634" max="5634" width="7.08984375" style="1635" customWidth="1"/>
    <col min="5635" max="5635" width="13.36328125" style="1635" customWidth="1"/>
    <col min="5636" max="5637" width="15.90625" style="1635" customWidth="1"/>
    <col min="5638" max="5638" width="11.90625" style="1635" customWidth="1"/>
    <col min="5639" max="5639" width="9" style="1635" customWidth="1"/>
    <col min="5640" max="5640" width="10.26953125" style="1635" customWidth="1"/>
    <col min="5641" max="5642" width="12.08984375" style="1635" customWidth="1"/>
    <col min="5643" max="5643" width="16.36328125" style="1635" customWidth="1"/>
    <col min="5644" max="5644" width="7.08984375" style="1635" customWidth="1"/>
    <col min="5645" max="5645" width="37.36328125" style="1635" customWidth="1"/>
    <col min="5646" max="5646" width="9" style="1635" customWidth="1"/>
    <col min="5647" max="5888" width="8.7265625" style="1635"/>
    <col min="5889" max="5889" width="52.453125" style="1635" customWidth="1"/>
    <col min="5890" max="5890" width="7.08984375" style="1635" customWidth="1"/>
    <col min="5891" max="5891" width="13.36328125" style="1635" customWidth="1"/>
    <col min="5892" max="5893" width="15.90625" style="1635" customWidth="1"/>
    <col min="5894" max="5894" width="11.90625" style="1635" customWidth="1"/>
    <col min="5895" max="5895" width="9" style="1635" customWidth="1"/>
    <col min="5896" max="5896" width="10.26953125" style="1635" customWidth="1"/>
    <col min="5897" max="5898" width="12.08984375" style="1635" customWidth="1"/>
    <col min="5899" max="5899" width="16.36328125" style="1635" customWidth="1"/>
    <col min="5900" max="5900" width="7.08984375" style="1635" customWidth="1"/>
    <col min="5901" max="5901" width="37.36328125" style="1635" customWidth="1"/>
    <col min="5902" max="5902" width="9" style="1635" customWidth="1"/>
    <col min="5903" max="6144" width="8.7265625" style="1635"/>
    <col min="6145" max="6145" width="52.453125" style="1635" customWidth="1"/>
    <col min="6146" max="6146" width="7.08984375" style="1635" customWidth="1"/>
    <col min="6147" max="6147" width="13.36328125" style="1635" customWidth="1"/>
    <col min="6148" max="6149" width="15.90625" style="1635" customWidth="1"/>
    <col min="6150" max="6150" width="11.90625" style="1635" customWidth="1"/>
    <col min="6151" max="6151" width="9" style="1635" customWidth="1"/>
    <col min="6152" max="6152" width="10.26953125" style="1635" customWidth="1"/>
    <col min="6153" max="6154" width="12.08984375" style="1635" customWidth="1"/>
    <col min="6155" max="6155" width="16.36328125" style="1635" customWidth="1"/>
    <col min="6156" max="6156" width="7.08984375" style="1635" customWidth="1"/>
    <col min="6157" max="6157" width="37.36328125" style="1635" customWidth="1"/>
    <col min="6158" max="6158" width="9" style="1635" customWidth="1"/>
    <col min="6159" max="6400" width="8.7265625" style="1635"/>
    <col min="6401" max="6401" width="52.453125" style="1635" customWidth="1"/>
    <col min="6402" max="6402" width="7.08984375" style="1635" customWidth="1"/>
    <col min="6403" max="6403" width="13.36328125" style="1635" customWidth="1"/>
    <col min="6404" max="6405" width="15.90625" style="1635" customWidth="1"/>
    <col min="6406" max="6406" width="11.90625" style="1635" customWidth="1"/>
    <col min="6407" max="6407" width="9" style="1635" customWidth="1"/>
    <col min="6408" max="6408" width="10.26953125" style="1635" customWidth="1"/>
    <col min="6409" max="6410" width="12.08984375" style="1635" customWidth="1"/>
    <col min="6411" max="6411" width="16.36328125" style="1635" customWidth="1"/>
    <col min="6412" max="6412" width="7.08984375" style="1635" customWidth="1"/>
    <col min="6413" max="6413" width="37.36328125" style="1635" customWidth="1"/>
    <col min="6414" max="6414" width="9" style="1635" customWidth="1"/>
    <col min="6415" max="6656" width="8.7265625" style="1635"/>
    <col min="6657" max="6657" width="52.453125" style="1635" customWidth="1"/>
    <col min="6658" max="6658" width="7.08984375" style="1635" customWidth="1"/>
    <col min="6659" max="6659" width="13.36328125" style="1635" customWidth="1"/>
    <col min="6660" max="6661" width="15.90625" style="1635" customWidth="1"/>
    <col min="6662" max="6662" width="11.90625" style="1635" customWidth="1"/>
    <col min="6663" max="6663" width="9" style="1635" customWidth="1"/>
    <col min="6664" max="6664" width="10.26953125" style="1635" customWidth="1"/>
    <col min="6665" max="6666" width="12.08984375" style="1635" customWidth="1"/>
    <col min="6667" max="6667" width="16.36328125" style="1635" customWidth="1"/>
    <col min="6668" max="6668" width="7.08984375" style="1635" customWidth="1"/>
    <col min="6669" max="6669" width="37.36328125" style="1635" customWidth="1"/>
    <col min="6670" max="6670" width="9" style="1635" customWidth="1"/>
    <col min="6671" max="6912" width="8.7265625" style="1635"/>
    <col min="6913" max="6913" width="52.453125" style="1635" customWidth="1"/>
    <col min="6914" max="6914" width="7.08984375" style="1635" customWidth="1"/>
    <col min="6915" max="6915" width="13.36328125" style="1635" customWidth="1"/>
    <col min="6916" max="6917" width="15.90625" style="1635" customWidth="1"/>
    <col min="6918" max="6918" width="11.90625" style="1635" customWidth="1"/>
    <col min="6919" max="6919" width="9" style="1635" customWidth="1"/>
    <col min="6920" max="6920" width="10.26953125" style="1635" customWidth="1"/>
    <col min="6921" max="6922" width="12.08984375" style="1635" customWidth="1"/>
    <col min="6923" max="6923" width="16.36328125" style="1635" customWidth="1"/>
    <col min="6924" max="6924" width="7.08984375" style="1635" customWidth="1"/>
    <col min="6925" max="6925" width="37.36328125" style="1635" customWidth="1"/>
    <col min="6926" max="6926" width="9" style="1635" customWidth="1"/>
    <col min="6927" max="7168" width="8.7265625" style="1635"/>
    <col min="7169" max="7169" width="52.453125" style="1635" customWidth="1"/>
    <col min="7170" max="7170" width="7.08984375" style="1635" customWidth="1"/>
    <col min="7171" max="7171" width="13.36328125" style="1635" customWidth="1"/>
    <col min="7172" max="7173" width="15.90625" style="1635" customWidth="1"/>
    <col min="7174" max="7174" width="11.90625" style="1635" customWidth="1"/>
    <col min="7175" max="7175" width="9" style="1635" customWidth="1"/>
    <col min="7176" max="7176" width="10.26953125" style="1635" customWidth="1"/>
    <col min="7177" max="7178" width="12.08984375" style="1635" customWidth="1"/>
    <col min="7179" max="7179" width="16.36328125" style="1635" customWidth="1"/>
    <col min="7180" max="7180" width="7.08984375" style="1635" customWidth="1"/>
    <col min="7181" max="7181" width="37.36328125" style="1635" customWidth="1"/>
    <col min="7182" max="7182" width="9" style="1635" customWidth="1"/>
    <col min="7183" max="7424" width="8.7265625" style="1635"/>
    <col min="7425" max="7425" width="52.453125" style="1635" customWidth="1"/>
    <col min="7426" max="7426" width="7.08984375" style="1635" customWidth="1"/>
    <col min="7427" max="7427" width="13.36328125" style="1635" customWidth="1"/>
    <col min="7428" max="7429" width="15.90625" style="1635" customWidth="1"/>
    <col min="7430" max="7430" width="11.90625" style="1635" customWidth="1"/>
    <col min="7431" max="7431" width="9" style="1635" customWidth="1"/>
    <col min="7432" max="7432" width="10.26953125" style="1635" customWidth="1"/>
    <col min="7433" max="7434" width="12.08984375" style="1635" customWidth="1"/>
    <col min="7435" max="7435" width="16.36328125" style="1635" customWidth="1"/>
    <col min="7436" max="7436" width="7.08984375" style="1635" customWidth="1"/>
    <col min="7437" max="7437" width="37.36328125" style="1635" customWidth="1"/>
    <col min="7438" max="7438" width="9" style="1635" customWidth="1"/>
    <col min="7439" max="7680" width="8.7265625" style="1635"/>
    <col min="7681" max="7681" width="52.453125" style="1635" customWidth="1"/>
    <col min="7682" max="7682" width="7.08984375" style="1635" customWidth="1"/>
    <col min="7683" max="7683" width="13.36328125" style="1635" customWidth="1"/>
    <col min="7684" max="7685" width="15.90625" style="1635" customWidth="1"/>
    <col min="7686" max="7686" width="11.90625" style="1635" customWidth="1"/>
    <col min="7687" max="7687" width="9" style="1635" customWidth="1"/>
    <col min="7688" max="7688" width="10.26953125" style="1635" customWidth="1"/>
    <col min="7689" max="7690" width="12.08984375" style="1635" customWidth="1"/>
    <col min="7691" max="7691" width="16.36328125" style="1635" customWidth="1"/>
    <col min="7692" max="7692" width="7.08984375" style="1635" customWidth="1"/>
    <col min="7693" max="7693" width="37.36328125" style="1635" customWidth="1"/>
    <col min="7694" max="7694" width="9" style="1635" customWidth="1"/>
    <col min="7695" max="7936" width="8.7265625" style="1635"/>
    <col min="7937" max="7937" width="52.453125" style="1635" customWidth="1"/>
    <col min="7938" max="7938" width="7.08984375" style="1635" customWidth="1"/>
    <col min="7939" max="7939" width="13.36328125" style="1635" customWidth="1"/>
    <col min="7940" max="7941" width="15.90625" style="1635" customWidth="1"/>
    <col min="7942" max="7942" width="11.90625" style="1635" customWidth="1"/>
    <col min="7943" max="7943" width="9" style="1635" customWidth="1"/>
    <col min="7944" max="7944" width="10.26953125" style="1635" customWidth="1"/>
    <col min="7945" max="7946" width="12.08984375" style="1635" customWidth="1"/>
    <col min="7947" max="7947" width="16.36328125" style="1635" customWidth="1"/>
    <col min="7948" max="7948" width="7.08984375" style="1635" customWidth="1"/>
    <col min="7949" max="7949" width="37.36328125" style="1635" customWidth="1"/>
    <col min="7950" max="7950" width="9" style="1635" customWidth="1"/>
    <col min="7951" max="8192" width="8.7265625" style="1635"/>
    <col min="8193" max="8193" width="52.453125" style="1635" customWidth="1"/>
    <col min="8194" max="8194" width="7.08984375" style="1635" customWidth="1"/>
    <col min="8195" max="8195" width="13.36328125" style="1635" customWidth="1"/>
    <col min="8196" max="8197" width="15.90625" style="1635" customWidth="1"/>
    <col min="8198" max="8198" width="11.90625" style="1635" customWidth="1"/>
    <col min="8199" max="8199" width="9" style="1635" customWidth="1"/>
    <col min="8200" max="8200" width="10.26953125" style="1635" customWidth="1"/>
    <col min="8201" max="8202" width="12.08984375" style="1635" customWidth="1"/>
    <col min="8203" max="8203" width="16.36328125" style="1635" customWidth="1"/>
    <col min="8204" max="8204" width="7.08984375" style="1635" customWidth="1"/>
    <col min="8205" max="8205" width="37.36328125" style="1635" customWidth="1"/>
    <col min="8206" max="8206" width="9" style="1635" customWidth="1"/>
    <col min="8207" max="8448" width="8.7265625" style="1635"/>
    <col min="8449" max="8449" width="52.453125" style="1635" customWidth="1"/>
    <col min="8450" max="8450" width="7.08984375" style="1635" customWidth="1"/>
    <col min="8451" max="8451" width="13.36328125" style="1635" customWidth="1"/>
    <col min="8452" max="8453" width="15.90625" style="1635" customWidth="1"/>
    <col min="8454" max="8454" width="11.90625" style="1635" customWidth="1"/>
    <col min="8455" max="8455" width="9" style="1635" customWidth="1"/>
    <col min="8456" max="8456" width="10.26953125" style="1635" customWidth="1"/>
    <col min="8457" max="8458" width="12.08984375" style="1635" customWidth="1"/>
    <col min="8459" max="8459" width="16.36328125" style="1635" customWidth="1"/>
    <col min="8460" max="8460" width="7.08984375" style="1635" customWidth="1"/>
    <col min="8461" max="8461" width="37.36328125" style="1635" customWidth="1"/>
    <col min="8462" max="8462" width="9" style="1635" customWidth="1"/>
    <col min="8463" max="8704" width="8.7265625" style="1635"/>
    <col min="8705" max="8705" width="52.453125" style="1635" customWidth="1"/>
    <col min="8706" max="8706" width="7.08984375" style="1635" customWidth="1"/>
    <col min="8707" max="8707" width="13.36328125" style="1635" customWidth="1"/>
    <col min="8708" max="8709" width="15.90625" style="1635" customWidth="1"/>
    <col min="8710" max="8710" width="11.90625" style="1635" customWidth="1"/>
    <col min="8711" max="8711" width="9" style="1635" customWidth="1"/>
    <col min="8712" max="8712" width="10.26953125" style="1635" customWidth="1"/>
    <col min="8713" max="8714" width="12.08984375" style="1635" customWidth="1"/>
    <col min="8715" max="8715" width="16.36328125" style="1635" customWidth="1"/>
    <col min="8716" max="8716" width="7.08984375" style="1635" customWidth="1"/>
    <col min="8717" max="8717" width="37.36328125" style="1635" customWidth="1"/>
    <col min="8718" max="8718" width="9" style="1635" customWidth="1"/>
    <col min="8719" max="8960" width="8.7265625" style="1635"/>
    <col min="8961" max="8961" width="52.453125" style="1635" customWidth="1"/>
    <col min="8962" max="8962" width="7.08984375" style="1635" customWidth="1"/>
    <col min="8963" max="8963" width="13.36328125" style="1635" customWidth="1"/>
    <col min="8964" max="8965" width="15.90625" style="1635" customWidth="1"/>
    <col min="8966" max="8966" width="11.90625" style="1635" customWidth="1"/>
    <col min="8967" max="8967" width="9" style="1635" customWidth="1"/>
    <col min="8968" max="8968" width="10.26953125" style="1635" customWidth="1"/>
    <col min="8969" max="8970" width="12.08984375" style="1635" customWidth="1"/>
    <col min="8971" max="8971" width="16.36328125" style="1635" customWidth="1"/>
    <col min="8972" max="8972" width="7.08984375" style="1635" customWidth="1"/>
    <col min="8973" max="8973" width="37.36328125" style="1635" customWidth="1"/>
    <col min="8974" max="8974" width="9" style="1635" customWidth="1"/>
    <col min="8975" max="9216" width="8.7265625" style="1635"/>
    <col min="9217" max="9217" width="52.453125" style="1635" customWidth="1"/>
    <col min="9218" max="9218" width="7.08984375" style="1635" customWidth="1"/>
    <col min="9219" max="9219" width="13.36328125" style="1635" customWidth="1"/>
    <col min="9220" max="9221" width="15.90625" style="1635" customWidth="1"/>
    <col min="9222" max="9222" width="11.90625" style="1635" customWidth="1"/>
    <col min="9223" max="9223" width="9" style="1635" customWidth="1"/>
    <col min="9224" max="9224" width="10.26953125" style="1635" customWidth="1"/>
    <col min="9225" max="9226" width="12.08984375" style="1635" customWidth="1"/>
    <col min="9227" max="9227" width="16.36328125" style="1635" customWidth="1"/>
    <col min="9228" max="9228" width="7.08984375" style="1635" customWidth="1"/>
    <col min="9229" max="9229" width="37.36328125" style="1635" customWidth="1"/>
    <col min="9230" max="9230" width="9" style="1635" customWidth="1"/>
    <col min="9231" max="9472" width="8.7265625" style="1635"/>
    <col min="9473" max="9473" width="52.453125" style="1635" customWidth="1"/>
    <col min="9474" max="9474" width="7.08984375" style="1635" customWidth="1"/>
    <col min="9475" max="9475" width="13.36328125" style="1635" customWidth="1"/>
    <col min="9476" max="9477" width="15.90625" style="1635" customWidth="1"/>
    <col min="9478" max="9478" width="11.90625" style="1635" customWidth="1"/>
    <col min="9479" max="9479" width="9" style="1635" customWidth="1"/>
    <col min="9480" max="9480" width="10.26953125" style="1635" customWidth="1"/>
    <col min="9481" max="9482" width="12.08984375" style="1635" customWidth="1"/>
    <col min="9483" max="9483" width="16.36328125" style="1635" customWidth="1"/>
    <col min="9484" max="9484" width="7.08984375" style="1635" customWidth="1"/>
    <col min="9485" max="9485" width="37.36328125" style="1635" customWidth="1"/>
    <col min="9486" max="9486" width="9" style="1635" customWidth="1"/>
    <col min="9487" max="9728" width="8.7265625" style="1635"/>
    <col min="9729" max="9729" width="52.453125" style="1635" customWidth="1"/>
    <col min="9730" max="9730" width="7.08984375" style="1635" customWidth="1"/>
    <col min="9731" max="9731" width="13.36328125" style="1635" customWidth="1"/>
    <col min="9732" max="9733" width="15.90625" style="1635" customWidth="1"/>
    <col min="9734" max="9734" width="11.90625" style="1635" customWidth="1"/>
    <col min="9735" max="9735" width="9" style="1635" customWidth="1"/>
    <col min="9736" max="9736" width="10.26953125" style="1635" customWidth="1"/>
    <col min="9737" max="9738" width="12.08984375" style="1635" customWidth="1"/>
    <col min="9739" max="9739" width="16.36328125" style="1635" customWidth="1"/>
    <col min="9740" max="9740" width="7.08984375" style="1635" customWidth="1"/>
    <col min="9741" max="9741" width="37.36328125" style="1635" customWidth="1"/>
    <col min="9742" max="9742" width="9" style="1635" customWidth="1"/>
    <col min="9743" max="9984" width="8.7265625" style="1635"/>
    <col min="9985" max="9985" width="52.453125" style="1635" customWidth="1"/>
    <col min="9986" max="9986" width="7.08984375" style="1635" customWidth="1"/>
    <col min="9987" max="9987" width="13.36328125" style="1635" customWidth="1"/>
    <col min="9988" max="9989" width="15.90625" style="1635" customWidth="1"/>
    <col min="9990" max="9990" width="11.90625" style="1635" customWidth="1"/>
    <col min="9991" max="9991" width="9" style="1635" customWidth="1"/>
    <col min="9992" max="9992" width="10.26953125" style="1635" customWidth="1"/>
    <col min="9993" max="9994" width="12.08984375" style="1635" customWidth="1"/>
    <col min="9995" max="9995" width="16.36328125" style="1635" customWidth="1"/>
    <col min="9996" max="9996" width="7.08984375" style="1635" customWidth="1"/>
    <col min="9997" max="9997" width="37.36328125" style="1635" customWidth="1"/>
    <col min="9998" max="9998" width="9" style="1635" customWidth="1"/>
    <col min="9999" max="10240" width="8.7265625" style="1635"/>
    <col min="10241" max="10241" width="52.453125" style="1635" customWidth="1"/>
    <col min="10242" max="10242" width="7.08984375" style="1635" customWidth="1"/>
    <col min="10243" max="10243" width="13.36328125" style="1635" customWidth="1"/>
    <col min="10244" max="10245" width="15.90625" style="1635" customWidth="1"/>
    <col min="10246" max="10246" width="11.90625" style="1635" customWidth="1"/>
    <col min="10247" max="10247" width="9" style="1635" customWidth="1"/>
    <col min="10248" max="10248" width="10.26953125" style="1635" customWidth="1"/>
    <col min="10249" max="10250" width="12.08984375" style="1635" customWidth="1"/>
    <col min="10251" max="10251" width="16.36328125" style="1635" customWidth="1"/>
    <col min="10252" max="10252" width="7.08984375" style="1635" customWidth="1"/>
    <col min="10253" max="10253" width="37.36328125" style="1635" customWidth="1"/>
    <col min="10254" max="10254" width="9" style="1635" customWidth="1"/>
    <col min="10255" max="10496" width="8.7265625" style="1635"/>
    <col min="10497" max="10497" width="52.453125" style="1635" customWidth="1"/>
    <col min="10498" max="10498" width="7.08984375" style="1635" customWidth="1"/>
    <col min="10499" max="10499" width="13.36328125" style="1635" customWidth="1"/>
    <col min="10500" max="10501" width="15.90625" style="1635" customWidth="1"/>
    <col min="10502" max="10502" width="11.90625" style="1635" customWidth="1"/>
    <col min="10503" max="10503" width="9" style="1635" customWidth="1"/>
    <col min="10504" max="10504" width="10.26953125" style="1635" customWidth="1"/>
    <col min="10505" max="10506" width="12.08984375" style="1635" customWidth="1"/>
    <col min="10507" max="10507" width="16.36328125" style="1635" customWidth="1"/>
    <col min="10508" max="10508" width="7.08984375" style="1635" customWidth="1"/>
    <col min="10509" max="10509" width="37.36328125" style="1635" customWidth="1"/>
    <col min="10510" max="10510" width="9" style="1635" customWidth="1"/>
    <col min="10511" max="10752" width="8.7265625" style="1635"/>
    <col min="10753" max="10753" width="52.453125" style="1635" customWidth="1"/>
    <col min="10754" max="10754" width="7.08984375" style="1635" customWidth="1"/>
    <col min="10755" max="10755" width="13.36328125" style="1635" customWidth="1"/>
    <col min="10756" max="10757" width="15.90625" style="1635" customWidth="1"/>
    <col min="10758" max="10758" width="11.90625" style="1635" customWidth="1"/>
    <col min="10759" max="10759" width="9" style="1635" customWidth="1"/>
    <col min="10760" max="10760" width="10.26953125" style="1635" customWidth="1"/>
    <col min="10761" max="10762" width="12.08984375" style="1635" customWidth="1"/>
    <col min="10763" max="10763" width="16.36328125" style="1635" customWidth="1"/>
    <col min="10764" max="10764" width="7.08984375" style="1635" customWidth="1"/>
    <col min="10765" max="10765" width="37.36328125" style="1635" customWidth="1"/>
    <col min="10766" max="10766" width="9" style="1635" customWidth="1"/>
    <col min="10767" max="11008" width="8.7265625" style="1635"/>
    <col min="11009" max="11009" width="52.453125" style="1635" customWidth="1"/>
    <col min="11010" max="11010" width="7.08984375" style="1635" customWidth="1"/>
    <col min="11011" max="11011" width="13.36328125" style="1635" customWidth="1"/>
    <col min="11012" max="11013" width="15.90625" style="1635" customWidth="1"/>
    <col min="11014" max="11014" width="11.90625" style="1635" customWidth="1"/>
    <col min="11015" max="11015" width="9" style="1635" customWidth="1"/>
    <col min="11016" max="11016" width="10.26953125" style="1635" customWidth="1"/>
    <col min="11017" max="11018" width="12.08984375" style="1635" customWidth="1"/>
    <col min="11019" max="11019" width="16.36328125" style="1635" customWidth="1"/>
    <col min="11020" max="11020" width="7.08984375" style="1635" customWidth="1"/>
    <col min="11021" max="11021" width="37.36328125" style="1635" customWidth="1"/>
    <col min="11022" max="11022" width="9" style="1635" customWidth="1"/>
    <col min="11023" max="11264" width="8.7265625" style="1635"/>
    <col min="11265" max="11265" width="52.453125" style="1635" customWidth="1"/>
    <col min="11266" max="11266" width="7.08984375" style="1635" customWidth="1"/>
    <col min="11267" max="11267" width="13.36328125" style="1635" customWidth="1"/>
    <col min="11268" max="11269" width="15.90625" style="1635" customWidth="1"/>
    <col min="11270" max="11270" width="11.90625" style="1635" customWidth="1"/>
    <col min="11271" max="11271" width="9" style="1635" customWidth="1"/>
    <col min="11272" max="11272" width="10.26953125" style="1635" customWidth="1"/>
    <col min="11273" max="11274" width="12.08984375" style="1635" customWidth="1"/>
    <col min="11275" max="11275" width="16.36328125" style="1635" customWidth="1"/>
    <col min="11276" max="11276" width="7.08984375" style="1635" customWidth="1"/>
    <col min="11277" max="11277" width="37.36328125" style="1635" customWidth="1"/>
    <col min="11278" max="11278" width="9" style="1635" customWidth="1"/>
    <col min="11279" max="11520" width="8.7265625" style="1635"/>
    <col min="11521" max="11521" width="52.453125" style="1635" customWidth="1"/>
    <col min="11522" max="11522" width="7.08984375" style="1635" customWidth="1"/>
    <col min="11523" max="11523" width="13.36328125" style="1635" customWidth="1"/>
    <col min="11524" max="11525" width="15.90625" style="1635" customWidth="1"/>
    <col min="11526" max="11526" width="11.90625" style="1635" customWidth="1"/>
    <col min="11527" max="11527" width="9" style="1635" customWidth="1"/>
    <col min="11528" max="11528" width="10.26953125" style="1635" customWidth="1"/>
    <col min="11529" max="11530" width="12.08984375" style="1635" customWidth="1"/>
    <col min="11531" max="11531" width="16.36328125" style="1635" customWidth="1"/>
    <col min="11532" max="11532" width="7.08984375" style="1635" customWidth="1"/>
    <col min="11533" max="11533" width="37.36328125" style="1635" customWidth="1"/>
    <col min="11534" max="11534" width="9" style="1635" customWidth="1"/>
    <col min="11535" max="11776" width="8.7265625" style="1635"/>
    <col min="11777" max="11777" width="52.453125" style="1635" customWidth="1"/>
    <col min="11778" max="11778" width="7.08984375" style="1635" customWidth="1"/>
    <col min="11779" max="11779" width="13.36328125" style="1635" customWidth="1"/>
    <col min="11780" max="11781" width="15.90625" style="1635" customWidth="1"/>
    <col min="11782" max="11782" width="11.90625" style="1635" customWidth="1"/>
    <col min="11783" max="11783" width="9" style="1635" customWidth="1"/>
    <col min="11784" max="11784" width="10.26953125" style="1635" customWidth="1"/>
    <col min="11785" max="11786" width="12.08984375" style="1635" customWidth="1"/>
    <col min="11787" max="11787" width="16.36328125" style="1635" customWidth="1"/>
    <col min="11788" max="11788" width="7.08984375" style="1635" customWidth="1"/>
    <col min="11789" max="11789" width="37.36328125" style="1635" customWidth="1"/>
    <col min="11790" max="11790" width="9" style="1635" customWidth="1"/>
    <col min="11791" max="12032" width="8.7265625" style="1635"/>
    <col min="12033" max="12033" width="52.453125" style="1635" customWidth="1"/>
    <col min="12034" max="12034" width="7.08984375" style="1635" customWidth="1"/>
    <col min="12035" max="12035" width="13.36328125" style="1635" customWidth="1"/>
    <col min="12036" max="12037" width="15.90625" style="1635" customWidth="1"/>
    <col min="12038" max="12038" width="11.90625" style="1635" customWidth="1"/>
    <col min="12039" max="12039" width="9" style="1635" customWidth="1"/>
    <col min="12040" max="12040" width="10.26953125" style="1635" customWidth="1"/>
    <col min="12041" max="12042" width="12.08984375" style="1635" customWidth="1"/>
    <col min="12043" max="12043" width="16.36328125" style="1635" customWidth="1"/>
    <col min="12044" max="12044" width="7.08984375" style="1635" customWidth="1"/>
    <col min="12045" max="12045" width="37.36328125" style="1635" customWidth="1"/>
    <col min="12046" max="12046" width="9" style="1635" customWidth="1"/>
    <col min="12047" max="12288" width="8.7265625" style="1635"/>
    <col min="12289" max="12289" width="52.453125" style="1635" customWidth="1"/>
    <col min="12290" max="12290" width="7.08984375" style="1635" customWidth="1"/>
    <col min="12291" max="12291" width="13.36328125" style="1635" customWidth="1"/>
    <col min="12292" max="12293" width="15.90625" style="1635" customWidth="1"/>
    <col min="12294" max="12294" width="11.90625" style="1635" customWidth="1"/>
    <col min="12295" max="12295" width="9" style="1635" customWidth="1"/>
    <col min="12296" max="12296" width="10.26953125" style="1635" customWidth="1"/>
    <col min="12297" max="12298" width="12.08984375" style="1635" customWidth="1"/>
    <col min="12299" max="12299" width="16.36328125" style="1635" customWidth="1"/>
    <col min="12300" max="12300" width="7.08984375" style="1635" customWidth="1"/>
    <col min="12301" max="12301" width="37.36328125" style="1635" customWidth="1"/>
    <col min="12302" max="12302" width="9" style="1635" customWidth="1"/>
    <col min="12303" max="12544" width="8.7265625" style="1635"/>
    <col min="12545" max="12545" width="52.453125" style="1635" customWidth="1"/>
    <col min="12546" max="12546" width="7.08984375" style="1635" customWidth="1"/>
    <col min="12547" max="12547" width="13.36328125" style="1635" customWidth="1"/>
    <col min="12548" max="12549" width="15.90625" style="1635" customWidth="1"/>
    <col min="12550" max="12550" width="11.90625" style="1635" customWidth="1"/>
    <col min="12551" max="12551" width="9" style="1635" customWidth="1"/>
    <col min="12552" max="12552" width="10.26953125" style="1635" customWidth="1"/>
    <col min="12553" max="12554" width="12.08984375" style="1635" customWidth="1"/>
    <col min="12555" max="12555" width="16.36328125" style="1635" customWidth="1"/>
    <col min="12556" max="12556" width="7.08984375" style="1635" customWidth="1"/>
    <col min="12557" max="12557" width="37.36328125" style="1635" customWidth="1"/>
    <col min="12558" max="12558" width="9" style="1635" customWidth="1"/>
    <col min="12559" max="12800" width="8.7265625" style="1635"/>
    <col min="12801" max="12801" width="52.453125" style="1635" customWidth="1"/>
    <col min="12802" max="12802" width="7.08984375" style="1635" customWidth="1"/>
    <col min="12803" max="12803" width="13.36328125" style="1635" customWidth="1"/>
    <col min="12804" max="12805" width="15.90625" style="1635" customWidth="1"/>
    <col min="12806" max="12806" width="11.90625" style="1635" customWidth="1"/>
    <col min="12807" max="12807" width="9" style="1635" customWidth="1"/>
    <col min="12808" max="12808" width="10.26953125" style="1635" customWidth="1"/>
    <col min="12809" max="12810" width="12.08984375" style="1635" customWidth="1"/>
    <col min="12811" max="12811" width="16.36328125" style="1635" customWidth="1"/>
    <col min="12812" max="12812" width="7.08984375" style="1635" customWidth="1"/>
    <col min="12813" max="12813" width="37.36328125" style="1635" customWidth="1"/>
    <col min="12814" max="12814" width="9" style="1635" customWidth="1"/>
    <col min="12815" max="13056" width="8.7265625" style="1635"/>
    <col min="13057" max="13057" width="52.453125" style="1635" customWidth="1"/>
    <col min="13058" max="13058" width="7.08984375" style="1635" customWidth="1"/>
    <col min="13059" max="13059" width="13.36328125" style="1635" customWidth="1"/>
    <col min="13060" max="13061" width="15.90625" style="1635" customWidth="1"/>
    <col min="13062" max="13062" width="11.90625" style="1635" customWidth="1"/>
    <col min="13063" max="13063" width="9" style="1635" customWidth="1"/>
    <col min="13064" max="13064" width="10.26953125" style="1635" customWidth="1"/>
    <col min="13065" max="13066" width="12.08984375" style="1635" customWidth="1"/>
    <col min="13067" max="13067" width="16.36328125" style="1635" customWidth="1"/>
    <col min="13068" max="13068" width="7.08984375" style="1635" customWidth="1"/>
    <col min="13069" max="13069" width="37.36328125" style="1635" customWidth="1"/>
    <col min="13070" max="13070" width="9" style="1635" customWidth="1"/>
    <col min="13071" max="13312" width="8.7265625" style="1635"/>
    <col min="13313" max="13313" width="52.453125" style="1635" customWidth="1"/>
    <col min="13314" max="13314" width="7.08984375" style="1635" customWidth="1"/>
    <col min="13315" max="13315" width="13.36328125" style="1635" customWidth="1"/>
    <col min="13316" max="13317" width="15.90625" style="1635" customWidth="1"/>
    <col min="13318" max="13318" width="11.90625" style="1635" customWidth="1"/>
    <col min="13319" max="13319" width="9" style="1635" customWidth="1"/>
    <col min="13320" max="13320" width="10.26953125" style="1635" customWidth="1"/>
    <col min="13321" max="13322" width="12.08984375" style="1635" customWidth="1"/>
    <col min="13323" max="13323" width="16.36328125" style="1635" customWidth="1"/>
    <col min="13324" max="13324" width="7.08984375" style="1635" customWidth="1"/>
    <col min="13325" max="13325" width="37.36328125" style="1635" customWidth="1"/>
    <col min="13326" max="13326" width="9" style="1635" customWidth="1"/>
    <col min="13327" max="13568" width="8.7265625" style="1635"/>
    <col min="13569" max="13569" width="52.453125" style="1635" customWidth="1"/>
    <col min="13570" max="13570" width="7.08984375" style="1635" customWidth="1"/>
    <col min="13571" max="13571" width="13.36328125" style="1635" customWidth="1"/>
    <col min="13572" max="13573" width="15.90625" style="1635" customWidth="1"/>
    <col min="13574" max="13574" width="11.90625" style="1635" customWidth="1"/>
    <col min="13575" max="13575" width="9" style="1635" customWidth="1"/>
    <col min="13576" max="13576" width="10.26953125" style="1635" customWidth="1"/>
    <col min="13577" max="13578" width="12.08984375" style="1635" customWidth="1"/>
    <col min="13579" max="13579" width="16.36328125" style="1635" customWidth="1"/>
    <col min="13580" max="13580" width="7.08984375" style="1635" customWidth="1"/>
    <col min="13581" max="13581" width="37.36328125" style="1635" customWidth="1"/>
    <col min="13582" max="13582" width="9" style="1635" customWidth="1"/>
    <col min="13583" max="13824" width="8.7265625" style="1635"/>
    <col min="13825" max="13825" width="52.453125" style="1635" customWidth="1"/>
    <col min="13826" max="13826" width="7.08984375" style="1635" customWidth="1"/>
    <col min="13827" max="13827" width="13.36328125" style="1635" customWidth="1"/>
    <col min="13828" max="13829" width="15.90625" style="1635" customWidth="1"/>
    <col min="13830" max="13830" width="11.90625" style="1635" customWidth="1"/>
    <col min="13831" max="13831" width="9" style="1635" customWidth="1"/>
    <col min="13832" max="13832" width="10.26953125" style="1635" customWidth="1"/>
    <col min="13833" max="13834" width="12.08984375" style="1635" customWidth="1"/>
    <col min="13835" max="13835" width="16.36328125" style="1635" customWidth="1"/>
    <col min="13836" max="13836" width="7.08984375" style="1635" customWidth="1"/>
    <col min="13837" max="13837" width="37.36328125" style="1635" customWidth="1"/>
    <col min="13838" max="13838" width="9" style="1635" customWidth="1"/>
    <col min="13839" max="14080" width="8.7265625" style="1635"/>
    <col min="14081" max="14081" width="52.453125" style="1635" customWidth="1"/>
    <col min="14082" max="14082" width="7.08984375" style="1635" customWidth="1"/>
    <col min="14083" max="14083" width="13.36328125" style="1635" customWidth="1"/>
    <col min="14084" max="14085" width="15.90625" style="1635" customWidth="1"/>
    <col min="14086" max="14086" width="11.90625" style="1635" customWidth="1"/>
    <col min="14087" max="14087" width="9" style="1635" customWidth="1"/>
    <col min="14088" max="14088" width="10.26953125" style="1635" customWidth="1"/>
    <col min="14089" max="14090" width="12.08984375" style="1635" customWidth="1"/>
    <col min="14091" max="14091" width="16.36328125" style="1635" customWidth="1"/>
    <col min="14092" max="14092" width="7.08984375" style="1635" customWidth="1"/>
    <col min="14093" max="14093" width="37.36328125" style="1635" customWidth="1"/>
    <col min="14094" max="14094" width="9" style="1635" customWidth="1"/>
    <col min="14095" max="14336" width="8.7265625" style="1635"/>
    <col min="14337" max="14337" width="52.453125" style="1635" customWidth="1"/>
    <col min="14338" max="14338" width="7.08984375" style="1635" customWidth="1"/>
    <col min="14339" max="14339" width="13.36328125" style="1635" customWidth="1"/>
    <col min="14340" max="14341" width="15.90625" style="1635" customWidth="1"/>
    <col min="14342" max="14342" width="11.90625" style="1635" customWidth="1"/>
    <col min="14343" max="14343" width="9" style="1635" customWidth="1"/>
    <col min="14344" max="14344" width="10.26953125" style="1635" customWidth="1"/>
    <col min="14345" max="14346" width="12.08984375" style="1635" customWidth="1"/>
    <col min="14347" max="14347" width="16.36328125" style="1635" customWidth="1"/>
    <col min="14348" max="14348" width="7.08984375" style="1635" customWidth="1"/>
    <col min="14349" max="14349" width="37.36328125" style="1635" customWidth="1"/>
    <col min="14350" max="14350" width="9" style="1635" customWidth="1"/>
    <col min="14351" max="14592" width="8.7265625" style="1635"/>
    <col min="14593" max="14593" width="52.453125" style="1635" customWidth="1"/>
    <col min="14594" max="14594" width="7.08984375" style="1635" customWidth="1"/>
    <col min="14595" max="14595" width="13.36328125" style="1635" customWidth="1"/>
    <col min="14596" max="14597" width="15.90625" style="1635" customWidth="1"/>
    <col min="14598" max="14598" width="11.90625" style="1635" customWidth="1"/>
    <col min="14599" max="14599" width="9" style="1635" customWidth="1"/>
    <col min="14600" max="14600" width="10.26953125" style="1635" customWidth="1"/>
    <col min="14601" max="14602" width="12.08984375" style="1635" customWidth="1"/>
    <col min="14603" max="14603" width="16.36328125" style="1635" customWidth="1"/>
    <col min="14604" max="14604" width="7.08984375" style="1635" customWidth="1"/>
    <col min="14605" max="14605" width="37.36328125" style="1635" customWidth="1"/>
    <col min="14606" max="14606" width="9" style="1635" customWidth="1"/>
    <col min="14607" max="14848" width="8.7265625" style="1635"/>
    <col min="14849" max="14849" width="52.453125" style="1635" customWidth="1"/>
    <col min="14850" max="14850" width="7.08984375" style="1635" customWidth="1"/>
    <col min="14851" max="14851" width="13.36328125" style="1635" customWidth="1"/>
    <col min="14852" max="14853" width="15.90625" style="1635" customWidth="1"/>
    <col min="14854" max="14854" width="11.90625" style="1635" customWidth="1"/>
    <col min="14855" max="14855" width="9" style="1635" customWidth="1"/>
    <col min="14856" max="14856" width="10.26953125" style="1635" customWidth="1"/>
    <col min="14857" max="14858" width="12.08984375" style="1635" customWidth="1"/>
    <col min="14859" max="14859" width="16.36328125" style="1635" customWidth="1"/>
    <col min="14860" max="14860" width="7.08984375" style="1635" customWidth="1"/>
    <col min="14861" max="14861" width="37.36328125" style="1635" customWidth="1"/>
    <col min="14862" max="14862" width="9" style="1635" customWidth="1"/>
    <col min="14863" max="15104" width="8.7265625" style="1635"/>
    <col min="15105" max="15105" width="52.453125" style="1635" customWidth="1"/>
    <col min="15106" max="15106" width="7.08984375" style="1635" customWidth="1"/>
    <col min="15107" max="15107" width="13.36328125" style="1635" customWidth="1"/>
    <col min="15108" max="15109" width="15.90625" style="1635" customWidth="1"/>
    <col min="15110" max="15110" width="11.90625" style="1635" customWidth="1"/>
    <col min="15111" max="15111" width="9" style="1635" customWidth="1"/>
    <col min="15112" max="15112" width="10.26953125" style="1635" customWidth="1"/>
    <col min="15113" max="15114" width="12.08984375" style="1635" customWidth="1"/>
    <col min="15115" max="15115" width="16.36328125" style="1635" customWidth="1"/>
    <col min="15116" max="15116" width="7.08984375" style="1635" customWidth="1"/>
    <col min="15117" max="15117" width="37.36328125" style="1635" customWidth="1"/>
    <col min="15118" max="15118" width="9" style="1635" customWidth="1"/>
    <col min="15119" max="15360" width="8.7265625" style="1635"/>
    <col min="15361" max="15361" width="52.453125" style="1635" customWidth="1"/>
    <col min="15362" max="15362" width="7.08984375" style="1635" customWidth="1"/>
    <col min="15363" max="15363" width="13.36328125" style="1635" customWidth="1"/>
    <col min="15364" max="15365" width="15.90625" style="1635" customWidth="1"/>
    <col min="15366" max="15366" width="11.90625" style="1635" customWidth="1"/>
    <col min="15367" max="15367" width="9" style="1635" customWidth="1"/>
    <col min="15368" max="15368" width="10.26953125" style="1635" customWidth="1"/>
    <col min="15369" max="15370" width="12.08984375" style="1635" customWidth="1"/>
    <col min="15371" max="15371" width="16.36328125" style="1635" customWidth="1"/>
    <col min="15372" max="15372" width="7.08984375" style="1635" customWidth="1"/>
    <col min="15373" max="15373" width="37.36328125" style="1635" customWidth="1"/>
    <col min="15374" max="15374" width="9" style="1635" customWidth="1"/>
    <col min="15375" max="15616" width="8.7265625" style="1635"/>
    <col min="15617" max="15617" width="52.453125" style="1635" customWidth="1"/>
    <col min="15618" max="15618" width="7.08984375" style="1635" customWidth="1"/>
    <col min="15619" max="15619" width="13.36328125" style="1635" customWidth="1"/>
    <col min="15620" max="15621" width="15.90625" style="1635" customWidth="1"/>
    <col min="15622" max="15622" width="11.90625" style="1635" customWidth="1"/>
    <col min="15623" max="15623" width="9" style="1635" customWidth="1"/>
    <col min="15624" max="15624" width="10.26953125" style="1635" customWidth="1"/>
    <col min="15625" max="15626" width="12.08984375" style="1635" customWidth="1"/>
    <col min="15627" max="15627" width="16.36328125" style="1635" customWidth="1"/>
    <col min="15628" max="15628" width="7.08984375" style="1635" customWidth="1"/>
    <col min="15629" max="15629" width="37.36328125" style="1635" customWidth="1"/>
    <col min="15630" max="15630" width="9" style="1635" customWidth="1"/>
    <col min="15631" max="15872" width="8.7265625" style="1635"/>
    <col min="15873" max="15873" width="52.453125" style="1635" customWidth="1"/>
    <col min="15874" max="15874" width="7.08984375" style="1635" customWidth="1"/>
    <col min="15875" max="15875" width="13.36328125" style="1635" customWidth="1"/>
    <col min="15876" max="15877" width="15.90625" style="1635" customWidth="1"/>
    <col min="15878" max="15878" width="11.90625" style="1635" customWidth="1"/>
    <col min="15879" max="15879" width="9" style="1635" customWidth="1"/>
    <col min="15880" max="15880" width="10.26953125" style="1635" customWidth="1"/>
    <col min="15881" max="15882" width="12.08984375" style="1635" customWidth="1"/>
    <col min="15883" max="15883" width="16.36328125" style="1635" customWidth="1"/>
    <col min="15884" max="15884" width="7.08984375" style="1635" customWidth="1"/>
    <col min="15885" max="15885" width="37.36328125" style="1635" customWidth="1"/>
    <col min="15886" max="15886" width="9" style="1635" customWidth="1"/>
    <col min="15887" max="16128" width="8.7265625" style="1635"/>
    <col min="16129" max="16129" width="52.453125" style="1635" customWidth="1"/>
    <col min="16130" max="16130" width="7.08984375" style="1635" customWidth="1"/>
    <col min="16131" max="16131" width="13.36328125" style="1635" customWidth="1"/>
    <col min="16132" max="16133" width="15.90625" style="1635" customWidth="1"/>
    <col min="16134" max="16134" width="11.90625" style="1635" customWidth="1"/>
    <col min="16135" max="16135" width="9" style="1635" customWidth="1"/>
    <col min="16136" max="16136" width="10.26953125" style="1635" customWidth="1"/>
    <col min="16137" max="16138" width="12.08984375" style="1635" customWidth="1"/>
    <col min="16139" max="16139" width="16.36328125" style="1635" customWidth="1"/>
    <col min="16140" max="16140" width="7.08984375" style="1635" customWidth="1"/>
    <col min="16141" max="16141" width="37.36328125" style="1635" customWidth="1"/>
    <col min="16142" max="16142" width="9" style="1635" customWidth="1"/>
    <col min="16143" max="16384" width="8.7265625" style="1635"/>
  </cols>
  <sheetData>
    <row r="1" spans="1:14">
      <c r="A1" s="1635" t="s">
        <v>3076</v>
      </c>
      <c r="B1" s="1635" t="s">
        <v>3077</v>
      </c>
      <c r="C1" s="1635" t="s">
        <v>3078</v>
      </c>
      <c r="D1" s="1635" t="s">
        <v>3079</v>
      </c>
      <c r="E1" s="1635" t="s">
        <v>3080</v>
      </c>
      <c r="F1" s="1635" t="s">
        <v>3081</v>
      </c>
      <c r="G1" s="1635" t="s">
        <v>3082</v>
      </c>
      <c r="H1" s="1635" t="s">
        <v>3083</v>
      </c>
      <c r="I1" s="1635" t="s">
        <v>3084</v>
      </c>
      <c r="J1" s="1635" t="s">
        <v>3085</v>
      </c>
      <c r="K1" s="1635" t="s">
        <v>3086</v>
      </c>
      <c r="L1" s="1635" t="s">
        <v>3087</v>
      </c>
      <c r="M1" s="1635" t="s">
        <v>3088</v>
      </c>
      <c r="N1" s="1635" t="s">
        <v>3089</v>
      </c>
    </row>
    <row r="2" spans="1:14">
      <c r="A2" s="1635" t="s">
        <v>3090</v>
      </c>
      <c r="B2" s="1635" t="s">
        <v>3091</v>
      </c>
      <c r="C2" s="1635" t="s">
        <v>3092</v>
      </c>
      <c r="D2" s="1635">
        <v>4000</v>
      </c>
      <c r="E2" s="1635">
        <v>4000</v>
      </c>
      <c r="F2" s="1635" t="s">
        <v>3093</v>
      </c>
      <c r="G2" s="1635" t="s">
        <v>3094</v>
      </c>
      <c r="H2" s="1635" t="s">
        <v>3095</v>
      </c>
      <c r="I2" s="1635">
        <v>600</v>
      </c>
      <c r="J2" s="1635">
        <v>600</v>
      </c>
      <c r="K2" s="1635">
        <v>1500</v>
      </c>
      <c r="L2" s="1635">
        <v>0</v>
      </c>
      <c r="M2" s="1635" t="s">
        <v>3096</v>
      </c>
      <c r="N2" s="1635" t="s">
        <v>3097</v>
      </c>
    </row>
    <row r="3" spans="1:14">
      <c r="A3" s="1635" t="s">
        <v>3090</v>
      </c>
      <c r="B3" s="1635" t="s">
        <v>3091</v>
      </c>
      <c r="C3" s="1635" t="s">
        <v>3092</v>
      </c>
      <c r="D3" s="1635">
        <v>6000</v>
      </c>
      <c r="E3" s="1635">
        <v>6000</v>
      </c>
      <c r="F3" s="1635" t="s">
        <v>3093</v>
      </c>
      <c r="G3" s="1635" t="s">
        <v>3094</v>
      </c>
      <c r="H3" s="1635" t="s">
        <v>3095</v>
      </c>
      <c r="I3" s="1635">
        <v>900</v>
      </c>
      <c r="J3" s="1635">
        <v>900</v>
      </c>
      <c r="K3" s="1635">
        <v>1500</v>
      </c>
      <c r="L3" s="1635">
        <v>0</v>
      </c>
      <c r="M3" s="1635" t="s">
        <v>3096</v>
      </c>
      <c r="N3" s="1635" t="s">
        <v>3097</v>
      </c>
    </row>
    <row r="4" spans="1:14">
      <c r="A4" s="1635" t="s">
        <v>3090</v>
      </c>
      <c r="B4" s="1635" t="s">
        <v>3091</v>
      </c>
      <c r="C4" s="1635" t="s">
        <v>3092</v>
      </c>
      <c r="D4" s="1635">
        <v>4000</v>
      </c>
      <c r="E4" s="1635">
        <v>4000</v>
      </c>
      <c r="F4" s="1635" t="s">
        <v>3093</v>
      </c>
      <c r="G4" s="1635" t="s">
        <v>3094</v>
      </c>
      <c r="H4" s="1635" t="s">
        <v>3095</v>
      </c>
      <c r="I4" s="1635">
        <v>600</v>
      </c>
      <c r="J4" s="1635">
        <v>600</v>
      </c>
      <c r="K4" s="1635">
        <v>1500</v>
      </c>
      <c r="L4" s="1635">
        <v>0</v>
      </c>
      <c r="M4" s="1635" t="s">
        <v>3096</v>
      </c>
      <c r="N4" s="1635" t="s">
        <v>3097</v>
      </c>
    </row>
    <row r="5" spans="1:14">
      <c r="A5" s="1635" t="s">
        <v>3098</v>
      </c>
      <c r="B5" s="1635" t="s">
        <v>3091</v>
      </c>
      <c r="C5" s="1635" t="s">
        <v>3092</v>
      </c>
      <c r="D5" s="1635">
        <v>6406.62</v>
      </c>
      <c r="E5" s="1635">
        <v>12813.24</v>
      </c>
      <c r="F5" s="1635" t="s">
        <v>3099</v>
      </c>
      <c r="G5" s="1635" t="s">
        <v>3094</v>
      </c>
      <c r="H5" s="1635" t="s">
        <v>3100</v>
      </c>
      <c r="I5" s="1635">
        <v>1586</v>
      </c>
      <c r="J5" s="1635">
        <v>1586</v>
      </c>
      <c r="K5" s="1635">
        <v>1237.77</v>
      </c>
      <c r="L5" s="1635">
        <v>0</v>
      </c>
      <c r="M5" s="1635" t="s">
        <v>3101</v>
      </c>
      <c r="N5" s="1635" t="s">
        <v>3097</v>
      </c>
    </row>
    <row r="6" spans="1:14">
      <c r="A6" s="1635" t="s">
        <v>3102</v>
      </c>
      <c r="B6" s="1635" t="s">
        <v>3091</v>
      </c>
      <c r="C6" s="1635" t="s">
        <v>3092</v>
      </c>
      <c r="D6" s="1635">
        <v>4063.25</v>
      </c>
      <c r="E6" s="1635">
        <v>8126.5</v>
      </c>
      <c r="F6" s="1635" t="s">
        <v>3103</v>
      </c>
      <c r="G6" s="1635" t="s">
        <v>3094</v>
      </c>
      <c r="H6" s="1635" t="s">
        <v>3104</v>
      </c>
      <c r="I6" s="1635">
        <v>609</v>
      </c>
      <c r="J6" s="1635">
        <v>609</v>
      </c>
      <c r="K6" s="1635">
        <v>749.39</v>
      </c>
      <c r="L6" s="1635">
        <v>0</v>
      </c>
      <c r="M6" s="1635" t="s">
        <v>3105</v>
      </c>
      <c r="N6" s="1635" t="s">
        <v>3097</v>
      </c>
    </row>
    <row r="7" spans="1:14">
      <c r="A7" s="1635" t="s">
        <v>3106</v>
      </c>
      <c r="B7" s="1635" t="s">
        <v>3091</v>
      </c>
      <c r="C7" s="1635" t="s">
        <v>3092</v>
      </c>
      <c r="D7" s="1635">
        <v>20649.61</v>
      </c>
      <c r="E7" s="1635">
        <v>30974.42</v>
      </c>
      <c r="F7" s="1635" t="s">
        <v>3107</v>
      </c>
      <c r="G7" s="1635" t="s">
        <v>3094</v>
      </c>
      <c r="H7" s="1635" t="s">
        <v>3108</v>
      </c>
      <c r="I7" s="1635">
        <v>3097</v>
      </c>
      <c r="J7" s="1635">
        <v>3097</v>
      </c>
      <c r="K7" s="1635">
        <v>999.86</v>
      </c>
      <c r="L7" s="1635">
        <v>0</v>
      </c>
      <c r="M7" s="1635" t="s">
        <v>3109</v>
      </c>
      <c r="N7" s="1635" t="s">
        <v>3097</v>
      </c>
    </row>
    <row r="8" spans="1:14">
      <c r="A8" s="1635" t="s">
        <v>3106</v>
      </c>
      <c r="B8" s="1635" t="s">
        <v>3091</v>
      </c>
      <c r="C8" s="1635" t="s">
        <v>3092</v>
      </c>
      <c r="D8" s="1635">
        <v>29446.31</v>
      </c>
      <c r="E8" s="1635">
        <v>44169.47</v>
      </c>
      <c r="F8" s="1635" t="s">
        <v>3107</v>
      </c>
      <c r="G8" s="1635" t="s">
        <v>3094</v>
      </c>
      <c r="H8" s="1635" t="s">
        <v>3108</v>
      </c>
      <c r="I8" s="1635">
        <v>4417</v>
      </c>
      <c r="J8" s="1635">
        <v>4417</v>
      </c>
      <c r="K8" s="1635">
        <v>1000</v>
      </c>
      <c r="L8" s="1635">
        <v>0</v>
      </c>
      <c r="M8" s="1635" t="s">
        <v>3109</v>
      </c>
      <c r="N8" s="1635" t="s">
        <v>3097</v>
      </c>
    </row>
    <row r="9" spans="1:14">
      <c r="A9" s="1635" t="s">
        <v>3106</v>
      </c>
      <c r="B9" s="1635" t="s">
        <v>3091</v>
      </c>
      <c r="C9" s="1635" t="s">
        <v>3092</v>
      </c>
      <c r="D9" s="1635">
        <v>4082.02</v>
      </c>
      <c r="E9" s="1635">
        <v>4898.42</v>
      </c>
      <c r="F9" s="1635" t="s">
        <v>3110</v>
      </c>
      <c r="G9" s="1635" t="s">
        <v>3094</v>
      </c>
      <c r="H9" s="1635" t="s">
        <v>3108</v>
      </c>
      <c r="I9" s="1635">
        <v>612</v>
      </c>
      <c r="J9" s="1635">
        <v>612</v>
      </c>
      <c r="K9" s="1635">
        <v>1249.3800000000001</v>
      </c>
      <c r="L9" s="1635">
        <v>0</v>
      </c>
      <c r="M9" s="1635" t="s">
        <v>3109</v>
      </c>
      <c r="N9" s="1635" t="s">
        <v>3097</v>
      </c>
    </row>
    <row r="10" spans="1:14">
      <c r="A10" s="1635" t="s">
        <v>3106</v>
      </c>
      <c r="B10" s="1635" t="s">
        <v>3091</v>
      </c>
      <c r="C10" s="1635" t="s">
        <v>3092</v>
      </c>
      <c r="D10" s="1635">
        <v>21859.46</v>
      </c>
      <c r="E10" s="1635">
        <v>26231.35</v>
      </c>
      <c r="F10" s="1635" t="s">
        <v>3110</v>
      </c>
      <c r="G10" s="1635" t="s">
        <v>3094</v>
      </c>
      <c r="H10" s="1635" t="s">
        <v>3108</v>
      </c>
      <c r="I10" s="1635">
        <v>3279</v>
      </c>
      <c r="J10" s="1635">
        <v>3279</v>
      </c>
      <c r="K10" s="1635">
        <v>1250.02</v>
      </c>
      <c r="L10" s="1635">
        <v>0</v>
      </c>
      <c r="M10" s="1635" t="s">
        <v>3109</v>
      </c>
      <c r="N10" s="1635" t="s">
        <v>3097</v>
      </c>
    </row>
    <row r="11" spans="1:14">
      <c r="A11" s="1635" t="s">
        <v>3106</v>
      </c>
      <c r="B11" s="1635" t="s">
        <v>3091</v>
      </c>
      <c r="C11" s="1635" t="s">
        <v>3092</v>
      </c>
      <c r="D11" s="1635">
        <v>7202.46</v>
      </c>
      <c r="E11" s="1635">
        <v>8642.9500000000007</v>
      </c>
      <c r="F11" s="1635" t="s">
        <v>3110</v>
      </c>
      <c r="G11" s="1635" t="s">
        <v>3094</v>
      </c>
      <c r="H11" s="1635" t="s">
        <v>3108</v>
      </c>
      <c r="I11" s="1635">
        <v>108</v>
      </c>
      <c r="J11" s="1635">
        <v>1080</v>
      </c>
      <c r="K11" s="1635">
        <v>1249.56</v>
      </c>
      <c r="L11" s="1635">
        <v>900</v>
      </c>
      <c r="M11" s="1635" t="s">
        <v>3109</v>
      </c>
      <c r="N11" s="1635" t="s">
        <v>3097</v>
      </c>
    </row>
    <row r="12" spans="1:14">
      <c r="A12" s="1635" t="s">
        <v>3111</v>
      </c>
      <c r="B12" s="1635" t="s">
        <v>3091</v>
      </c>
      <c r="C12" s="1635" t="s">
        <v>3092</v>
      </c>
      <c r="D12" s="1635">
        <v>59288.72</v>
      </c>
      <c r="E12" s="1635">
        <v>35573.230000000003</v>
      </c>
      <c r="F12" s="1635" t="s">
        <v>3112</v>
      </c>
      <c r="G12" s="1635" t="s">
        <v>3094</v>
      </c>
      <c r="H12" s="1635" t="s">
        <v>3113</v>
      </c>
      <c r="I12" s="1635">
        <v>7560</v>
      </c>
      <c r="J12" s="1635">
        <v>7560</v>
      </c>
      <c r="K12" s="1635">
        <v>2125.19</v>
      </c>
      <c r="L12" s="1635">
        <v>0</v>
      </c>
      <c r="M12" s="1635" t="s">
        <v>3114</v>
      </c>
      <c r="N12" s="1635" t="s">
        <v>3115</v>
      </c>
    </row>
    <row r="13" spans="1:14">
      <c r="A13" s="1635" t="s">
        <v>3116</v>
      </c>
      <c r="B13" s="1635" t="s">
        <v>3091</v>
      </c>
      <c r="C13" s="1635" t="s">
        <v>3092</v>
      </c>
      <c r="D13" s="1635">
        <v>6589.7</v>
      </c>
      <c r="E13" s="1635">
        <v>1317.94</v>
      </c>
      <c r="F13" s="1635" t="s">
        <v>3117</v>
      </c>
      <c r="G13" s="1635" t="s">
        <v>3094</v>
      </c>
      <c r="H13" s="1635" t="s">
        <v>3118</v>
      </c>
      <c r="I13" s="1635">
        <v>366</v>
      </c>
      <c r="J13" s="1635">
        <v>366</v>
      </c>
      <c r="K13" s="1635">
        <v>2777.05</v>
      </c>
      <c r="L13" s="1635">
        <v>0</v>
      </c>
      <c r="M13" s="1635" t="s">
        <v>3119</v>
      </c>
      <c r="N13" s="1635" t="s">
        <v>3115</v>
      </c>
    </row>
    <row r="14" spans="1:14">
      <c r="A14" s="1635" t="s">
        <v>3120</v>
      </c>
      <c r="B14" s="1635" t="s">
        <v>3091</v>
      </c>
      <c r="C14" s="1635" t="s">
        <v>3092</v>
      </c>
      <c r="D14" s="1635">
        <v>16378.79</v>
      </c>
      <c r="E14" s="1635">
        <v>32757.58</v>
      </c>
      <c r="F14" s="1635" t="s">
        <v>3103</v>
      </c>
      <c r="G14" s="1635" t="s">
        <v>3094</v>
      </c>
      <c r="H14" s="1635" t="s">
        <v>3121</v>
      </c>
      <c r="I14" s="1635">
        <v>1722</v>
      </c>
      <c r="J14" s="1635">
        <v>1722</v>
      </c>
      <c r="K14" s="1635">
        <v>525.66999999999996</v>
      </c>
      <c r="L14" s="1635">
        <v>0</v>
      </c>
      <c r="M14" s="1635" t="s">
        <v>3122</v>
      </c>
      <c r="N14" s="1635" t="s">
        <v>3097</v>
      </c>
    </row>
    <row r="15" spans="1:14">
      <c r="A15" s="1635" t="s">
        <v>3123</v>
      </c>
      <c r="B15" s="1635" t="s">
        <v>3091</v>
      </c>
      <c r="C15" s="1635" t="s">
        <v>3092</v>
      </c>
      <c r="D15" s="1635">
        <v>7559.01</v>
      </c>
      <c r="E15" s="1635">
        <v>7559.01</v>
      </c>
      <c r="F15" s="1635" t="s">
        <v>3093</v>
      </c>
      <c r="G15" s="1635" t="s">
        <v>3094</v>
      </c>
      <c r="H15" s="1635" t="s">
        <v>3124</v>
      </c>
      <c r="I15" s="1635">
        <v>623.70000000000005</v>
      </c>
      <c r="J15" s="1635">
        <v>623.70000000000005</v>
      </c>
      <c r="K15" s="1635">
        <v>825.11</v>
      </c>
      <c r="L15" s="1635">
        <v>0</v>
      </c>
      <c r="M15" s="1635" t="s">
        <v>3125</v>
      </c>
      <c r="N15" s="1635" t="s">
        <v>3115</v>
      </c>
    </row>
    <row r="16" spans="1:14">
      <c r="A16" s="1635" t="s">
        <v>3126</v>
      </c>
      <c r="B16" s="1635" t="s">
        <v>3091</v>
      </c>
      <c r="C16" s="1635" t="s">
        <v>3092</v>
      </c>
      <c r="D16" s="1635">
        <v>72516.899999999994</v>
      </c>
      <c r="E16" s="1635">
        <v>79768.59</v>
      </c>
      <c r="F16" s="1635" t="s">
        <v>3127</v>
      </c>
      <c r="G16" s="1635" t="s">
        <v>3128</v>
      </c>
      <c r="H16" s="1635" t="s">
        <v>3129</v>
      </c>
      <c r="I16" s="1635" t="s">
        <v>1326</v>
      </c>
      <c r="J16" s="1635">
        <v>4352</v>
      </c>
      <c r="K16" s="1635">
        <v>545.58000000000004</v>
      </c>
      <c r="L16" s="1635" t="s">
        <v>1326</v>
      </c>
      <c r="M16" s="1635" t="s">
        <v>3130</v>
      </c>
      <c r="N16" s="1635" t="s">
        <v>3115</v>
      </c>
    </row>
    <row r="29" spans="1:1">
      <c r="A29" s="3305" t="s">
        <v>3132</v>
      </c>
    </row>
  </sheetData>
  <phoneticPr fontId="143" type="noConversion"/>
  <hyperlinks>
    <hyperlink ref="A29" r:id="rId1" xr:uid="{E65417EF-E66B-4EEA-B477-4B32391C155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7"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6" t="s">
        <v>1397</v>
      </c>
      <c r="C6" s="1296">
        <f ca="1">ROUND(F6*F8*F7*(1-F9),0)</f>
        <v>0</v>
      </c>
      <c r="D6" s="164" t="s">
        <v>3028</v>
      </c>
      <c r="E6" s="347" t="s">
        <v>1399</v>
      </c>
      <c r="F6" s="348">
        <f ca="1">INDIRECT("'数据-取费表'!u"&amp;$G$1)</f>
        <v>0</v>
      </c>
      <c r="G6" s="1851"/>
      <c r="H6" s="1291" t="s">
        <v>1031</v>
      </c>
      <c r="I6" s="3166" t="s">
        <v>1397</v>
      </c>
      <c r="J6" s="346">
        <f ca="1">ROUND(M6*M8*M7*(1-M9),0)</f>
        <v>0</v>
      </c>
      <c r="K6" s="1834" t="s">
        <v>3029</v>
      </c>
      <c r="L6" s="347" t="s">
        <v>1399</v>
      </c>
      <c r="M6" s="348">
        <f ca="1">INDIRECT("'数据-取费表'!z"&amp;$G$1)</f>
        <v>0</v>
      </c>
    </row>
    <row r="7" spans="1:37" ht="18" customHeight="1">
      <c r="A7" s="1295"/>
      <c r="B7" s="3167"/>
      <c r="C7" s="1297"/>
      <c r="D7" s="352"/>
      <c r="E7" s="1298" t="s">
        <v>1400</v>
      </c>
      <c r="F7" s="348">
        <f ca="1">IF(INDIRECT("'数据-取费表'!ah"&amp;$G$1)="",INDIRECT("'数据-取费表'!k"&amp;$G$1),INDIRECT("'数据-取费表'!ah"&amp;$G$1))</f>
        <v>0</v>
      </c>
      <c r="G7" s="1851"/>
      <c r="H7" s="349"/>
      <c r="I7" s="3167"/>
      <c r="J7" s="351"/>
      <c r="K7" s="352"/>
      <c r="L7" s="347" t="s">
        <v>1400</v>
      </c>
      <c r="M7" s="348">
        <f ca="1">F7</f>
        <v>0</v>
      </c>
    </row>
    <row r="8" spans="1:37" ht="18" customHeight="1">
      <c r="A8" s="349"/>
      <c r="B8" s="3167"/>
      <c r="C8" s="351"/>
      <c r="D8" s="352"/>
      <c r="E8" s="347" t="s">
        <v>1401</v>
      </c>
      <c r="F8" s="348">
        <f ca="1">INDIRECT("'数据-取费表'!ai"&amp;$G$1)</f>
        <v>0</v>
      </c>
      <c r="G8" s="1851"/>
      <c r="H8" s="349"/>
      <c r="I8" s="3167"/>
      <c r="J8" s="351"/>
      <c r="K8" s="352"/>
      <c r="L8" s="347" t="s">
        <v>1401</v>
      </c>
      <c r="M8" s="348">
        <f ca="1">INDIRECT("'数据-取费表'!ai"&amp;$G$1)</f>
        <v>0</v>
      </c>
    </row>
    <row r="9" spans="1:37" ht="18" customHeight="1">
      <c r="A9" s="349"/>
      <c r="B9" s="3168"/>
      <c r="C9" s="351"/>
      <c r="D9" s="352"/>
      <c r="E9" s="347" t="s">
        <v>1402</v>
      </c>
      <c r="F9" s="357">
        <f ca="1">INDIRECT("'数据-取费表'!w"&amp;$G$1)</f>
        <v>0</v>
      </c>
      <c r="G9" s="1851"/>
      <c r="H9" s="349"/>
      <c r="I9" s="316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6</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52">
        <f ca="1">IF(M47="住宅",IF(D1="——",MAX(J51,L48),MAX(J51,L48-'数据-取费表'!B24)),IF(D1="——",MIN(J51,L48),MIN(J51,L48-'数据-取费表'!B24)))</f>
        <v>0</v>
      </c>
      <c r="K53" s="3164" t="s">
        <v>1542</v>
      </c>
      <c r="L53" s="3165"/>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6</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35">
      <c r="A4" s="1947" t="str">
        <f>"受贵公司委托，我公司对"&amp;项目基本情况!S1&amp;"进行了预评估。"</f>
        <v>受贵公司委托，我公司对进行了预评估。</v>
      </c>
    </row>
    <row r="5" spans="1:1" ht="18">
      <c r="A5" s="1948" t="s">
        <v>1606</v>
      </c>
    </row>
    <row r="6" spans="1:1" ht="17.5">
      <c r="A6" s="1949" t="s">
        <v>1607</v>
      </c>
    </row>
    <row r="7" spans="1:1" ht="1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估价对象为房地产，为所有。根据《国有土地使用证》[]，估价对象（分摊）出让国有建设用地使用权面积为9793.78平方米，建筑面积为56816.98平方米。</v>
      </c>
    </row>
    <row r="8" spans="1:1" ht="53.5">
      <c r="A8" s="1950" t="s">
        <v>1608</v>
      </c>
    </row>
    <row r="9" spans="1:1" ht="17.5">
      <c r="A9" s="1949" t="s">
        <v>1609</v>
      </c>
    </row>
    <row r="10" spans="1:1" ht="1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估价对象为房地产,属开发建设的，该项目尚在开发建设中。根据《国有土地使用证》[]，估价对象（分摊）出让国有建设用地使用权面积为9793.78平方米，规划建筑面积为56816.98平方米。</v>
      </c>
    </row>
    <row r="11" spans="1:1" ht="71">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7.5">
      <c r="A15" s="1953" t="str">
        <f>TEXT(项目基本情况!D3,"yyyy年m月d日;;")&amp;IF(项目基本情况!D3=项目基本情况!B3,"（评估专业人员实地查勘之日）","")</f>
        <v>2020年3月10日</v>
      </c>
    </row>
    <row r="16" spans="1:1" ht="18">
      <c r="A16" s="1952" t="s">
        <v>1613</v>
      </c>
    </row>
    <row r="17" spans="1:1" ht="70">
      <c r="A17" s="1947" t="s">
        <v>1614</v>
      </c>
    </row>
    <row r="18" spans="1:1" ht="5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52" t="s">
        <v>1603</v>
      </c>
    </row>
    <row r="24" spans="1:1" ht="17.5">
      <c r="A24" s="1954" t="str">
        <f>"本次评估采用的主估价方法为"&amp;结果表!K4&amp;"和"&amp;结果表!L4&amp;"。"</f>
        <v>本次评估采用的主估价方法为比较法和收益法。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2525</v>
      </c>
      <c r="B1" s="2564"/>
      <c r="C1" s="2564"/>
      <c r="D1" s="2564"/>
      <c r="E1" s="2565"/>
    </row>
    <row r="2" spans="1:6" ht="15.5">
      <c r="A2" s="2566" t="s">
        <v>2326</v>
      </c>
      <c r="B2" s="2567">
        <f ca="1">SUMIF(B6:B13,"&lt;&gt;#ref!",B6:B13)</f>
        <v>11107</v>
      </c>
      <c r="C2" s="2568" t="s">
        <v>2518</v>
      </c>
      <c r="D2" s="2569" t="s">
        <v>2519</v>
      </c>
      <c r="E2" s="2570">
        <f>SUM(E6:E13)</f>
        <v>56816.98</v>
      </c>
    </row>
    <row r="3" spans="1:6" ht="15.5">
      <c r="A3" s="2566" t="s">
        <v>1389</v>
      </c>
      <c r="B3" s="2567">
        <f ca="1">ROUND(B2*10000/E2,0)</f>
        <v>1955</v>
      </c>
      <c r="C3" s="2568" t="s">
        <v>2526</v>
      </c>
      <c r="D3" s="2571"/>
      <c r="E3" s="2572"/>
    </row>
    <row r="4" spans="1:6" ht="15.5">
      <c r="A4" s="2573"/>
      <c r="B4" s="2571"/>
      <c r="C4" s="2571"/>
      <c r="D4" s="2571"/>
      <c r="E4" s="2572"/>
    </row>
    <row r="5" spans="1:6">
      <c r="A5" s="2574" t="s">
        <v>2520</v>
      </c>
      <c r="B5" s="3169" t="s">
        <v>2521</v>
      </c>
      <c r="C5" s="3169"/>
      <c r="D5" s="2575"/>
      <c r="E5" s="2576" t="s">
        <v>2522</v>
      </c>
      <c r="F5" s="2577" t="s">
        <v>2523</v>
      </c>
    </row>
    <row r="6" spans="1:6">
      <c r="A6" s="2578" t="str">
        <f>'数据-取费表'!AN6</f>
        <v>收益法</v>
      </c>
      <c r="B6" s="2577">
        <f ca="1">IF(F6="是",'数据-取费表'!AO6,0)</f>
        <v>7019</v>
      </c>
      <c r="C6" s="2568" t="s">
        <v>2518</v>
      </c>
      <c r="D6" s="2571"/>
      <c r="E6" s="2579">
        <f>IF(OR(A6=0,F6="否"),0,'数据-取费表'!K6+'数据-取费表'!S6)</f>
        <v>16556.82</v>
      </c>
      <c r="F6" s="2580" t="s">
        <v>2524</v>
      </c>
    </row>
    <row r="7" spans="1:6">
      <c r="A7" s="2578" t="str">
        <f>'数据-取费表'!AN7</f>
        <v>收益法 (车库)</v>
      </c>
      <c r="B7" s="2577">
        <f ca="1">IF(F7="是",'数据-取费表'!AO7,0)</f>
        <v>4088</v>
      </c>
      <c r="C7" s="2568" t="s">
        <v>2518</v>
      </c>
      <c r="D7" s="2571"/>
      <c r="E7" s="2579">
        <f>IF(OR(A7=0,F7="否"),0,'数据-取费表'!K7+'数据-取费表'!S7)</f>
        <v>40260.160000000003</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4.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186" t="s">
        <v>1072</v>
      </c>
      <c r="B1" s="3187"/>
      <c r="C1" s="3188"/>
      <c r="D1" s="3189">
        <f>SUM(I10,I15,I20,I21,I23)</f>
        <v>0</v>
      </c>
      <c r="E1" s="3189"/>
      <c r="F1" s="3189"/>
      <c r="G1" s="3189"/>
      <c r="H1" s="3189"/>
      <c r="I1" s="3190"/>
    </row>
    <row r="2" spans="1:9">
      <c r="A2" s="3176" t="s">
        <v>1073</v>
      </c>
      <c r="B2" s="3177" t="s">
        <v>1074</v>
      </c>
      <c r="C2" s="3177"/>
      <c r="D2" s="1301" t="s">
        <v>1075</v>
      </c>
      <c r="E2" s="1301" t="s">
        <v>1076</v>
      </c>
      <c r="F2" s="1301" t="s">
        <v>1077</v>
      </c>
      <c r="G2" s="1301" t="s">
        <v>1078</v>
      </c>
      <c r="H2" s="1301" t="s">
        <v>1079</v>
      </c>
      <c r="I2" s="1302" t="s">
        <v>1080</v>
      </c>
    </row>
    <row r="3" spans="1:9">
      <c r="A3" s="3176"/>
      <c r="B3" s="3177" t="s">
        <v>1081</v>
      </c>
      <c r="C3" s="3177"/>
      <c r="D3" s="1303"/>
      <c r="E3" s="1301"/>
      <c r="F3" s="1304"/>
      <c r="G3" s="1304"/>
      <c r="H3" s="1305"/>
      <c r="I3" s="1306">
        <f>ROUND(D3*E3*F3*G3*H3/10000,0)</f>
        <v>0</v>
      </c>
    </row>
    <row r="4" spans="1:9">
      <c r="A4" s="3176"/>
      <c r="B4" s="3177" t="s">
        <v>1082</v>
      </c>
      <c r="C4" s="3177"/>
      <c r="D4" s="1303"/>
      <c r="E4" s="1301"/>
      <c r="F4" s="1304"/>
      <c r="G4" s="1304"/>
      <c r="H4" s="1305"/>
      <c r="I4" s="1306">
        <f t="shared" ref="I4:I9" si="0">ROUND(D4*E4*F4*G4*H4/10000,0)</f>
        <v>0</v>
      </c>
    </row>
    <row r="5" spans="1:9">
      <c r="A5" s="3176"/>
      <c r="B5" s="3177" t="s">
        <v>1083</v>
      </c>
      <c r="C5" s="3177"/>
      <c r="D5" s="1303"/>
      <c r="E5" s="1301"/>
      <c r="F5" s="1304"/>
      <c r="G5" s="1304"/>
      <c r="H5" s="1305"/>
      <c r="I5" s="1306">
        <f t="shared" si="0"/>
        <v>0</v>
      </c>
    </row>
    <row r="6" spans="1:9">
      <c r="A6" s="3176"/>
      <c r="B6" s="3177" t="s">
        <v>1084</v>
      </c>
      <c r="C6" s="3177"/>
      <c r="D6" s="1303"/>
      <c r="E6" s="1301"/>
      <c r="F6" s="1304"/>
      <c r="G6" s="1304"/>
      <c r="H6" s="1305"/>
      <c r="I6" s="1306">
        <f t="shared" si="0"/>
        <v>0</v>
      </c>
    </row>
    <row r="7" spans="1:9">
      <c r="A7" s="3176"/>
      <c r="B7" s="3177" t="s">
        <v>1085</v>
      </c>
      <c r="C7" s="3177"/>
      <c r="D7" s="1303"/>
      <c r="E7" s="1301"/>
      <c r="F7" s="1304"/>
      <c r="G7" s="1304"/>
      <c r="H7" s="1305"/>
      <c r="I7" s="1306">
        <f t="shared" si="0"/>
        <v>0</v>
      </c>
    </row>
    <row r="8" spans="1:9">
      <c r="A8" s="3176"/>
      <c r="B8" s="3177" t="s">
        <v>1086</v>
      </c>
      <c r="C8" s="3177"/>
      <c r="D8" s="1303"/>
      <c r="E8" s="1301"/>
      <c r="F8" s="1304"/>
      <c r="G8" s="1304"/>
      <c r="H8" s="1305"/>
      <c r="I8" s="1306">
        <f t="shared" si="0"/>
        <v>0</v>
      </c>
    </row>
    <row r="9" spans="1:9">
      <c r="A9" s="3176"/>
      <c r="B9" s="3177" t="s">
        <v>1087</v>
      </c>
      <c r="C9" s="3177"/>
      <c r="D9" s="1303"/>
      <c r="E9" s="1301"/>
      <c r="F9" s="1304"/>
      <c r="G9" s="1304"/>
      <c r="H9" s="1305"/>
      <c r="I9" s="1306">
        <f t="shared" si="0"/>
        <v>0</v>
      </c>
    </row>
    <row r="10" spans="1:9">
      <c r="A10" s="3176"/>
      <c r="B10" s="3178" t="s">
        <v>1088</v>
      </c>
      <c r="C10" s="3178"/>
      <c r="D10" s="1307"/>
      <c r="E10" s="1307" t="e">
        <f>ROUND(D1*10000/D10/H9,0)</f>
        <v>#DIV/0!</v>
      </c>
      <c r="F10" s="1308"/>
      <c r="G10" s="1308"/>
      <c r="H10" s="1309"/>
      <c r="I10" s="1310">
        <f>SUM(I3:I9)</f>
        <v>0</v>
      </c>
    </row>
    <row r="11" spans="1:9" ht="15">
      <c r="A11" s="3176" t="s">
        <v>1089</v>
      </c>
      <c r="B11" s="3177" t="s">
        <v>1090</v>
      </c>
      <c r="C11" s="3177"/>
      <c r="D11" s="1303" t="s">
        <v>1091</v>
      </c>
      <c r="E11" s="1303" t="s">
        <v>1092</v>
      </c>
      <c r="F11" s="1304" t="s">
        <v>1093</v>
      </c>
      <c r="G11" s="1304" t="s">
        <v>1079</v>
      </c>
      <c r="H11" s="1311" t="s">
        <v>1094</v>
      </c>
      <c r="I11" s="1302" t="s">
        <v>1080</v>
      </c>
    </row>
    <row r="12" spans="1:9">
      <c r="A12" s="3176"/>
      <c r="B12" s="3177" t="s">
        <v>1095</v>
      </c>
      <c r="C12" s="3177"/>
      <c r="D12" s="1303"/>
      <c r="E12" s="1303"/>
      <c r="F12" s="1304"/>
      <c r="G12" s="1305"/>
      <c r="H12" s="1312"/>
      <c r="I12" s="1302">
        <f>ROUND(D12*E12*F12*G12/10000,0)</f>
        <v>0</v>
      </c>
    </row>
    <row r="13" spans="1:9">
      <c r="A13" s="3176"/>
      <c r="B13" s="3177" t="s">
        <v>1096</v>
      </c>
      <c r="C13" s="3177"/>
      <c r="D13" s="1303"/>
      <c r="E13" s="1303"/>
      <c r="F13" s="1304"/>
      <c r="G13" s="1305"/>
      <c r="H13" s="1312"/>
      <c r="I13" s="1302">
        <f>ROUND(D13*E13*F13*G13/10000,0)</f>
        <v>0</v>
      </c>
    </row>
    <row r="14" spans="1:9">
      <c r="A14" s="3176"/>
      <c r="B14" s="3177" t="s">
        <v>1097</v>
      </c>
      <c r="C14" s="3177"/>
      <c r="D14" s="1303"/>
      <c r="E14" s="1303"/>
      <c r="F14" s="1304"/>
      <c r="G14" s="1305"/>
      <c r="H14" s="1312"/>
      <c r="I14" s="1302">
        <f>ROUND(D14*E14*F14*G14/10000,0)</f>
        <v>0</v>
      </c>
    </row>
    <row r="15" spans="1:9">
      <c r="A15" s="3176"/>
      <c r="B15" s="3178" t="s">
        <v>1088</v>
      </c>
      <c r="C15" s="3178"/>
      <c r="D15" s="1307"/>
      <c r="E15" s="1307">
        <f>SUM(E12:E14)</f>
        <v>0</v>
      </c>
      <c r="F15" s="1308"/>
      <c r="G15" s="1305"/>
      <c r="H15" s="1312"/>
      <c r="I15" s="1313">
        <f>SUM(I12:I14)</f>
        <v>0</v>
      </c>
    </row>
    <row r="16" spans="1:9" ht="26">
      <c r="A16" s="3176" t="s">
        <v>1098</v>
      </c>
      <c r="B16" s="3177" t="s">
        <v>1099</v>
      </c>
      <c r="C16" s="3177"/>
      <c r="D16" s="1303" t="s">
        <v>1075</v>
      </c>
      <c r="E16" s="1314" t="s">
        <v>1100</v>
      </c>
      <c r="F16" s="1304" t="s">
        <v>1101</v>
      </c>
      <c r="G16" s="1305" t="s">
        <v>1079</v>
      </c>
      <c r="H16" s="1311" t="s">
        <v>1094</v>
      </c>
      <c r="I16" s="1302" t="s">
        <v>1080</v>
      </c>
    </row>
    <row r="17" spans="1:9" ht="15">
      <c r="A17" s="3176"/>
      <c r="B17" s="3177" t="s">
        <v>1102</v>
      </c>
      <c r="C17" s="3177"/>
      <c r="D17" s="1303"/>
      <c r="E17" s="1303"/>
      <c r="F17" s="1304"/>
      <c r="G17" s="1305"/>
      <c r="H17" s="1315"/>
      <c r="I17" s="1316">
        <f>ROUND(D17*E17*F17*G17/10000,0)</f>
        <v>0</v>
      </c>
    </row>
    <row r="18" spans="1:9" ht="15">
      <c r="A18" s="3176"/>
      <c r="B18" s="3177" t="s">
        <v>1103</v>
      </c>
      <c r="C18" s="3177"/>
      <c r="D18" s="1303"/>
      <c r="E18" s="1303"/>
      <c r="F18" s="1304"/>
      <c r="G18" s="1305"/>
      <c r="H18" s="1315"/>
      <c r="I18" s="1316">
        <f>ROUND(D18*E18*F18*G18/10000,0)</f>
        <v>0</v>
      </c>
    </row>
    <row r="19" spans="1:9" ht="15">
      <c r="A19" s="3176"/>
      <c r="B19" s="3177" t="s">
        <v>1104</v>
      </c>
      <c r="C19" s="3177"/>
      <c r="D19" s="1303"/>
      <c r="E19" s="1303"/>
      <c r="F19" s="1304"/>
      <c r="G19" s="1305"/>
      <c r="H19" s="1315"/>
      <c r="I19" s="1316">
        <f>ROUND(D19*E19*F19*G19/10000,0)</f>
        <v>0</v>
      </c>
    </row>
    <row r="20" spans="1:9">
      <c r="A20" s="3176"/>
      <c r="B20" s="3178" t="s">
        <v>1088</v>
      </c>
      <c r="C20" s="3178"/>
      <c r="D20" s="1307">
        <f>SUM(D17:D19)</f>
        <v>0</v>
      </c>
      <c r="E20" s="1307"/>
      <c r="F20" s="1308"/>
      <c r="G20" s="1305"/>
      <c r="H20" s="1312"/>
      <c r="I20" s="1313">
        <f>SUM(I17:I19)</f>
        <v>0</v>
      </c>
    </row>
    <row r="21" spans="1:9">
      <c r="A21" s="3176" t="s">
        <v>1105</v>
      </c>
      <c r="B21" s="3179"/>
      <c r="C21" s="3179"/>
      <c r="D21" s="3179"/>
      <c r="E21" s="3179"/>
      <c r="F21" s="3179"/>
      <c r="G21" s="3179"/>
      <c r="H21" s="1765">
        <v>0.1</v>
      </c>
      <c r="I21" s="1310">
        <f>ROUND(I10*H21,0)</f>
        <v>0</v>
      </c>
    </row>
    <row r="22" spans="1:9" ht="15">
      <c r="A22" s="3180" t="s">
        <v>1106</v>
      </c>
      <c r="B22" s="3181"/>
      <c r="C22" s="3182"/>
      <c r="D22" s="1317" t="s">
        <v>1107</v>
      </c>
      <c r="E22" s="1317" t="s">
        <v>1108</v>
      </c>
      <c r="F22" s="1318" t="s">
        <v>1109</v>
      </c>
      <c r="G22" s="1318" t="s">
        <v>1110</v>
      </c>
      <c r="H22" s="1311" t="s">
        <v>1111</v>
      </c>
      <c r="I22" s="1302" t="s">
        <v>1112</v>
      </c>
    </row>
    <row r="23" spans="1:9" ht="14.5" thickBot="1">
      <c r="A23" s="3183"/>
      <c r="B23" s="3184"/>
      <c r="C23" s="3185"/>
      <c r="D23" s="1319"/>
      <c r="E23" s="1319"/>
      <c r="F23" s="1319"/>
      <c r="G23" s="1320"/>
      <c r="H23" s="1321"/>
      <c r="I23" s="1322">
        <f>ROUND(E23*D23*F23*(1-G23)/10000,0)</f>
        <v>0</v>
      </c>
    </row>
    <row r="26" spans="1:9">
      <c r="A26" s="1323" t="s">
        <v>1113</v>
      </c>
      <c r="B26" s="1323"/>
      <c r="C26" s="1323"/>
      <c r="D26" s="1323"/>
      <c r="E26" s="3173">
        <f>C27-C30-C31-C32</f>
        <v>0</v>
      </c>
      <c r="F26" s="3173"/>
      <c r="G26" s="3173"/>
      <c r="H26" s="1737" t="s">
        <v>1335</v>
      </c>
    </row>
    <row r="27" spans="1:9">
      <c r="A27" s="1324">
        <v>1</v>
      </c>
      <c r="B27" s="1325" t="s">
        <v>1114</v>
      </c>
      <c r="C27" s="1325">
        <f>C28+C29</f>
        <v>0</v>
      </c>
      <c r="D27" s="1325"/>
      <c r="E27" s="3174"/>
      <c r="F27" s="3174"/>
      <c r="G27" s="3174"/>
    </row>
    <row r="28" spans="1:9">
      <c r="A28" s="1326" t="s">
        <v>1115</v>
      </c>
      <c r="B28" s="1325" t="s">
        <v>1116</v>
      </c>
      <c r="C28" s="1325"/>
      <c r="D28" s="1325"/>
      <c r="E28" s="3174"/>
      <c r="F28" s="3174"/>
      <c r="G28" s="317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5"/>
      <c r="F32" s="3175"/>
      <c r="G32" s="3175"/>
    </row>
    <row r="33" spans="1:7" hidden="1">
      <c r="A33" s="3170" t="s">
        <v>1125</v>
      </c>
      <c r="B33" s="3171"/>
      <c r="C33" s="3171"/>
      <c r="D33" s="3172"/>
      <c r="E33" s="3173"/>
      <c r="F33" s="3173"/>
      <c r="G33" s="3173"/>
    </row>
    <row r="34" spans="1:7" hidden="1">
      <c r="A34" s="1328">
        <v>1</v>
      </c>
      <c r="B34" s="1325" t="s">
        <v>1126</v>
      </c>
      <c r="C34" s="1325"/>
      <c r="D34" s="1325"/>
      <c r="E34" s="3174"/>
      <c r="F34" s="3174"/>
      <c r="G34" s="3174"/>
    </row>
    <row r="35" spans="1:7" hidden="1">
      <c r="A35" s="1328">
        <v>2</v>
      </c>
      <c r="B35" s="1325" t="s">
        <v>1127</v>
      </c>
      <c r="C35" s="1325"/>
      <c r="D35" s="1325"/>
      <c r="E35" s="3174"/>
      <c r="F35" s="3174"/>
      <c r="G35" s="3174"/>
    </row>
    <row r="36" spans="1:7" hidden="1">
      <c r="A36" s="1328">
        <v>3</v>
      </c>
      <c r="B36" s="1325" t="s">
        <v>1128</v>
      </c>
      <c r="C36" s="1325"/>
      <c r="D36" s="1325"/>
      <c r="E36" s="3174"/>
      <c r="F36" s="3174"/>
      <c r="G36" s="3174"/>
    </row>
    <row r="37" spans="1:7" hidden="1">
      <c r="A37" s="1328">
        <v>4</v>
      </c>
      <c r="B37" s="1325" t="s">
        <v>1129</v>
      </c>
      <c r="C37" s="1325"/>
      <c r="D37" s="1325"/>
      <c r="E37" s="3174"/>
      <c r="F37" s="3174"/>
      <c r="G37" s="3174"/>
    </row>
    <row r="38" spans="1:7" hidden="1">
      <c r="A38" s="3170" t="s">
        <v>1130</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56816.98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2534</v>
      </c>
      <c r="B4" s="402"/>
      <c r="C4" s="3209" t="s">
        <v>2535</v>
      </c>
      <c r="D4" s="3210"/>
      <c r="E4" s="3211" t="s">
        <v>2536</v>
      </c>
      <c r="F4" s="3212"/>
      <c r="G4" s="3209" t="s">
        <v>2537</v>
      </c>
      <c r="H4" s="3210"/>
      <c r="I4" s="3209" t="s">
        <v>2538</v>
      </c>
      <c r="J4" s="3210"/>
      <c r="K4" s="2598" t="s">
        <v>2539</v>
      </c>
      <c r="L4" s="1130"/>
      <c r="M4" s="1131"/>
      <c r="N4" s="1131"/>
      <c r="O4" s="1131"/>
      <c r="P4" s="3213" t="s">
        <v>2540</v>
      </c>
      <c r="Q4" s="3214"/>
      <c r="R4" s="3219" t="s">
        <v>2536</v>
      </c>
      <c r="S4" s="3220"/>
      <c r="T4" s="3219" t="s">
        <v>2537</v>
      </c>
      <c r="U4" s="3220"/>
      <c r="V4" s="3225" t="s">
        <v>2538</v>
      </c>
      <c r="W4" s="3225"/>
      <c r="X4" s="1813"/>
      <c r="Y4" s="3219" t="s">
        <v>2540</v>
      </c>
      <c r="Z4" s="3220"/>
      <c r="AA4" s="3206" t="s">
        <v>2536</v>
      </c>
      <c r="AB4" s="3206" t="s">
        <v>2537</v>
      </c>
      <c r="AC4" s="3206" t="s">
        <v>2538</v>
      </c>
    </row>
    <row r="5" spans="1:29">
      <c r="A5" s="404"/>
      <c r="B5" s="405"/>
      <c r="C5" s="3228" t="s">
        <v>2541</v>
      </c>
      <c r="D5" s="3229"/>
      <c r="E5" s="3235" t="s">
        <v>2542</v>
      </c>
      <c r="F5" s="3236"/>
      <c r="G5" s="3228" t="s">
        <v>2543</v>
      </c>
      <c r="H5" s="3229"/>
      <c r="I5" s="3228" t="s">
        <v>2544</v>
      </c>
      <c r="J5" s="3229"/>
      <c r="K5" s="2599"/>
      <c r="L5" s="1130"/>
      <c r="M5" s="1131"/>
      <c r="N5" s="1131"/>
      <c r="O5" s="1131"/>
      <c r="P5" s="3215"/>
      <c r="Q5" s="3216"/>
      <c r="R5" s="3221"/>
      <c r="S5" s="3222"/>
      <c r="T5" s="3221"/>
      <c r="U5" s="3222"/>
      <c r="V5" s="3225"/>
      <c r="W5" s="3225"/>
      <c r="X5" s="1813"/>
      <c r="Y5" s="3221"/>
      <c r="Z5" s="3222"/>
      <c r="AA5" s="3207"/>
      <c r="AB5" s="3207"/>
      <c r="AC5" s="3207"/>
    </row>
    <row r="6" spans="1:29" ht="15" thickBot="1">
      <c r="A6" s="406"/>
      <c r="B6" s="407"/>
      <c r="C6" s="3226" t="s">
        <v>2545</v>
      </c>
      <c r="D6" s="3227"/>
      <c r="E6" s="3233" t="s">
        <v>2545</v>
      </c>
      <c r="F6" s="3234"/>
      <c r="G6" s="3226" t="s">
        <v>2545</v>
      </c>
      <c r="H6" s="3227"/>
      <c r="I6" s="3226" t="s">
        <v>2545</v>
      </c>
      <c r="J6" s="3227"/>
      <c r="K6" s="2599" t="s">
        <v>2546</v>
      </c>
      <c r="L6" s="1130"/>
      <c r="M6" s="1131"/>
      <c r="N6" s="1131"/>
      <c r="O6" s="1131"/>
      <c r="P6" s="3217"/>
      <c r="Q6" s="3218"/>
      <c r="R6" s="3221"/>
      <c r="S6" s="3222"/>
      <c r="T6" s="3223"/>
      <c r="U6" s="3224"/>
      <c r="V6" s="3225"/>
      <c r="W6" s="3225"/>
      <c r="X6" s="1813"/>
      <c r="Y6" s="3223"/>
      <c r="Z6" s="3224"/>
      <c r="AA6" s="3208"/>
      <c r="AB6" s="3208"/>
      <c r="AC6" s="3208"/>
    </row>
    <row r="7" spans="1:29" s="117" customFormat="1" ht="14.5" thickBot="1">
      <c r="A7" s="408" t="s">
        <v>2547</v>
      </c>
      <c r="B7" s="409"/>
      <c r="C7" s="410">
        <f>'数据-取费表'!B2</f>
        <v>43900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0" t="s">
        <v>2548</v>
      </c>
      <c r="Q7" s="3232"/>
      <c r="R7" s="770" t="s">
        <v>23</v>
      </c>
      <c r="S7" s="771">
        <f t="shared" ref="S7:S15" si="0">F7</f>
        <v>0</v>
      </c>
      <c r="T7" s="770" t="s">
        <v>23</v>
      </c>
      <c r="U7" s="771">
        <f t="shared" ref="U7:U15" si="1">H7</f>
        <v>0</v>
      </c>
      <c r="V7" s="770" t="s">
        <v>23</v>
      </c>
      <c r="W7" s="771">
        <f t="shared" ref="W7:W15" si="2">J7</f>
        <v>0</v>
      </c>
      <c r="X7" s="772"/>
      <c r="Y7" s="3230" t="s">
        <v>2548</v>
      </c>
      <c r="Z7" s="3231"/>
      <c r="AA7" s="773" t="e">
        <f>D7/F7</f>
        <v>#DIV/0!</v>
      </c>
      <c r="AB7" s="773" t="e">
        <f>D7/H7</f>
        <v>#DIV/0!</v>
      </c>
      <c r="AC7" s="773" t="e">
        <f>D7/J7</f>
        <v>#DIV/0!</v>
      </c>
    </row>
    <row r="8" spans="1:29" s="117" customFormat="1" ht="14.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0" t="s">
        <v>2551</v>
      </c>
      <c r="Q8" s="3231"/>
      <c r="R8" s="770" t="s">
        <v>23</v>
      </c>
      <c r="S8" s="771">
        <f t="shared" si="0"/>
        <v>0</v>
      </c>
      <c r="T8" s="770" t="s">
        <v>23</v>
      </c>
      <c r="U8" s="771">
        <f t="shared" si="1"/>
        <v>0</v>
      </c>
      <c r="V8" s="770" t="s">
        <v>23</v>
      </c>
      <c r="W8" s="771">
        <f t="shared" si="2"/>
        <v>0</v>
      </c>
      <c r="X8" s="772"/>
      <c r="Y8" s="3230" t="s">
        <v>2551</v>
      </c>
      <c r="Z8" s="323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05"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95"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05"/>
      <c r="Q12" s="1795">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05"/>
      <c r="Q13" s="1795">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05"/>
      <c r="Q14" s="1795">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8">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3" t="s">
        <v>2559</v>
      </c>
      <c r="Q15" s="1810" t="str">
        <f t="shared" si="6"/>
        <v>居住社区成熟度</v>
      </c>
      <c r="R15" s="774" t="s">
        <v>21</v>
      </c>
      <c r="S15" s="775">
        <f t="shared" si="0"/>
        <v>100</v>
      </c>
      <c r="T15" s="774" t="s">
        <v>21</v>
      </c>
      <c r="U15" s="775">
        <f t="shared" si="1"/>
        <v>100</v>
      </c>
      <c r="V15" s="774" t="s">
        <v>21</v>
      </c>
      <c r="W15" s="775">
        <f t="shared" si="2"/>
        <v>100</v>
      </c>
      <c r="X15" s="1813"/>
      <c r="Y15" s="3196" t="s">
        <v>2559</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04"/>
      <c r="Q16" s="1810"/>
      <c r="R16" s="774"/>
      <c r="S16" s="775"/>
      <c r="T16" s="774"/>
      <c r="U16" s="775"/>
      <c r="V16" s="774"/>
      <c r="W16" s="775"/>
      <c r="X16" s="1813"/>
      <c r="Y16" s="3197"/>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4"/>
      <c r="Q17" s="1810" t="str">
        <f>B17</f>
        <v>交通便捷度</v>
      </c>
      <c r="R17" s="774" t="s">
        <v>21</v>
      </c>
      <c r="S17" s="775">
        <f>F17</f>
        <v>100</v>
      </c>
      <c r="T17" s="774" t="s">
        <v>21</v>
      </c>
      <c r="U17" s="775">
        <f>H17</f>
        <v>100</v>
      </c>
      <c r="V17" s="774" t="s">
        <v>21</v>
      </c>
      <c r="W17" s="775">
        <f>J17</f>
        <v>100</v>
      </c>
      <c r="X17" s="1813"/>
      <c r="Y17" s="3197"/>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04"/>
      <c r="Q18" s="1810"/>
      <c r="R18" s="774"/>
      <c r="S18" s="775"/>
      <c r="T18" s="774"/>
      <c r="U18" s="775"/>
      <c r="V18" s="774"/>
      <c r="W18" s="775"/>
      <c r="X18" s="1813"/>
      <c r="Y18" s="3197"/>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4"/>
      <c r="Q19" s="1810" t="str">
        <f>B19</f>
        <v>公共配套设施</v>
      </c>
      <c r="R19" s="774" t="s">
        <v>21</v>
      </c>
      <c r="S19" s="775">
        <f>F19</f>
        <v>100</v>
      </c>
      <c r="T19" s="774" t="s">
        <v>21</v>
      </c>
      <c r="U19" s="775">
        <f>H19</f>
        <v>100</v>
      </c>
      <c r="V19" s="774" t="s">
        <v>21</v>
      </c>
      <c r="W19" s="775">
        <f>J19</f>
        <v>100</v>
      </c>
      <c r="X19" s="1813"/>
      <c r="Y19" s="3197"/>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04"/>
      <c r="Q20" s="1810"/>
      <c r="R20" s="774"/>
      <c r="S20" s="775"/>
      <c r="T20" s="774"/>
      <c r="U20" s="775"/>
      <c r="V20" s="774"/>
      <c r="W20" s="775"/>
      <c r="X20" s="1813"/>
      <c r="Y20" s="3197"/>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04"/>
      <c r="Q22" s="1810"/>
      <c r="R22" s="774"/>
      <c r="S22" s="775"/>
      <c r="T22" s="774"/>
      <c r="U22" s="775"/>
      <c r="V22" s="774"/>
      <c r="W22" s="775"/>
      <c r="X22" s="1813"/>
      <c r="Y22" s="3197"/>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4"/>
      <c r="Q23" s="1810" t="str">
        <f>B23</f>
        <v>自然及人文环境</v>
      </c>
      <c r="R23" s="774" t="s">
        <v>21</v>
      </c>
      <c r="S23" s="775">
        <f>F23</f>
        <v>100</v>
      </c>
      <c r="T23" s="774" t="s">
        <v>21</v>
      </c>
      <c r="U23" s="775">
        <f>H23</f>
        <v>100</v>
      </c>
      <c r="V23" s="774" t="s">
        <v>21</v>
      </c>
      <c r="W23" s="775">
        <f>J23</f>
        <v>100</v>
      </c>
      <c r="X23" s="1813"/>
      <c r="Y23" s="3197"/>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04"/>
      <c r="Q24" s="1810"/>
      <c r="R24" s="774"/>
      <c r="S24" s="775"/>
      <c r="T24" s="774"/>
      <c r="U24" s="775"/>
      <c r="V24" s="774"/>
      <c r="W24" s="775"/>
      <c r="X24" s="1813"/>
      <c r="Y24" s="3197"/>
      <c r="Z24" s="1814"/>
      <c r="AA24" s="1811">
        <v>1</v>
      </c>
      <c r="AB24" s="1811">
        <v>1</v>
      </c>
      <c r="AC24" s="1811">
        <v>1</v>
      </c>
    </row>
    <row r="25" spans="1:29" ht="15.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0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7"/>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04"/>
      <c r="Q26" s="1810" t="str">
        <f t="shared" si="11"/>
        <v>朝向</v>
      </c>
      <c r="R26" s="774" t="s">
        <v>21</v>
      </c>
      <c r="S26" s="775">
        <f t="shared" si="12"/>
        <v>100</v>
      </c>
      <c r="T26" s="774" t="s">
        <v>21</v>
      </c>
      <c r="U26" s="775">
        <f t="shared" si="13"/>
        <v>100</v>
      </c>
      <c r="V26" s="774" t="s">
        <v>21</v>
      </c>
      <c r="W26" s="775">
        <f t="shared" si="14"/>
        <v>100</v>
      </c>
      <c r="X26" s="1813"/>
      <c r="Y26" s="3197"/>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04"/>
      <c r="Q27" s="1795">
        <f t="shared" si="11"/>
        <v>111</v>
      </c>
      <c r="R27" s="770" t="s">
        <v>21</v>
      </c>
      <c r="S27" s="771">
        <f t="shared" si="12"/>
        <v>100</v>
      </c>
      <c r="T27" s="770" t="s">
        <v>21</v>
      </c>
      <c r="U27" s="771">
        <f t="shared" si="13"/>
        <v>100</v>
      </c>
      <c r="V27" s="770" t="s">
        <v>21</v>
      </c>
      <c r="W27" s="771">
        <f t="shared" si="14"/>
        <v>100</v>
      </c>
      <c r="X27" s="772"/>
      <c r="Y27" s="3197"/>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04"/>
      <c r="Q28" s="1810">
        <f t="shared" si="11"/>
        <v>111</v>
      </c>
      <c r="R28" s="774" t="s">
        <v>21</v>
      </c>
      <c r="S28" s="775">
        <f t="shared" si="12"/>
        <v>100</v>
      </c>
      <c r="T28" s="774" t="s">
        <v>21</v>
      </c>
      <c r="U28" s="775">
        <f t="shared" si="13"/>
        <v>100</v>
      </c>
      <c r="V28" s="774" t="s">
        <v>21</v>
      </c>
      <c r="W28" s="775">
        <f t="shared" si="14"/>
        <v>100</v>
      </c>
      <c r="X28" s="1813"/>
      <c r="Y28" s="3197"/>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04"/>
      <c r="Q29" s="1810">
        <f t="shared" si="11"/>
        <v>111</v>
      </c>
      <c r="R29" s="774" t="s">
        <v>21</v>
      </c>
      <c r="S29" s="775">
        <f t="shared" si="12"/>
        <v>100</v>
      </c>
      <c r="T29" s="774" t="s">
        <v>21</v>
      </c>
      <c r="U29" s="775">
        <f t="shared" si="13"/>
        <v>100</v>
      </c>
      <c r="V29" s="774" t="s">
        <v>21</v>
      </c>
      <c r="W29" s="775">
        <f t="shared" si="14"/>
        <v>100</v>
      </c>
      <c r="X29" s="1813"/>
      <c r="Y29" s="3197"/>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04"/>
      <c r="Q30" s="1810">
        <f t="shared" si="11"/>
        <v>111</v>
      </c>
      <c r="R30" s="774" t="s">
        <v>21</v>
      </c>
      <c r="S30" s="775">
        <f t="shared" si="12"/>
        <v>100</v>
      </c>
      <c r="T30" s="774" t="s">
        <v>21</v>
      </c>
      <c r="U30" s="775">
        <f t="shared" si="13"/>
        <v>100</v>
      </c>
      <c r="V30" s="774" t="s">
        <v>21</v>
      </c>
      <c r="W30" s="775">
        <f t="shared" si="14"/>
        <v>100</v>
      </c>
      <c r="X30" s="1813"/>
      <c r="Y30" s="3197"/>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04"/>
      <c r="Q31" s="1810">
        <f t="shared" si="11"/>
        <v>111</v>
      </c>
      <c r="R31" s="774" t="s">
        <v>21</v>
      </c>
      <c r="S31" s="775">
        <f t="shared" si="12"/>
        <v>100</v>
      </c>
      <c r="T31" s="774" t="s">
        <v>21</v>
      </c>
      <c r="U31" s="775">
        <f t="shared" si="13"/>
        <v>100</v>
      </c>
      <c r="V31" s="774" t="s">
        <v>21</v>
      </c>
      <c r="W31" s="775">
        <f t="shared" si="14"/>
        <v>100</v>
      </c>
      <c r="X31" s="1813"/>
      <c r="Y31" s="3197"/>
      <c r="Z31" s="1814">
        <f t="shared" si="18"/>
        <v>111</v>
      </c>
      <c r="AA31" s="1811">
        <f t="shared" si="15"/>
        <v>1</v>
      </c>
      <c r="AB31" s="1811">
        <f t="shared" si="16"/>
        <v>1</v>
      </c>
      <c r="AC31" s="1811">
        <f t="shared" si="17"/>
        <v>1</v>
      </c>
    </row>
    <row r="32" spans="1:29" ht="15.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98" t="s">
        <v>2564</v>
      </c>
      <c r="Q32" s="1810" t="str">
        <f t="shared" si="11"/>
        <v>建筑类型</v>
      </c>
      <c r="R32" s="774" t="s">
        <v>21</v>
      </c>
      <c r="S32" s="775">
        <f t="shared" si="12"/>
        <v>100</v>
      </c>
      <c r="T32" s="774" t="s">
        <v>21</v>
      </c>
      <c r="U32" s="775">
        <f t="shared" si="13"/>
        <v>100</v>
      </c>
      <c r="V32" s="774" t="s">
        <v>21</v>
      </c>
      <c r="W32" s="775">
        <f t="shared" si="14"/>
        <v>100</v>
      </c>
      <c r="X32" s="1813"/>
      <c r="Y32" s="3201"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1" t="e">
        <f t="shared" si="15"/>
        <v>#N/A</v>
      </c>
      <c r="AB33" s="1811" t="e">
        <f t="shared" si="16"/>
        <v>#N/A</v>
      </c>
      <c r="AC33" s="1811" t="e">
        <f t="shared" si="17"/>
        <v>#N/A</v>
      </c>
    </row>
    <row r="34" spans="1:29" ht="15.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99"/>
      <c r="Q34" s="1810" t="str">
        <f t="shared" si="11"/>
        <v>建筑结构</v>
      </c>
      <c r="R34" s="774" t="s">
        <v>21</v>
      </c>
      <c r="S34" s="775">
        <f t="shared" si="12"/>
        <v>100</v>
      </c>
      <c r="T34" s="774" t="s">
        <v>21</v>
      </c>
      <c r="U34" s="775">
        <f t="shared" si="13"/>
        <v>100</v>
      </c>
      <c r="V34" s="774" t="s">
        <v>21</v>
      </c>
      <c r="W34" s="775">
        <f t="shared" si="14"/>
        <v>100</v>
      </c>
      <c r="X34" s="1813"/>
      <c r="Y34" s="3201"/>
      <c r="Z34" s="1814" t="str">
        <f t="shared" si="18"/>
        <v>建筑结构</v>
      </c>
      <c r="AA34" s="1811">
        <f t="shared" si="15"/>
        <v>1</v>
      </c>
      <c r="AB34" s="1811">
        <f t="shared" si="16"/>
        <v>1</v>
      </c>
      <c r="AC34" s="1811">
        <f t="shared" si="17"/>
        <v>1</v>
      </c>
    </row>
    <row r="35" spans="1:29" ht="15.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99"/>
      <c r="Q35" s="1810" t="str">
        <f t="shared" si="11"/>
        <v>建筑品质</v>
      </c>
      <c r="R35" s="774" t="s">
        <v>21</v>
      </c>
      <c r="S35" s="775">
        <f t="shared" si="12"/>
        <v>100</v>
      </c>
      <c r="T35" s="774" t="s">
        <v>21</v>
      </c>
      <c r="U35" s="775">
        <f t="shared" si="13"/>
        <v>100</v>
      </c>
      <c r="V35" s="774" t="s">
        <v>21</v>
      </c>
      <c r="W35" s="775">
        <f t="shared" si="14"/>
        <v>100</v>
      </c>
      <c r="X35" s="1813"/>
      <c r="Y35" s="3201"/>
      <c r="Z35" s="1814" t="str">
        <f t="shared" si="18"/>
        <v>建筑品质</v>
      </c>
      <c r="AA35" s="1811">
        <f t="shared" si="15"/>
        <v>1</v>
      </c>
      <c r="AB35" s="1811">
        <f t="shared" si="16"/>
        <v>1</v>
      </c>
      <c r="AC35" s="1811">
        <f t="shared" si="17"/>
        <v>1</v>
      </c>
    </row>
    <row r="36" spans="1:29" ht="15.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99"/>
      <c r="Q36" s="1810" t="str">
        <f t="shared" si="11"/>
        <v>公共部分装修</v>
      </c>
      <c r="R36" s="774" t="s">
        <v>21</v>
      </c>
      <c r="S36" s="775">
        <f t="shared" si="12"/>
        <v>100</v>
      </c>
      <c r="T36" s="774" t="s">
        <v>21</v>
      </c>
      <c r="U36" s="775">
        <f t="shared" si="13"/>
        <v>100</v>
      </c>
      <c r="V36" s="774" t="s">
        <v>21</v>
      </c>
      <c r="W36" s="775">
        <f t="shared" si="14"/>
        <v>100</v>
      </c>
      <c r="X36" s="1813"/>
      <c r="Y36" s="3201"/>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9"/>
      <c r="Q37" s="1795"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99" t="s">
        <v>2564</v>
      </c>
      <c r="Q38" s="1810" t="str">
        <f t="shared" si="11"/>
        <v>物业管理</v>
      </c>
      <c r="R38" s="774" t="s">
        <v>21</v>
      </c>
      <c r="S38" s="775">
        <f t="shared" si="12"/>
        <v>100</v>
      </c>
      <c r="T38" s="774" t="s">
        <v>21</v>
      </c>
      <c r="U38" s="775">
        <f t="shared" si="13"/>
        <v>100</v>
      </c>
      <c r="V38" s="774" t="s">
        <v>21</v>
      </c>
      <c r="W38" s="775">
        <f t="shared" si="14"/>
        <v>100</v>
      </c>
      <c r="X38" s="1813"/>
      <c r="Y38" s="3201" t="s">
        <v>2564</v>
      </c>
      <c r="Z38" s="1814" t="str">
        <f t="shared" si="18"/>
        <v>物业管理</v>
      </c>
      <c r="AA38" s="1811">
        <f t="shared" si="15"/>
        <v>1</v>
      </c>
      <c r="AB38" s="1811">
        <f t="shared" si="16"/>
        <v>1</v>
      </c>
      <c r="AC38" s="1811">
        <f t="shared" si="17"/>
        <v>1</v>
      </c>
    </row>
    <row r="39" spans="1:29" ht="15.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99"/>
      <c r="Q39" s="1810" t="str">
        <f t="shared" si="11"/>
        <v>市政基础设施</v>
      </c>
      <c r="R39" s="774" t="s">
        <v>21</v>
      </c>
      <c r="S39" s="775">
        <f t="shared" si="12"/>
        <v>100</v>
      </c>
      <c r="T39" s="774" t="s">
        <v>21</v>
      </c>
      <c r="U39" s="775">
        <f t="shared" si="13"/>
        <v>100</v>
      </c>
      <c r="V39" s="774" t="s">
        <v>21</v>
      </c>
      <c r="W39" s="775">
        <f t="shared" si="14"/>
        <v>100</v>
      </c>
      <c r="X39" s="1813"/>
      <c r="Y39" s="3201"/>
      <c r="Z39" s="1814" t="str">
        <f t="shared" si="18"/>
        <v>市政基础设施</v>
      </c>
      <c r="AA39" s="1811">
        <f t="shared" si="15"/>
        <v>1</v>
      </c>
      <c r="AB39" s="1811">
        <f t="shared" si="16"/>
        <v>1</v>
      </c>
      <c r="AC39" s="1811">
        <f t="shared" si="17"/>
        <v>1</v>
      </c>
    </row>
    <row r="40" spans="1:29" ht="15.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99"/>
      <c r="Q40" s="1810" t="str">
        <f t="shared" si="11"/>
        <v>房型</v>
      </c>
      <c r="R40" s="774" t="s">
        <v>21</v>
      </c>
      <c r="S40" s="775">
        <f t="shared" si="12"/>
        <v>100</v>
      </c>
      <c r="T40" s="774" t="s">
        <v>21</v>
      </c>
      <c r="U40" s="775">
        <f t="shared" si="13"/>
        <v>100</v>
      </c>
      <c r="V40" s="774" t="s">
        <v>21</v>
      </c>
      <c r="W40" s="775">
        <f t="shared" si="14"/>
        <v>100</v>
      </c>
      <c r="X40" s="1813"/>
      <c r="Y40" s="3201"/>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1">
        <f t="shared" si="15"/>
        <v>1</v>
      </c>
      <c r="AB41" s="1811">
        <f t="shared" si="16"/>
        <v>1</v>
      </c>
      <c r="AC41" s="1811">
        <f t="shared" si="17"/>
        <v>1</v>
      </c>
    </row>
    <row r="42" spans="1:29" ht="15.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99"/>
      <c r="Q42" s="1810" t="str">
        <f t="shared" si="11"/>
        <v>内部装修</v>
      </c>
      <c r="R42" s="774" t="s">
        <v>21</v>
      </c>
      <c r="S42" s="775">
        <f t="shared" si="12"/>
        <v>100</v>
      </c>
      <c r="T42" s="774" t="s">
        <v>21</v>
      </c>
      <c r="U42" s="775">
        <f t="shared" si="13"/>
        <v>100</v>
      </c>
      <c r="V42" s="774" t="s">
        <v>21</v>
      </c>
      <c r="W42" s="775">
        <f t="shared" si="14"/>
        <v>100</v>
      </c>
      <c r="X42" s="1813"/>
      <c r="Y42" s="3201"/>
      <c r="Z42" s="1814" t="str">
        <f t="shared" si="18"/>
        <v>内部装修</v>
      </c>
      <c r="AA42" s="1811">
        <f t="shared" si="15"/>
        <v>1</v>
      </c>
      <c r="AB42" s="1811">
        <f t="shared" si="16"/>
        <v>1</v>
      </c>
      <c r="AC42" s="1811">
        <f t="shared" si="17"/>
        <v>1</v>
      </c>
    </row>
    <row r="43" spans="1:29" ht="2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99"/>
      <c r="Q43" s="1810" t="str">
        <f t="shared" si="11"/>
        <v>内部装修维护情况</v>
      </c>
      <c r="R43" s="774" t="s">
        <v>21</v>
      </c>
      <c r="S43" s="775">
        <f t="shared" si="12"/>
        <v>100</v>
      </c>
      <c r="T43" s="774" t="s">
        <v>21</v>
      </c>
      <c r="U43" s="775">
        <f t="shared" si="13"/>
        <v>100</v>
      </c>
      <c r="V43" s="774" t="s">
        <v>21</v>
      </c>
      <c r="W43" s="775">
        <f t="shared" si="14"/>
        <v>100</v>
      </c>
      <c r="X43" s="1813"/>
      <c r="Y43" s="3201"/>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99"/>
      <c r="Q44" s="1795">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99"/>
      <c r="Q45" s="1810">
        <f t="shared" si="11"/>
        <v>111</v>
      </c>
      <c r="R45" s="774" t="s">
        <v>21</v>
      </c>
      <c r="S45" s="775">
        <f t="shared" si="12"/>
        <v>100</v>
      </c>
      <c r="T45" s="774" t="s">
        <v>21</v>
      </c>
      <c r="U45" s="775">
        <f t="shared" si="13"/>
        <v>100</v>
      </c>
      <c r="V45" s="774" t="s">
        <v>21</v>
      </c>
      <c r="W45" s="775">
        <f t="shared" si="14"/>
        <v>100</v>
      </c>
      <c r="X45" s="1813"/>
      <c r="Y45" s="3201"/>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0"/>
      <c r="Q46" s="1810">
        <f t="shared" si="11"/>
        <v>111</v>
      </c>
      <c r="R46" s="774" t="s">
        <v>20</v>
      </c>
      <c r="S46" s="775">
        <f t="shared" si="12"/>
        <v>100</v>
      </c>
      <c r="T46" s="774" t="s">
        <v>20</v>
      </c>
      <c r="U46" s="775">
        <f t="shared" si="13"/>
        <v>100</v>
      </c>
      <c r="V46" s="774" t="s">
        <v>20</v>
      </c>
      <c r="W46" s="775">
        <f t="shared" si="14"/>
        <v>100</v>
      </c>
      <c r="X46" s="1813"/>
      <c r="Y46" s="3202"/>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3"/>
      <c r="L47" s="1143"/>
      <c r="M47" s="1144"/>
      <c r="N47" s="1131"/>
      <c r="O47" s="1144"/>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5"/>
      <c r="L49" s="1143"/>
      <c r="M49" s="1144"/>
      <c r="N49" s="1144"/>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8"/>
      <c r="Q57" s="504"/>
    </row>
    <row r="58" spans="1:29" s="508" customFormat="1">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2585</v>
      </c>
      <c r="B61" s="510"/>
      <c r="C61" s="522" t="s">
        <v>2586</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2610</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2614</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2615</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2616</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2617</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2618</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2621</v>
      </c>
    </row>
    <row r="137" spans="1:17" ht="15.5">
      <c r="B137" s="2640" t="s">
        <v>2622</v>
      </c>
      <c r="C137" s="2641"/>
      <c r="D137" s="2641"/>
      <c r="E137" s="2641"/>
      <c r="F137" s="2641"/>
      <c r="G137" s="2642"/>
      <c r="H137" s="2643"/>
      <c r="I137" s="2644" t="s">
        <v>2623</v>
      </c>
      <c r="J137" s="2641"/>
      <c r="K137" s="2645"/>
    </row>
    <row r="138" spans="1:17" ht="15.5">
      <c r="B138" s="2646"/>
      <c r="C138" s="146" t="s">
        <v>2624</v>
      </c>
      <c r="D138" s="146" t="s">
        <v>2625</v>
      </c>
      <c r="E138" s="2647" t="s">
        <v>2626</v>
      </c>
      <c r="F138" s="2648" t="s">
        <v>2627</v>
      </c>
      <c r="G138" s="146" t="s">
        <v>2625</v>
      </c>
      <c r="H138" s="147" t="s">
        <v>2626</v>
      </c>
      <c r="I138" s="2649"/>
      <c r="J138" s="146" t="s">
        <v>2628</v>
      </c>
      <c r="K138" s="147" t="s">
        <v>2629</v>
      </c>
    </row>
    <row r="139" spans="1:17" ht="15.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5">
      <c r="B140" s="1090">
        <v>5</v>
      </c>
      <c r="C140" s="1091">
        <v>100</v>
      </c>
      <c r="D140" s="1091"/>
      <c r="E140" s="1092"/>
      <c r="F140" s="1093">
        <v>102</v>
      </c>
      <c r="G140" s="1091"/>
      <c r="H140" s="1094"/>
      <c r="I140" s="2652" t="s">
        <v>2632</v>
      </c>
      <c r="J140" s="315">
        <f>ROUNDUP((J139-1)/2,0)</f>
        <v>10</v>
      </c>
      <c r="K140" s="1095">
        <v>100</v>
      </c>
    </row>
    <row r="141" spans="1:17" ht="15.5">
      <c r="B141" s="1090">
        <v>4</v>
      </c>
      <c r="C141" s="1091">
        <v>102</v>
      </c>
      <c r="D141" s="1091"/>
      <c r="E141" s="1092"/>
      <c r="F141" s="1093">
        <v>101.5</v>
      </c>
      <c r="G141" s="1091"/>
      <c r="H141" s="1094"/>
      <c r="I141" s="2652" t="s">
        <v>2633</v>
      </c>
      <c r="J141" s="315">
        <v>1</v>
      </c>
      <c r="K141" s="1096">
        <f>ROUND(100+(J141-J140)*K139*100,1)</f>
        <v>96.4</v>
      </c>
    </row>
    <row r="142" spans="1:17" ht="15.5">
      <c r="B142" s="1090">
        <v>3</v>
      </c>
      <c r="C142" s="1091">
        <v>103</v>
      </c>
      <c r="D142" s="1091"/>
      <c r="E142" s="1092"/>
      <c r="F142" s="1093">
        <v>101</v>
      </c>
      <c r="G142" s="1091"/>
      <c r="H142" s="1094"/>
      <c r="I142" s="2652" t="s">
        <v>2634</v>
      </c>
      <c r="J142" s="315">
        <f>J139</f>
        <v>20</v>
      </c>
      <c r="K142" s="1097">
        <v>95</v>
      </c>
    </row>
    <row r="143" spans="1:17" ht="15.5">
      <c r="B143" s="1090">
        <v>2</v>
      </c>
      <c r="C143" s="1091">
        <v>100</v>
      </c>
      <c r="D143" s="1091"/>
      <c r="E143" s="1092"/>
      <c r="F143" s="1093">
        <v>100.5</v>
      </c>
      <c r="G143" s="1091"/>
      <c r="H143" s="1094"/>
      <c r="I143" s="2652" t="s">
        <v>2635</v>
      </c>
      <c r="J143" s="1091">
        <v>15</v>
      </c>
      <c r="K143" s="1096">
        <f>ROUND(100+(J143-J140)*K139*100,1)</f>
        <v>102</v>
      </c>
    </row>
    <row r="144" spans="1:17" ht="15.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6"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56816.98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25" t="s">
        <v>2647</v>
      </c>
      <c r="AC4" s="3206" t="s">
        <v>2648</v>
      </c>
    </row>
    <row r="5" spans="1:29">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25"/>
      <c r="AC5" s="3207"/>
    </row>
    <row r="6" spans="1:29" ht="15" thickBot="1">
      <c r="A6" s="406"/>
      <c r="B6" s="407"/>
      <c r="C6" s="3226" t="s">
        <v>2545</v>
      </c>
      <c r="D6" s="3227"/>
      <c r="E6" s="3233" t="s">
        <v>2545</v>
      </c>
      <c r="F6" s="3234"/>
      <c r="G6" s="3226" t="s">
        <v>2545</v>
      </c>
      <c r="H6" s="3227"/>
      <c r="I6" s="3226" t="s">
        <v>2545</v>
      </c>
      <c r="J6" s="3227"/>
      <c r="K6" s="610" t="s">
        <v>2546</v>
      </c>
      <c r="L6" s="1130"/>
      <c r="M6" s="1131"/>
      <c r="N6" s="1131"/>
      <c r="O6" s="1131"/>
      <c r="P6" s="3217"/>
      <c r="Q6" s="3218"/>
      <c r="R6" s="3221"/>
      <c r="S6" s="3222"/>
      <c r="T6" s="3223"/>
      <c r="U6" s="3224"/>
      <c r="V6" s="3225"/>
      <c r="W6" s="3225"/>
      <c r="X6" s="1813"/>
      <c r="Y6" s="3223"/>
      <c r="Z6" s="3224"/>
      <c r="AA6" s="3208"/>
      <c r="AB6" s="3225"/>
      <c r="AC6" s="3208"/>
    </row>
    <row r="7" spans="1:29" s="117" customFormat="1" ht="14.5" thickBot="1">
      <c r="A7" s="408" t="s">
        <v>2547</v>
      </c>
      <c r="B7" s="409"/>
      <c r="C7" s="410">
        <f>'数据-取费表'!B2</f>
        <v>43900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0" t="s">
        <v>2548</v>
      </c>
      <c r="Q7" s="3232"/>
      <c r="R7" s="770" t="s">
        <v>17</v>
      </c>
      <c r="S7" s="771">
        <f t="shared" ref="S7:S15" si="0">F7</f>
        <v>0</v>
      </c>
      <c r="T7" s="770" t="s">
        <v>17</v>
      </c>
      <c r="U7" s="771">
        <f t="shared" ref="U7:U15" si="1">H7</f>
        <v>0</v>
      </c>
      <c r="V7" s="770" t="s">
        <v>17</v>
      </c>
      <c r="W7" s="771">
        <f t="shared" ref="W7:W15" si="2">J7</f>
        <v>0</v>
      </c>
      <c r="X7" s="772"/>
      <c r="Y7" s="3230" t="s">
        <v>2548</v>
      </c>
      <c r="Z7" s="3231"/>
      <c r="AA7" s="773" t="e">
        <f>D7/F7</f>
        <v>#DIV/0!</v>
      </c>
      <c r="AB7" s="773" t="e">
        <f>D7/H7</f>
        <v>#DIV/0!</v>
      </c>
      <c r="AC7" s="773" t="e">
        <f>D7/J7</f>
        <v>#DIV/0!</v>
      </c>
    </row>
    <row r="8" spans="1:29" s="117" customFormat="1" ht="14.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0" t="s">
        <v>2551</v>
      </c>
      <c r="Q8" s="3231"/>
      <c r="R8" s="770" t="s">
        <v>17</v>
      </c>
      <c r="S8" s="771">
        <f t="shared" si="0"/>
        <v>0</v>
      </c>
      <c r="T8" s="770" t="s">
        <v>17</v>
      </c>
      <c r="U8" s="771">
        <f t="shared" si="1"/>
        <v>0</v>
      </c>
      <c r="V8" s="770" t="s">
        <v>17</v>
      </c>
      <c r="W8" s="771">
        <f t="shared" si="2"/>
        <v>0</v>
      </c>
      <c r="X8" s="772"/>
      <c r="Y8" s="3230" t="s">
        <v>2551</v>
      </c>
      <c r="Z8" s="3231"/>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0">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3" t="s">
        <v>2559</v>
      </c>
      <c r="Q15" s="1810" t="str">
        <f t="shared" si="6"/>
        <v>商业繁华度</v>
      </c>
      <c r="R15" s="774" t="s">
        <v>17</v>
      </c>
      <c r="S15" s="775">
        <f t="shared" si="0"/>
        <v>100</v>
      </c>
      <c r="T15" s="774" t="s">
        <v>17</v>
      </c>
      <c r="U15" s="775">
        <f t="shared" si="1"/>
        <v>100</v>
      </c>
      <c r="V15" s="774" t="s">
        <v>17</v>
      </c>
      <c r="W15" s="775">
        <f t="shared" si="2"/>
        <v>100</v>
      </c>
      <c r="X15" s="1813"/>
      <c r="Y15" s="3196"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04"/>
      <c r="Q16" s="1810"/>
      <c r="R16" s="774"/>
      <c r="S16" s="775"/>
      <c r="T16" s="774"/>
      <c r="U16" s="775"/>
      <c r="V16" s="774"/>
      <c r="W16" s="775"/>
      <c r="X16" s="1813"/>
      <c r="Y16" s="3197"/>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4"/>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04"/>
      <c r="Q18" s="1810"/>
      <c r="R18" s="774"/>
      <c r="S18" s="775"/>
      <c r="T18" s="774"/>
      <c r="U18" s="775"/>
      <c r="V18" s="774"/>
      <c r="W18" s="775"/>
      <c r="X18" s="1813"/>
      <c r="Y18" s="3197"/>
      <c r="Z18" s="1814"/>
      <c r="AA18" s="1811">
        <v>1</v>
      </c>
      <c r="AB18" s="1811">
        <v>1</v>
      </c>
      <c r="AC18" s="1811">
        <v>1</v>
      </c>
    </row>
    <row r="19" spans="1:29" ht="42">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4"/>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04"/>
      <c r="Q20" s="1810"/>
      <c r="R20" s="774"/>
      <c r="S20" s="775"/>
      <c r="T20" s="774"/>
      <c r="U20" s="775"/>
      <c r="V20" s="774"/>
      <c r="W20" s="775"/>
      <c r="X20" s="1813"/>
      <c r="Y20" s="3197"/>
      <c r="Z20" s="1814"/>
      <c r="AA20" s="1811">
        <v>1</v>
      </c>
      <c r="AB20" s="1811">
        <v>1</v>
      </c>
      <c r="AC20" s="1811">
        <v>1</v>
      </c>
    </row>
    <row r="21" spans="1:29" ht="28">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4"/>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04"/>
      <c r="Q22" s="1810"/>
      <c r="R22" s="774"/>
      <c r="S22" s="775"/>
      <c r="T22" s="774"/>
      <c r="U22" s="775"/>
      <c r="V22" s="774"/>
      <c r="W22" s="775"/>
      <c r="X22" s="1813"/>
      <c r="Y22" s="3197"/>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4"/>
      <c r="Q23" s="1810" t="str">
        <f>B23</f>
        <v>自然及人文环境</v>
      </c>
      <c r="R23" s="774" t="s">
        <v>17</v>
      </c>
      <c r="S23" s="775">
        <f>F23</f>
        <v>100</v>
      </c>
      <c r="T23" s="774" t="s">
        <v>17</v>
      </c>
      <c r="U23" s="775">
        <f>H23</f>
        <v>100</v>
      </c>
      <c r="V23" s="774" t="s">
        <v>17</v>
      </c>
      <c r="W23" s="775">
        <f>J23</f>
        <v>100</v>
      </c>
      <c r="X23" s="1813"/>
      <c r="Y23" s="3197"/>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04"/>
      <c r="Q24" s="1810"/>
      <c r="R24" s="774"/>
      <c r="S24" s="775"/>
      <c r="T24" s="774"/>
      <c r="U24" s="775"/>
      <c r="V24" s="774"/>
      <c r="W24" s="775"/>
      <c r="X24" s="1813"/>
      <c r="Y24" s="3197"/>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4"/>
      <c r="Q25" s="1810" t="str">
        <f t="shared" ref="Q25:Q46" si="11">B25</f>
        <v>临街状况</v>
      </c>
      <c r="R25" s="774" t="s">
        <v>17</v>
      </c>
      <c r="S25" s="775">
        <f>F25</f>
        <v>100</v>
      </c>
      <c r="T25" s="774" t="s">
        <v>17</v>
      </c>
      <c r="U25" s="775">
        <f>H25</f>
        <v>100</v>
      </c>
      <c r="V25" s="774" t="s">
        <v>17</v>
      </c>
      <c r="W25" s="775">
        <f>J25</f>
        <v>100</v>
      </c>
      <c r="X25" s="1813"/>
      <c r="Y25" s="3197"/>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4"/>
      <c r="Q26" s="1810" t="str">
        <f t="shared" si="11"/>
        <v>平面位置/可视性</v>
      </c>
      <c r="R26" s="774" t="s">
        <v>17</v>
      </c>
      <c r="S26" s="775">
        <f>F26</f>
        <v>100</v>
      </c>
      <c r="T26" s="774" t="s">
        <v>17</v>
      </c>
      <c r="U26" s="775">
        <f>H26</f>
        <v>100</v>
      </c>
      <c r="V26" s="774" t="s">
        <v>17</v>
      </c>
      <c r="W26" s="775">
        <f>J26</f>
        <v>100</v>
      </c>
      <c r="X26" s="1813"/>
      <c r="Y26" s="3197"/>
      <c r="Z26" s="1814" t="str">
        <f>Q26</f>
        <v>平面位置/可视性</v>
      </c>
      <c r="AA26" s="1811">
        <f t="shared" si="3"/>
        <v>1</v>
      </c>
      <c r="AB26" s="1811">
        <f t="shared" si="4"/>
        <v>1</v>
      </c>
      <c r="AC26" s="1811">
        <f t="shared" si="5"/>
        <v>1</v>
      </c>
    </row>
    <row r="27" spans="1:29" s="117" customFormat="1" ht="15.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04"/>
      <c r="Q27" s="1795" t="str">
        <f t="shared" si="11"/>
        <v>人流量</v>
      </c>
      <c r="R27" s="770" t="s">
        <v>17</v>
      </c>
      <c r="S27" s="771">
        <f>F27</f>
        <v>100</v>
      </c>
      <c r="T27" s="770" t="s">
        <v>17</v>
      </c>
      <c r="U27" s="771">
        <f>H27</f>
        <v>100</v>
      </c>
      <c r="V27" s="770" t="s">
        <v>17</v>
      </c>
      <c r="W27" s="771">
        <f>J27</f>
        <v>100</v>
      </c>
      <c r="X27" s="772"/>
      <c r="Y27" s="3197"/>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7"/>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4"/>
      <c r="Q29" s="1810">
        <f t="shared" si="11"/>
        <v>111</v>
      </c>
      <c r="R29" s="774" t="s">
        <v>17</v>
      </c>
      <c r="S29" s="775">
        <f t="shared" si="12"/>
        <v>100</v>
      </c>
      <c r="T29" s="774" t="s">
        <v>17</v>
      </c>
      <c r="U29" s="775">
        <f t="shared" si="13"/>
        <v>100</v>
      </c>
      <c r="V29" s="774" t="s">
        <v>17</v>
      </c>
      <c r="W29" s="775">
        <f t="shared" si="14"/>
        <v>100</v>
      </c>
      <c r="X29" s="1813"/>
      <c r="Y29" s="3197"/>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4"/>
      <c r="Q30" s="1810">
        <f t="shared" si="11"/>
        <v>111</v>
      </c>
      <c r="R30" s="774" t="s">
        <v>17</v>
      </c>
      <c r="S30" s="775">
        <f t="shared" si="12"/>
        <v>100</v>
      </c>
      <c r="T30" s="774" t="s">
        <v>17</v>
      </c>
      <c r="U30" s="775">
        <f t="shared" si="13"/>
        <v>100</v>
      </c>
      <c r="V30" s="774" t="s">
        <v>17</v>
      </c>
      <c r="W30" s="775">
        <f t="shared" si="14"/>
        <v>100</v>
      </c>
      <c r="X30" s="1813"/>
      <c r="Y30" s="3197"/>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4"/>
      <c r="Q31" s="1810">
        <f t="shared" si="11"/>
        <v>111</v>
      </c>
      <c r="R31" s="774" t="s">
        <v>17</v>
      </c>
      <c r="S31" s="775">
        <f t="shared" si="12"/>
        <v>100</v>
      </c>
      <c r="T31" s="774" t="s">
        <v>17</v>
      </c>
      <c r="U31" s="775">
        <f t="shared" si="13"/>
        <v>100</v>
      </c>
      <c r="V31" s="774" t="s">
        <v>17</v>
      </c>
      <c r="W31" s="775">
        <f t="shared" si="14"/>
        <v>100</v>
      </c>
      <c r="X31" s="1813"/>
      <c r="Y31" s="3197"/>
      <c r="Z31" s="1814">
        <f t="shared" si="15"/>
        <v>111</v>
      </c>
      <c r="AA31" s="1811">
        <f t="shared" si="3"/>
        <v>1</v>
      </c>
      <c r="AB31" s="1811">
        <f t="shared" si="4"/>
        <v>1</v>
      </c>
      <c r="AC31" s="1811">
        <f t="shared" si="5"/>
        <v>1</v>
      </c>
    </row>
    <row r="32" spans="1:29" ht="15.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98" t="s">
        <v>2564</v>
      </c>
      <c r="Q32" s="1810" t="str">
        <f t="shared" si="11"/>
        <v>商业类型</v>
      </c>
      <c r="R32" s="774" t="s">
        <v>17</v>
      </c>
      <c r="S32" s="775">
        <f t="shared" si="12"/>
        <v>100</v>
      </c>
      <c r="T32" s="774" t="s">
        <v>17</v>
      </c>
      <c r="U32" s="775">
        <f t="shared" si="13"/>
        <v>100</v>
      </c>
      <c r="V32" s="774" t="s">
        <v>17</v>
      </c>
      <c r="W32" s="775">
        <f t="shared" si="14"/>
        <v>100</v>
      </c>
      <c r="X32" s="1813"/>
      <c r="Y32" s="3201"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1" t="e">
        <f t="shared" si="3"/>
        <v>#N/A</v>
      </c>
      <c r="AB33" s="1811" t="e">
        <f t="shared" si="4"/>
        <v>#N/A</v>
      </c>
      <c r="AC33" s="1811" t="e">
        <f t="shared" si="5"/>
        <v>#N/A</v>
      </c>
    </row>
    <row r="34" spans="1:29" ht="15.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99"/>
      <c r="Q34" s="1810" t="str">
        <f t="shared" si="11"/>
        <v>建筑结构</v>
      </c>
      <c r="R34" s="774" t="s">
        <v>17</v>
      </c>
      <c r="S34" s="775">
        <f t="shared" si="12"/>
        <v>100</v>
      </c>
      <c r="T34" s="774" t="s">
        <v>17</v>
      </c>
      <c r="U34" s="775">
        <f t="shared" si="13"/>
        <v>100</v>
      </c>
      <c r="V34" s="774" t="s">
        <v>17</v>
      </c>
      <c r="W34" s="775">
        <f t="shared" si="14"/>
        <v>100</v>
      </c>
      <c r="X34" s="1813"/>
      <c r="Y34" s="3201"/>
      <c r="Z34" s="1814" t="str">
        <f t="shared" si="15"/>
        <v>建筑结构</v>
      </c>
      <c r="AA34" s="1811">
        <f t="shared" si="3"/>
        <v>1</v>
      </c>
      <c r="AB34" s="1811">
        <f t="shared" si="4"/>
        <v>1</v>
      </c>
      <c r="AC34" s="1811">
        <f t="shared" si="5"/>
        <v>1</v>
      </c>
    </row>
    <row r="35" spans="1:29" ht="15.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99"/>
      <c r="Q35" s="1810" t="str">
        <f t="shared" si="11"/>
        <v>公共部分装修</v>
      </c>
      <c r="R35" s="774" t="s">
        <v>17</v>
      </c>
      <c r="S35" s="775">
        <f t="shared" si="12"/>
        <v>100</v>
      </c>
      <c r="T35" s="774" t="s">
        <v>17</v>
      </c>
      <c r="U35" s="775">
        <f t="shared" si="13"/>
        <v>100</v>
      </c>
      <c r="V35" s="774" t="s">
        <v>17</v>
      </c>
      <c r="W35" s="775">
        <f t="shared" si="14"/>
        <v>100</v>
      </c>
      <c r="X35" s="1813"/>
      <c r="Y35" s="3201"/>
      <c r="Z35" s="1814" t="str">
        <f t="shared" si="15"/>
        <v>公共部分装修</v>
      </c>
      <c r="AA35" s="1811">
        <f t="shared" si="3"/>
        <v>1</v>
      </c>
      <c r="AB35" s="1811">
        <f t="shared" si="4"/>
        <v>1</v>
      </c>
      <c r="AC35" s="1811">
        <f t="shared" si="5"/>
        <v>1</v>
      </c>
    </row>
    <row r="36" spans="1:29" ht="15.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9"/>
      <c r="Q36" s="1810" t="str">
        <f t="shared" si="11"/>
        <v>成新度</v>
      </c>
      <c r="R36" s="774" t="s">
        <v>17</v>
      </c>
      <c r="S36" s="775" t="e">
        <f t="shared" si="12"/>
        <v>#N/A</v>
      </c>
      <c r="T36" s="774" t="s">
        <v>17</v>
      </c>
      <c r="U36" s="775" t="e">
        <f t="shared" si="13"/>
        <v>#N/A</v>
      </c>
      <c r="V36" s="774" t="s">
        <v>17</v>
      </c>
      <c r="W36" s="775" t="e">
        <f t="shared" si="14"/>
        <v>#N/A</v>
      </c>
      <c r="X36" s="1813"/>
      <c r="Y36" s="3201"/>
      <c r="Z36" s="1814" t="str">
        <f t="shared" si="15"/>
        <v>成新度</v>
      </c>
      <c r="AA36" s="1811" t="e">
        <f t="shared" si="3"/>
        <v>#N/A</v>
      </c>
      <c r="AB36" s="1811" t="e">
        <f t="shared" si="4"/>
        <v>#N/A</v>
      </c>
      <c r="AC36" s="1811" t="e">
        <f t="shared" si="5"/>
        <v>#N/A</v>
      </c>
    </row>
    <row r="37" spans="1:29" s="117" customFormat="1" ht="15.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99"/>
      <c r="Q37" s="1795"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99" t="s">
        <v>2564</v>
      </c>
      <c r="Q38" s="1810" t="str">
        <f t="shared" si="11"/>
        <v>业态</v>
      </c>
      <c r="R38" s="774" t="s">
        <v>17</v>
      </c>
      <c r="S38" s="775">
        <f t="shared" si="12"/>
        <v>100</v>
      </c>
      <c r="T38" s="774" t="s">
        <v>17</v>
      </c>
      <c r="U38" s="775">
        <f t="shared" si="13"/>
        <v>100</v>
      </c>
      <c r="V38" s="774" t="s">
        <v>17</v>
      </c>
      <c r="W38" s="775">
        <f t="shared" si="14"/>
        <v>100</v>
      </c>
      <c r="X38" s="1813"/>
      <c r="Y38" s="3201" t="s">
        <v>2564</v>
      </c>
      <c r="Z38" s="1814" t="str">
        <f t="shared" si="15"/>
        <v>业态</v>
      </c>
      <c r="AA38" s="1811">
        <f t="shared" si="3"/>
        <v>1</v>
      </c>
      <c r="AB38" s="1811">
        <f t="shared" si="4"/>
        <v>1</v>
      </c>
      <c r="AC38" s="1811">
        <f t="shared" si="5"/>
        <v>1</v>
      </c>
    </row>
    <row r="39" spans="1:29" ht="15.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99"/>
      <c r="Q39" s="1810" t="str">
        <f t="shared" si="11"/>
        <v>层高</v>
      </c>
      <c r="R39" s="774" t="s">
        <v>17</v>
      </c>
      <c r="S39" s="775">
        <f t="shared" si="12"/>
        <v>100</v>
      </c>
      <c r="T39" s="774" t="s">
        <v>17</v>
      </c>
      <c r="U39" s="775">
        <f t="shared" si="13"/>
        <v>100</v>
      </c>
      <c r="V39" s="774" t="s">
        <v>17</v>
      </c>
      <c r="W39" s="775">
        <f t="shared" si="14"/>
        <v>100</v>
      </c>
      <c r="X39" s="1813"/>
      <c r="Y39" s="3201"/>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9"/>
      <c r="Q40" s="1810" t="str">
        <f t="shared" si="11"/>
        <v>单套建筑面积</v>
      </c>
      <c r="R40" s="774" t="s">
        <v>17</v>
      </c>
      <c r="S40" s="775">
        <f t="shared" si="12"/>
        <v>100</v>
      </c>
      <c r="T40" s="774" t="s">
        <v>17</v>
      </c>
      <c r="U40" s="775">
        <f t="shared" si="13"/>
        <v>100</v>
      </c>
      <c r="V40" s="774" t="s">
        <v>17</v>
      </c>
      <c r="W40" s="775">
        <f t="shared" si="14"/>
        <v>100</v>
      </c>
      <c r="X40" s="1813"/>
      <c r="Y40" s="3201"/>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1">
        <f t="shared" si="3"/>
        <v>1</v>
      </c>
      <c r="AB41" s="1811">
        <f t="shared" si="4"/>
        <v>1</v>
      </c>
      <c r="AC41" s="1811">
        <f t="shared" si="5"/>
        <v>1</v>
      </c>
    </row>
    <row r="42" spans="1:29" ht="15.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99"/>
      <c r="Q42" s="1810" t="str">
        <f t="shared" si="11"/>
        <v>内部装修</v>
      </c>
      <c r="R42" s="774" t="s">
        <v>17</v>
      </c>
      <c r="S42" s="775">
        <f t="shared" si="12"/>
        <v>100</v>
      </c>
      <c r="T42" s="774" t="s">
        <v>17</v>
      </c>
      <c r="U42" s="775">
        <f t="shared" si="13"/>
        <v>100</v>
      </c>
      <c r="V42" s="774" t="s">
        <v>17</v>
      </c>
      <c r="W42" s="775">
        <f t="shared" si="14"/>
        <v>100</v>
      </c>
      <c r="X42" s="1813"/>
      <c r="Y42" s="3201"/>
      <c r="Z42" s="1814" t="str">
        <f t="shared" si="15"/>
        <v>内部装修</v>
      </c>
      <c r="AA42" s="1811">
        <f t="shared" si="3"/>
        <v>1</v>
      </c>
      <c r="AB42" s="1811">
        <f t="shared" si="4"/>
        <v>1</v>
      </c>
      <c r="AC42" s="1811">
        <f t="shared" si="5"/>
        <v>1</v>
      </c>
    </row>
    <row r="43" spans="1:29" ht="2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99"/>
      <c r="Q43" s="1810" t="str">
        <f t="shared" si="11"/>
        <v>内部装修维护情况</v>
      </c>
      <c r="R43" s="774" t="s">
        <v>17</v>
      </c>
      <c r="S43" s="775">
        <f t="shared" si="12"/>
        <v>100</v>
      </c>
      <c r="T43" s="774" t="s">
        <v>17</v>
      </c>
      <c r="U43" s="775">
        <f t="shared" si="13"/>
        <v>100</v>
      </c>
      <c r="V43" s="774" t="s">
        <v>17</v>
      </c>
      <c r="W43" s="775">
        <f t="shared" si="14"/>
        <v>100</v>
      </c>
      <c r="X43" s="1813"/>
      <c r="Y43" s="3201"/>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9"/>
      <c r="Q44" s="1795">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9"/>
      <c r="Q45" s="1810">
        <f t="shared" si="11"/>
        <v>111</v>
      </c>
      <c r="R45" s="774" t="s">
        <v>17</v>
      </c>
      <c r="S45" s="775">
        <f t="shared" si="12"/>
        <v>100</v>
      </c>
      <c r="T45" s="774" t="s">
        <v>17</v>
      </c>
      <c r="U45" s="775">
        <f t="shared" si="13"/>
        <v>100</v>
      </c>
      <c r="V45" s="774" t="s">
        <v>17</v>
      </c>
      <c r="W45" s="775">
        <f t="shared" si="14"/>
        <v>100</v>
      </c>
      <c r="X45" s="1813"/>
      <c r="Y45" s="3201"/>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0"/>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1811">
        <f t="shared" si="5"/>
        <v>1</v>
      </c>
    </row>
    <row r="47" spans="1:29">
      <c r="A47" s="479" t="s">
        <v>2576</v>
      </c>
      <c r="B47" s="480"/>
      <c r="C47" s="1407" t="s">
        <v>1</v>
      </c>
      <c r="D47" s="1408"/>
      <c r="E47" s="1409"/>
      <c r="F47" s="1410"/>
      <c r="G47" s="1411"/>
      <c r="H47" s="1412"/>
      <c r="I47" s="1409"/>
      <c r="J47" s="1412"/>
      <c r="K47" s="783"/>
      <c r="L47" s="1143"/>
      <c r="M47" s="1144"/>
      <c r="N47" s="1131"/>
      <c r="O47" s="1144"/>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4.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4.5" thickBot="1">
      <c r="A49" s="492" t="s">
        <v>2669</v>
      </c>
      <c r="B49" s="493"/>
      <c r="C49" s="1417" t="e">
        <f>R49</f>
        <v>#DIV/0!</v>
      </c>
      <c r="D49" s="1417"/>
      <c r="E49" s="1417"/>
      <c r="F49" s="1417"/>
      <c r="G49" s="1417"/>
      <c r="H49" s="1417"/>
      <c r="I49" s="1417"/>
      <c r="J49" s="1417"/>
      <c r="K49" s="785"/>
      <c r="L49" s="1143"/>
      <c r="M49" s="1144"/>
      <c r="N49" s="1131"/>
      <c r="O49" s="1144"/>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2549</v>
      </c>
      <c r="B61" s="510"/>
      <c r="C61" s="522" t="s">
        <v>2651</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2615</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2681</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2682</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2683</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56816.98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07" t="s">
        <v>2647</v>
      </c>
      <c r="AC4" s="3206" t="s">
        <v>2648</v>
      </c>
    </row>
    <row r="5" spans="1:29">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07"/>
      <c r="AC5" s="3207"/>
    </row>
    <row r="6" spans="1:29" ht="15" thickBot="1">
      <c r="A6" s="406"/>
      <c r="B6" s="407"/>
      <c r="C6" s="3226" t="s">
        <v>2545</v>
      </c>
      <c r="D6" s="3227"/>
      <c r="E6" s="3233" t="s">
        <v>2545</v>
      </c>
      <c r="F6" s="3234"/>
      <c r="G6" s="3226" t="s">
        <v>2545</v>
      </c>
      <c r="H6" s="3227"/>
      <c r="I6" s="3226" t="s">
        <v>2545</v>
      </c>
      <c r="J6" s="3227"/>
      <c r="K6" s="610" t="s">
        <v>2546</v>
      </c>
      <c r="L6" s="1130"/>
      <c r="M6" s="1131"/>
      <c r="N6" s="1131"/>
      <c r="O6" s="1131"/>
      <c r="P6" s="3217"/>
      <c r="Q6" s="3218"/>
      <c r="R6" s="3221"/>
      <c r="S6" s="3222"/>
      <c r="T6" s="3223"/>
      <c r="U6" s="3224"/>
      <c r="V6" s="3225"/>
      <c r="W6" s="3225"/>
      <c r="X6" s="1813"/>
      <c r="Y6" s="3223"/>
      <c r="Z6" s="3224"/>
      <c r="AA6" s="3208"/>
      <c r="AB6" s="3208"/>
      <c r="AC6" s="3208"/>
    </row>
    <row r="7" spans="1:29" s="117" customFormat="1" ht="14.5" thickBot="1">
      <c r="A7" s="408" t="s">
        <v>2547</v>
      </c>
      <c r="B7" s="409"/>
      <c r="C7" s="410">
        <f>'数据-取费表'!B2</f>
        <v>43900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2548</v>
      </c>
      <c r="Q7" s="3232"/>
      <c r="R7" s="770" t="s">
        <v>17</v>
      </c>
      <c r="S7" s="771">
        <f t="shared" ref="S7:S15" si="0">F7</f>
        <v>0</v>
      </c>
      <c r="T7" s="770" t="s">
        <v>17</v>
      </c>
      <c r="U7" s="771">
        <f t="shared" ref="U7:U15" si="1">H7</f>
        <v>0</v>
      </c>
      <c r="V7" s="770" t="s">
        <v>17</v>
      </c>
      <c r="W7" s="771">
        <f t="shared" ref="W7:W15" si="2">J7</f>
        <v>0</v>
      </c>
      <c r="X7" s="772"/>
      <c r="Y7" s="3230" t="s">
        <v>2548</v>
      </c>
      <c r="Z7" s="3231"/>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2551</v>
      </c>
      <c r="Q8" s="3231"/>
      <c r="R8" s="770" t="s">
        <v>17</v>
      </c>
      <c r="S8" s="771">
        <f t="shared" si="0"/>
        <v>0</v>
      </c>
      <c r="T8" s="770" t="s">
        <v>17</v>
      </c>
      <c r="U8" s="771">
        <f t="shared" si="1"/>
        <v>0</v>
      </c>
      <c r="V8" s="770" t="s">
        <v>17</v>
      </c>
      <c r="W8" s="771">
        <f t="shared" si="2"/>
        <v>0</v>
      </c>
      <c r="X8" s="772"/>
      <c r="Y8" s="3230" t="s">
        <v>2551</v>
      </c>
      <c r="Z8" s="323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0">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2559</v>
      </c>
      <c r="Q15" s="1810" t="str">
        <f t="shared" si="6"/>
        <v>产业集聚程度</v>
      </c>
      <c r="R15" s="774" t="s">
        <v>17</v>
      </c>
      <c r="S15" s="775">
        <f t="shared" si="0"/>
        <v>100</v>
      </c>
      <c r="T15" s="774" t="s">
        <v>17</v>
      </c>
      <c r="U15" s="775">
        <f t="shared" si="1"/>
        <v>100</v>
      </c>
      <c r="V15" s="774" t="s">
        <v>17</v>
      </c>
      <c r="W15" s="775">
        <f t="shared" si="2"/>
        <v>100</v>
      </c>
      <c r="X15" s="1813"/>
      <c r="Y15" s="3196"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197"/>
      <c r="Q16" s="1810"/>
      <c r="R16" s="774"/>
      <c r="S16" s="775"/>
      <c r="T16" s="774"/>
      <c r="U16" s="775"/>
      <c r="V16" s="774"/>
      <c r="W16" s="775"/>
      <c r="X16" s="1813"/>
      <c r="Y16" s="3197"/>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197"/>
      <c r="Q18" s="1810"/>
      <c r="R18" s="774"/>
      <c r="S18" s="775"/>
      <c r="T18" s="774"/>
      <c r="U18" s="775"/>
      <c r="V18" s="774"/>
      <c r="W18" s="775"/>
      <c r="X18" s="1813"/>
      <c r="Y18" s="3197"/>
      <c r="Z18" s="1814"/>
      <c r="AA18" s="1811">
        <v>1</v>
      </c>
      <c r="AB18" s="1811">
        <v>1</v>
      </c>
      <c r="AC18" s="1811">
        <v>1</v>
      </c>
    </row>
    <row r="19" spans="1:29" ht="42">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10" t="str">
        <f>B19</f>
        <v>公共配套设施</v>
      </c>
      <c r="R19" s="774" t="s">
        <v>17</v>
      </c>
      <c r="S19" s="775">
        <f>F19</f>
        <v>100</v>
      </c>
      <c r="T19" s="774" t="s">
        <v>17</v>
      </c>
      <c r="U19" s="775">
        <f>H19</f>
        <v>100</v>
      </c>
      <c r="V19" s="774" t="s">
        <v>17</v>
      </c>
      <c r="W19" s="775">
        <f>J19</f>
        <v>100</v>
      </c>
      <c r="X19" s="1813"/>
      <c r="Y19" s="3197"/>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197"/>
      <c r="Q20" s="1810"/>
      <c r="R20" s="774"/>
      <c r="S20" s="775"/>
      <c r="T20" s="774"/>
      <c r="U20" s="775"/>
      <c r="V20" s="774"/>
      <c r="W20" s="775"/>
      <c r="X20" s="1813"/>
      <c r="Y20" s="3197"/>
      <c r="Z20" s="1814"/>
      <c r="AA20" s="1811">
        <v>1</v>
      </c>
      <c r="AB20" s="1811">
        <v>1</v>
      </c>
      <c r="AC20" s="1811">
        <v>1</v>
      </c>
    </row>
    <row r="21" spans="1:29" ht="42">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10" t="str">
        <f>B21</f>
        <v>基础设施水平</v>
      </c>
      <c r="R21" s="774" t="s">
        <v>17</v>
      </c>
      <c r="S21" s="775">
        <f>F21</f>
        <v>100</v>
      </c>
      <c r="T21" s="774" t="s">
        <v>17</v>
      </c>
      <c r="U21" s="775">
        <f>H21</f>
        <v>100</v>
      </c>
      <c r="V21" s="774" t="s">
        <v>17</v>
      </c>
      <c r="W21" s="775">
        <f>J21</f>
        <v>100</v>
      </c>
      <c r="X21" s="1813"/>
      <c r="Y21" s="3197"/>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197"/>
      <c r="Q22" s="1810"/>
      <c r="R22" s="774"/>
      <c r="S22" s="775"/>
      <c r="T22" s="774"/>
      <c r="U22" s="775"/>
      <c r="V22" s="774"/>
      <c r="W22" s="775"/>
      <c r="X22" s="1813"/>
      <c r="Y22" s="3197"/>
      <c r="Z22" s="1814"/>
      <c r="AA22" s="1811">
        <v>1</v>
      </c>
      <c r="AB22" s="1811">
        <v>1</v>
      </c>
      <c r="AC22" s="1811">
        <v>1</v>
      </c>
    </row>
    <row r="23" spans="1:29" ht="84">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10" t="str">
        <f>B23</f>
        <v>环境质量</v>
      </c>
      <c r="R23" s="774" t="s">
        <v>17</v>
      </c>
      <c r="S23" s="775">
        <f>F23</f>
        <v>100</v>
      </c>
      <c r="T23" s="774" t="s">
        <v>17</v>
      </c>
      <c r="U23" s="775">
        <f>H23</f>
        <v>100</v>
      </c>
      <c r="V23" s="774" t="s">
        <v>17</v>
      </c>
      <c r="W23" s="775">
        <f>J23</f>
        <v>100</v>
      </c>
      <c r="X23" s="1813"/>
      <c r="Y23" s="3197"/>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197"/>
      <c r="Q24" s="1810"/>
      <c r="R24" s="774"/>
      <c r="S24" s="775"/>
      <c r="T24" s="774"/>
      <c r="U24" s="775"/>
      <c r="V24" s="774"/>
      <c r="W24" s="775"/>
      <c r="X24" s="1813"/>
      <c r="Y24" s="3197"/>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10">
        <f>B25</f>
        <v>111</v>
      </c>
      <c r="R25" s="774" t="s">
        <v>17</v>
      </c>
      <c r="S25" s="775">
        <f>F25</f>
        <v>100</v>
      </c>
      <c r="T25" s="774" t="s">
        <v>17</v>
      </c>
      <c r="U25" s="775">
        <f>H25</f>
        <v>100</v>
      </c>
      <c r="V25" s="774" t="s">
        <v>17</v>
      </c>
      <c r="W25" s="775">
        <f>J25</f>
        <v>100</v>
      </c>
      <c r="X25" s="1813"/>
      <c r="Y25" s="3197"/>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10">
        <f t="shared" ref="Q26:Q40" si="11">B26</f>
        <v>111</v>
      </c>
      <c r="R26" s="774" t="s">
        <v>17</v>
      </c>
      <c r="S26" s="775">
        <f>F26</f>
        <v>100</v>
      </c>
      <c r="T26" s="774" t="s">
        <v>17</v>
      </c>
      <c r="U26" s="775">
        <f>H26</f>
        <v>100</v>
      </c>
      <c r="V26" s="774" t="s">
        <v>17</v>
      </c>
      <c r="W26" s="775">
        <f>J26</f>
        <v>100</v>
      </c>
      <c r="X26" s="1813"/>
      <c r="Y26" s="3197"/>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5">
        <f t="shared" si="11"/>
        <v>111</v>
      </c>
      <c r="R27" s="770" t="s">
        <v>17</v>
      </c>
      <c r="S27" s="771">
        <f>F27</f>
        <v>100</v>
      </c>
      <c r="T27" s="770" t="s">
        <v>17</v>
      </c>
      <c r="U27" s="771">
        <f>H27</f>
        <v>100</v>
      </c>
      <c r="V27" s="770" t="s">
        <v>17</v>
      </c>
      <c r="W27" s="771">
        <f>J27</f>
        <v>100</v>
      </c>
      <c r="X27" s="772"/>
      <c r="Y27" s="3197"/>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10">
        <f t="shared" si="11"/>
        <v>111</v>
      </c>
      <c r="R28" s="774" t="s">
        <v>17</v>
      </c>
      <c r="S28" s="775">
        <f t="shared" ref="S28:S40" si="12">F28</f>
        <v>100</v>
      </c>
      <c r="T28" s="774" t="s">
        <v>17</v>
      </c>
      <c r="U28" s="775">
        <f t="shared" ref="U28:U40" si="13">H28</f>
        <v>100</v>
      </c>
      <c r="V28" s="774" t="s">
        <v>17</v>
      </c>
      <c r="W28" s="775">
        <f t="shared" ref="W28:W40" si="14">J28</f>
        <v>100</v>
      </c>
      <c r="X28" s="1813"/>
      <c r="Y28" s="3197"/>
      <c r="Z28" s="1814">
        <f t="shared" ref="Z28:Z40" si="15">Q28</f>
        <v>111</v>
      </c>
      <c r="AA28" s="1811">
        <f t="shared" si="3"/>
        <v>1</v>
      </c>
      <c r="AB28" s="1811">
        <f t="shared" si="4"/>
        <v>1</v>
      </c>
      <c r="AC28" s="1811">
        <f t="shared" si="5"/>
        <v>1</v>
      </c>
    </row>
    <row r="29" spans="1:29" ht="29">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2" t="s">
        <v>2564</v>
      </c>
      <c r="Q29" s="1810" t="str">
        <f t="shared" si="11"/>
        <v>建筑类型</v>
      </c>
      <c r="R29" s="774" t="s">
        <v>17</v>
      </c>
      <c r="S29" s="775">
        <f t="shared" si="12"/>
        <v>100</v>
      </c>
      <c r="T29" s="774" t="s">
        <v>17</v>
      </c>
      <c r="U29" s="775">
        <f t="shared" si="13"/>
        <v>100</v>
      </c>
      <c r="V29" s="774" t="s">
        <v>17</v>
      </c>
      <c r="W29" s="775">
        <f t="shared" si="14"/>
        <v>100</v>
      </c>
      <c r="X29" s="1813"/>
      <c r="Y29" s="3201"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1"/>
      <c r="Q31" s="1810" t="str">
        <f t="shared" si="11"/>
        <v>建筑结构</v>
      </c>
      <c r="R31" s="774" t="s">
        <v>17</v>
      </c>
      <c r="S31" s="775">
        <f t="shared" si="12"/>
        <v>100</v>
      </c>
      <c r="T31" s="774" t="s">
        <v>17</v>
      </c>
      <c r="U31" s="775">
        <f t="shared" si="13"/>
        <v>100</v>
      </c>
      <c r="V31" s="774" t="s">
        <v>17</v>
      </c>
      <c r="W31" s="775">
        <f t="shared" si="14"/>
        <v>100</v>
      </c>
      <c r="X31" s="1813"/>
      <c r="Y31" s="3201"/>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1"/>
      <c r="Q32" s="1810" t="str">
        <f t="shared" si="11"/>
        <v>公共部分装修</v>
      </c>
      <c r="R32" s="774" t="s">
        <v>17</v>
      </c>
      <c r="S32" s="775">
        <f t="shared" si="12"/>
        <v>100</v>
      </c>
      <c r="T32" s="774" t="s">
        <v>17</v>
      </c>
      <c r="U32" s="775">
        <f t="shared" si="13"/>
        <v>100</v>
      </c>
      <c r="V32" s="774" t="s">
        <v>17</v>
      </c>
      <c r="W32" s="775">
        <f t="shared" si="14"/>
        <v>100</v>
      </c>
      <c r="X32" s="1813"/>
      <c r="Y32" s="3201"/>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1"/>
      <c r="Q33" s="1810" t="str">
        <f t="shared" si="11"/>
        <v>成新度</v>
      </c>
      <c r="R33" s="774" t="s">
        <v>17</v>
      </c>
      <c r="S33" s="775" t="e">
        <f t="shared" si="12"/>
        <v>#N/A</v>
      </c>
      <c r="T33" s="774" t="s">
        <v>17</v>
      </c>
      <c r="U33" s="775" t="e">
        <f t="shared" si="13"/>
        <v>#N/A</v>
      </c>
      <c r="V33" s="774" t="s">
        <v>17</v>
      </c>
      <c r="W33" s="775" t="e">
        <f t="shared" si="14"/>
        <v>#N/A</v>
      </c>
      <c r="X33" s="1813"/>
      <c r="Y33" s="3201"/>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1"/>
      <c r="Q34" s="1795"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1" t="s">
        <v>2564</v>
      </c>
      <c r="Q35" s="1810" t="str">
        <f t="shared" si="11"/>
        <v>市政基础设施</v>
      </c>
      <c r="R35" s="774" t="s">
        <v>17</v>
      </c>
      <c r="S35" s="775">
        <f t="shared" si="12"/>
        <v>100</v>
      </c>
      <c r="T35" s="774" t="s">
        <v>17</v>
      </c>
      <c r="U35" s="775">
        <f t="shared" si="13"/>
        <v>100</v>
      </c>
      <c r="V35" s="774" t="s">
        <v>17</v>
      </c>
      <c r="W35" s="775">
        <f t="shared" si="14"/>
        <v>100</v>
      </c>
      <c r="X35" s="1813"/>
      <c r="Y35" s="3201"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1"/>
      <c r="Q36" s="1810" t="str">
        <f t="shared" si="11"/>
        <v>内部装修</v>
      </c>
      <c r="R36" s="774" t="s">
        <v>17</v>
      </c>
      <c r="S36" s="775">
        <f t="shared" si="12"/>
        <v>100</v>
      </c>
      <c r="T36" s="774" t="s">
        <v>17</v>
      </c>
      <c r="U36" s="775">
        <f t="shared" si="13"/>
        <v>100</v>
      </c>
      <c r="V36" s="774" t="s">
        <v>17</v>
      </c>
      <c r="W36" s="775">
        <f t="shared" si="14"/>
        <v>100</v>
      </c>
      <c r="X36" s="1813"/>
      <c r="Y36" s="3201"/>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1"/>
      <c r="Q37" s="1810" t="str">
        <f t="shared" si="11"/>
        <v>内部装修状况</v>
      </c>
      <c r="R37" s="774" t="s">
        <v>17</v>
      </c>
      <c r="S37" s="775">
        <f t="shared" si="12"/>
        <v>100</v>
      </c>
      <c r="T37" s="774" t="s">
        <v>17</v>
      </c>
      <c r="U37" s="775">
        <f t="shared" si="13"/>
        <v>100</v>
      </c>
      <c r="V37" s="774" t="s">
        <v>17</v>
      </c>
      <c r="W37" s="775">
        <f t="shared" si="14"/>
        <v>100</v>
      </c>
      <c r="X37" s="1813"/>
      <c r="Y37" s="3201"/>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1810">
        <f t="shared" si="11"/>
        <v>111</v>
      </c>
      <c r="R39" s="774" t="s">
        <v>17</v>
      </c>
      <c r="S39" s="775">
        <f t="shared" si="12"/>
        <v>100</v>
      </c>
      <c r="T39" s="774" t="s">
        <v>17</v>
      </c>
      <c r="U39" s="775">
        <f t="shared" si="13"/>
        <v>100</v>
      </c>
      <c r="V39" s="774" t="s">
        <v>17</v>
      </c>
      <c r="W39" s="775">
        <f t="shared" si="14"/>
        <v>100</v>
      </c>
      <c r="X39" s="1813"/>
      <c r="Y39" s="3201"/>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2"/>
      <c r="Q40" s="1810">
        <f t="shared" si="11"/>
        <v>111</v>
      </c>
      <c r="R40" s="774" t="s">
        <v>17</v>
      </c>
      <c r="S40" s="775">
        <f t="shared" si="12"/>
        <v>100</v>
      </c>
      <c r="T40" s="774" t="s">
        <v>17</v>
      </c>
      <c r="U40" s="775">
        <f t="shared" si="13"/>
        <v>100</v>
      </c>
      <c r="V40" s="774" t="s">
        <v>17</v>
      </c>
      <c r="W40" s="775">
        <f t="shared" si="14"/>
        <v>100</v>
      </c>
      <c r="X40" s="1813"/>
      <c r="Y40" s="3202"/>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topLeftCell="A28" zoomScale="93" zoomScaleNormal="93" workbookViewId="0">
      <selection activeCell="G13" sqref="G1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07" t="s">
        <v>2647</v>
      </c>
      <c r="AC4" s="3206" t="s">
        <v>2648</v>
      </c>
    </row>
    <row r="5" spans="1:29">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07"/>
      <c r="AC5" s="3207"/>
    </row>
    <row r="6" spans="1:29" ht="15" thickBot="1">
      <c r="A6" s="406"/>
      <c r="B6" s="407"/>
      <c r="C6" s="3226" t="s">
        <v>2545</v>
      </c>
      <c r="D6" s="3227"/>
      <c r="E6" s="3233" t="s">
        <v>2545</v>
      </c>
      <c r="F6" s="3234"/>
      <c r="G6" s="3226" t="s">
        <v>2545</v>
      </c>
      <c r="H6" s="3227"/>
      <c r="I6" s="3226" t="s">
        <v>2545</v>
      </c>
      <c r="J6" s="3227"/>
      <c r="K6" s="610" t="s">
        <v>2546</v>
      </c>
      <c r="L6" s="1130"/>
      <c r="M6" s="1131"/>
      <c r="N6" s="1131"/>
      <c r="O6" s="1131"/>
      <c r="P6" s="3217"/>
      <c r="Q6" s="3218"/>
      <c r="R6" s="3221"/>
      <c r="S6" s="3222"/>
      <c r="T6" s="3223"/>
      <c r="U6" s="3224"/>
      <c r="V6" s="3225"/>
      <c r="W6" s="3225"/>
      <c r="X6" s="1813"/>
      <c r="Y6" s="3223"/>
      <c r="Z6" s="3224"/>
      <c r="AA6" s="3208"/>
      <c r="AB6" s="3208"/>
      <c r="AC6" s="3208"/>
    </row>
    <row r="7" spans="1:29" s="117" customFormat="1" ht="14.5" thickBot="1">
      <c r="A7" s="408" t="s">
        <v>2547</v>
      </c>
      <c r="B7" s="409"/>
      <c r="C7" s="410">
        <f>'数据-取费表'!B2</f>
        <v>43900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2548</v>
      </c>
      <c r="Q7" s="3232"/>
      <c r="R7" s="770" t="s">
        <v>17</v>
      </c>
      <c r="S7" s="771">
        <f t="shared" ref="S7:S14" si="0">F7</f>
        <v>0</v>
      </c>
      <c r="T7" s="770" t="s">
        <v>17</v>
      </c>
      <c r="U7" s="771">
        <f t="shared" ref="U7:U14" si="1">H7</f>
        <v>0</v>
      </c>
      <c r="V7" s="770" t="s">
        <v>17</v>
      </c>
      <c r="W7" s="771">
        <f t="shared" ref="W7:W14" si="2">J7</f>
        <v>0</v>
      </c>
      <c r="X7" s="772"/>
      <c r="Y7" s="3230" t="s">
        <v>2548</v>
      </c>
      <c r="Z7" s="3231"/>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2551</v>
      </c>
      <c r="Q8" s="3231"/>
      <c r="R8" s="770" t="s">
        <v>17</v>
      </c>
      <c r="S8" s="771">
        <f t="shared" si="0"/>
        <v>0</v>
      </c>
      <c r="T8" s="770" t="s">
        <v>17</v>
      </c>
      <c r="U8" s="771">
        <f t="shared" si="1"/>
        <v>0</v>
      </c>
      <c r="V8" s="770" t="s">
        <v>17</v>
      </c>
      <c r="W8" s="771">
        <f t="shared" si="2"/>
        <v>0</v>
      </c>
      <c r="X8" s="772"/>
      <c r="Y8" s="3230" t="s">
        <v>2551</v>
      </c>
      <c r="Z8" s="323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2554</v>
      </c>
      <c r="Q9" s="1795" t="str">
        <f t="shared" ref="Q9:Q14" si="6">B9</f>
        <v>用途</v>
      </c>
      <c r="R9" s="770" t="s">
        <v>17</v>
      </c>
      <c r="S9" s="771">
        <f t="shared" si="0"/>
        <v>100</v>
      </c>
      <c r="T9" s="770" t="s">
        <v>17</v>
      </c>
      <c r="U9" s="771">
        <f t="shared" si="1"/>
        <v>100</v>
      </c>
      <c r="V9" s="770" t="s">
        <v>17</v>
      </c>
      <c r="W9" s="771">
        <f t="shared" si="2"/>
        <v>100</v>
      </c>
      <c r="X9" s="772"/>
      <c r="Y9" s="3019"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5">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98">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2559</v>
      </c>
      <c r="Q14" s="1810" t="str">
        <f t="shared" si="6"/>
        <v>交通便捷度</v>
      </c>
      <c r="R14" s="774" t="s">
        <v>17</v>
      </c>
      <c r="S14" s="775">
        <f t="shared" si="0"/>
        <v>100</v>
      </c>
      <c r="T14" s="774" t="s">
        <v>17</v>
      </c>
      <c r="U14" s="775">
        <f t="shared" si="1"/>
        <v>100</v>
      </c>
      <c r="V14" s="774" t="s">
        <v>17</v>
      </c>
      <c r="W14" s="775">
        <f t="shared" si="2"/>
        <v>100</v>
      </c>
      <c r="X14" s="1813"/>
      <c r="Y14" s="3196"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197"/>
      <c r="Q15" s="1810"/>
      <c r="R15" s="774"/>
      <c r="S15" s="775"/>
      <c r="T15" s="774"/>
      <c r="U15" s="775"/>
      <c r="V15" s="774"/>
      <c r="W15" s="775"/>
      <c r="X15" s="1813"/>
      <c r="Y15" s="3197"/>
      <c r="Z15" s="1814"/>
      <c r="AA15" s="1811">
        <v>1</v>
      </c>
      <c r="AB15" s="1811">
        <v>1</v>
      </c>
      <c r="AC15" s="1811">
        <v>1</v>
      </c>
    </row>
    <row r="16" spans="1:29" ht="42">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197"/>
      <c r="Q17" s="1810"/>
      <c r="R17" s="774"/>
      <c r="S17" s="775"/>
      <c r="T17" s="774"/>
      <c r="U17" s="775"/>
      <c r="V17" s="774"/>
      <c r="W17" s="775"/>
      <c r="X17" s="1813"/>
      <c r="Y17" s="3197"/>
      <c r="Z17" s="1814"/>
      <c r="AA17" s="1811">
        <v>1</v>
      </c>
      <c r="AB17" s="1811">
        <v>1</v>
      </c>
      <c r="AC17" s="1811">
        <v>1</v>
      </c>
    </row>
    <row r="18" spans="1:29" ht="42">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197"/>
      <c r="Q19" s="1810"/>
      <c r="R19" s="774"/>
      <c r="S19" s="775"/>
      <c r="T19" s="774"/>
      <c r="U19" s="775"/>
      <c r="V19" s="774"/>
      <c r="W19" s="775"/>
      <c r="X19" s="1813"/>
      <c r="Y19" s="3197"/>
      <c r="Z19" s="1814"/>
      <c r="AA19" s="1811">
        <v>1</v>
      </c>
      <c r="AB19" s="1811">
        <v>1</v>
      </c>
      <c r="AC19" s="1811">
        <v>1</v>
      </c>
    </row>
    <row r="20" spans="1:29" ht="56">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197"/>
      <c r="Q21" s="1810"/>
      <c r="R21" s="774"/>
      <c r="S21" s="775"/>
      <c r="T21" s="774"/>
      <c r="U21" s="775"/>
      <c r="V21" s="774"/>
      <c r="W21" s="775"/>
      <c r="X21" s="1813"/>
      <c r="Y21" s="3197"/>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10">
        <f t="shared" ref="Q24:Q36"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9">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2"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1"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1"/>
      <c r="Q28" s="1810" t="str">
        <f t="shared" si="11"/>
        <v>公共部分装修</v>
      </c>
      <c r="R28" s="774" t="s">
        <v>17</v>
      </c>
      <c r="S28" s="775">
        <f t="shared" si="12"/>
        <v>100</v>
      </c>
      <c r="T28" s="774" t="s">
        <v>17</v>
      </c>
      <c r="U28" s="775">
        <f t="shared" si="13"/>
        <v>100</v>
      </c>
      <c r="V28" s="774" t="s">
        <v>17</v>
      </c>
      <c r="W28" s="775">
        <f t="shared" si="14"/>
        <v>100</v>
      </c>
      <c r="X28" s="1813"/>
      <c r="Y28" s="3201"/>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1"/>
      <c r="Q29" s="1810" t="str">
        <f t="shared" si="11"/>
        <v>成新率</v>
      </c>
      <c r="R29" s="774" t="s">
        <v>17</v>
      </c>
      <c r="S29" s="775" t="e">
        <f t="shared" si="12"/>
        <v>#N/A</v>
      </c>
      <c r="T29" s="774" t="s">
        <v>17</v>
      </c>
      <c r="U29" s="775" t="e">
        <f t="shared" si="13"/>
        <v>#N/A</v>
      </c>
      <c r="V29" s="774" t="s">
        <v>17</v>
      </c>
      <c r="W29" s="775" t="e">
        <f t="shared" si="14"/>
        <v>#N/A</v>
      </c>
      <c r="X29" s="1813"/>
      <c r="Y29" s="3201"/>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1"/>
      <c r="Q30" s="1810" t="str">
        <f t="shared" si="11"/>
        <v>物业等级</v>
      </c>
      <c r="R30" s="774" t="s">
        <v>17</v>
      </c>
      <c r="S30" s="775">
        <f t="shared" si="12"/>
        <v>100</v>
      </c>
      <c r="T30" s="774" t="s">
        <v>17</v>
      </c>
      <c r="U30" s="775">
        <f t="shared" si="13"/>
        <v>100</v>
      </c>
      <c r="V30" s="774" t="s">
        <v>17</v>
      </c>
      <c r="W30" s="775">
        <f t="shared" si="14"/>
        <v>100</v>
      </c>
      <c r="X30" s="1813"/>
      <c r="Y30" s="3201"/>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1"/>
      <c r="Q31" s="1795"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1" t="s">
        <v>2564</v>
      </c>
      <c r="Q32" s="1810" t="str">
        <f t="shared" si="11"/>
        <v>车位类型</v>
      </c>
      <c r="R32" s="774" t="s">
        <v>17</v>
      </c>
      <c r="S32" s="775">
        <f t="shared" si="12"/>
        <v>100</v>
      </c>
      <c r="T32" s="774" t="s">
        <v>17</v>
      </c>
      <c r="U32" s="775">
        <f t="shared" si="13"/>
        <v>100</v>
      </c>
      <c r="V32" s="774" t="s">
        <v>17</v>
      </c>
      <c r="W32" s="775">
        <f t="shared" si="14"/>
        <v>100</v>
      </c>
      <c r="X32" s="1813"/>
      <c r="Y32" s="3201"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1"/>
      <c r="Q33" s="1810" t="str">
        <f t="shared" si="11"/>
        <v>是否直接入户</v>
      </c>
      <c r="R33" s="774" t="s">
        <v>17</v>
      </c>
      <c r="S33" s="775">
        <f t="shared" si="12"/>
        <v>100</v>
      </c>
      <c r="T33" s="774" t="s">
        <v>17</v>
      </c>
      <c r="U33" s="775">
        <f t="shared" si="13"/>
        <v>100</v>
      </c>
      <c r="V33" s="774" t="s">
        <v>17</v>
      </c>
      <c r="W33" s="775">
        <f t="shared" si="14"/>
        <v>100</v>
      </c>
      <c r="X33" s="1813"/>
      <c r="Y33" s="3201"/>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1"/>
      <c r="Q36" s="1810">
        <f t="shared" si="11"/>
        <v>111</v>
      </c>
      <c r="R36" s="774" t="s">
        <v>17</v>
      </c>
      <c r="S36" s="775">
        <f t="shared" si="12"/>
        <v>100</v>
      </c>
      <c r="T36" s="774" t="s">
        <v>17</v>
      </c>
      <c r="U36" s="775">
        <f t="shared" si="13"/>
        <v>100</v>
      </c>
      <c r="V36" s="774" t="s">
        <v>17</v>
      </c>
      <c r="W36" s="775">
        <f t="shared" si="14"/>
        <v>100</v>
      </c>
      <c r="X36" s="1813"/>
      <c r="Y36" s="3201"/>
      <c r="Z36" s="1814">
        <f t="shared" si="15"/>
        <v>111</v>
      </c>
      <c r="AA36" s="1811">
        <f t="shared" si="3"/>
        <v>1</v>
      </c>
      <c r="AB36" s="1811">
        <f t="shared" si="4"/>
        <v>1</v>
      </c>
      <c r="AC36" s="1811">
        <f t="shared" si="5"/>
        <v>1</v>
      </c>
    </row>
    <row r="37" spans="1:29">
      <c r="A37" s="479" t="s">
        <v>2719</v>
      </c>
      <c r="B37" s="2697" t="s">
        <v>2720</v>
      </c>
      <c r="C37" s="1407" t="s">
        <v>1</v>
      </c>
      <c r="D37" s="1408"/>
      <c r="E37" s="1409"/>
      <c r="F37" s="1410"/>
      <c r="G37" s="1411"/>
      <c r="H37" s="1412"/>
      <c r="I37" s="1409"/>
      <c r="J37" s="1412"/>
      <c r="K37" s="619"/>
      <c r="L37" s="1143"/>
      <c r="M37" s="1144"/>
      <c r="N37" s="1131"/>
      <c r="O37" s="1144"/>
      <c r="P37" s="3194" t="str">
        <f>A37</f>
        <v>成交单价</v>
      </c>
      <c r="Q37" s="3194"/>
      <c r="R37" s="3195">
        <f>E37</f>
        <v>0</v>
      </c>
      <c r="S37" s="3195"/>
      <c r="T37" s="3195">
        <f>G37</f>
        <v>0</v>
      </c>
      <c r="U37" s="3195"/>
      <c r="V37" s="3195">
        <f>I37</f>
        <v>0</v>
      </c>
      <c r="W37" s="3195"/>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07" t="s">
        <v>2647</v>
      </c>
      <c r="AC4" s="3206" t="s">
        <v>2648</v>
      </c>
    </row>
    <row r="5" spans="1:29">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07"/>
      <c r="AC5" s="3207"/>
    </row>
    <row r="6" spans="1:29" ht="15" thickBot="1">
      <c r="A6" s="406"/>
      <c r="B6" s="407"/>
      <c r="C6" s="3226" t="s">
        <v>2545</v>
      </c>
      <c r="D6" s="3227"/>
      <c r="E6" s="3233" t="s">
        <v>2545</v>
      </c>
      <c r="F6" s="3234"/>
      <c r="G6" s="3226" t="s">
        <v>2545</v>
      </c>
      <c r="H6" s="3227"/>
      <c r="I6" s="3226" t="s">
        <v>2545</v>
      </c>
      <c r="J6" s="3227"/>
      <c r="K6" s="610" t="s">
        <v>2546</v>
      </c>
      <c r="L6" s="1130"/>
      <c r="M6" s="1131"/>
      <c r="N6" s="1131"/>
      <c r="O6" s="1131"/>
      <c r="P6" s="3217"/>
      <c r="Q6" s="3218"/>
      <c r="R6" s="3221"/>
      <c r="S6" s="3222"/>
      <c r="T6" s="3223"/>
      <c r="U6" s="3224"/>
      <c r="V6" s="3225"/>
      <c r="W6" s="3225"/>
      <c r="X6" s="1813"/>
      <c r="Y6" s="3223"/>
      <c r="Z6" s="3224"/>
      <c r="AA6" s="3208"/>
      <c r="AB6" s="3208"/>
      <c r="AC6" s="3208"/>
    </row>
    <row r="7" spans="1:29" s="117" customFormat="1" ht="14.5" thickBot="1">
      <c r="A7" s="408" t="s">
        <v>2547</v>
      </c>
      <c r="B7" s="409"/>
      <c r="C7" s="410">
        <f>'数据-取费表'!B2</f>
        <v>43900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0" t="s">
        <v>2548</v>
      </c>
      <c r="Q7" s="3232"/>
      <c r="R7" s="770" t="s">
        <v>17</v>
      </c>
      <c r="S7" s="771">
        <f t="shared" ref="S7:S14" si="0">F7</f>
        <v>0</v>
      </c>
      <c r="T7" s="770" t="s">
        <v>17</v>
      </c>
      <c r="U7" s="771">
        <f t="shared" ref="U7:U14" si="1">H7</f>
        <v>0</v>
      </c>
      <c r="V7" s="770" t="s">
        <v>17</v>
      </c>
      <c r="W7" s="771">
        <f t="shared" ref="W7:W14" si="2">J7</f>
        <v>0</v>
      </c>
      <c r="X7" s="772"/>
      <c r="Y7" s="3230" t="s">
        <v>2548</v>
      </c>
      <c r="Z7" s="3231"/>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2551</v>
      </c>
      <c r="Q8" s="3231"/>
      <c r="R8" s="770" t="s">
        <v>17</v>
      </c>
      <c r="S8" s="771">
        <f t="shared" si="0"/>
        <v>0</v>
      </c>
      <c r="T8" s="770" t="s">
        <v>17</v>
      </c>
      <c r="U8" s="771">
        <f t="shared" si="1"/>
        <v>0</v>
      </c>
      <c r="V8" s="770" t="s">
        <v>17</v>
      </c>
      <c r="W8" s="771">
        <f t="shared" si="2"/>
        <v>0</v>
      </c>
      <c r="X8" s="772"/>
      <c r="Y8" s="3230" t="s">
        <v>2551</v>
      </c>
      <c r="Z8" s="323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2554</v>
      </c>
      <c r="Q9" s="1795" t="str">
        <f t="shared" ref="Q9:Q14" si="6">B9</f>
        <v>用途</v>
      </c>
      <c r="R9" s="770" t="s">
        <v>17</v>
      </c>
      <c r="S9" s="771">
        <f t="shared" si="0"/>
        <v>100</v>
      </c>
      <c r="T9" s="770" t="s">
        <v>17</v>
      </c>
      <c r="U9" s="771">
        <f t="shared" si="1"/>
        <v>100</v>
      </c>
      <c r="V9" s="770" t="s">
        <v>17</v>
      </c>
      <c r="W9" s="771">
        <f t="shared" si="2"/>
        <v>100</v>
      </c>
      <c r="X9" s="772"/>
      <c r="Y9" s="3019"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5"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5">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98">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2559</v>
      </c>
      <c r="Q14" s="1810" t="str">
        <f t="shared" si="6"/>
        <v>交通便捷度</v>
      </c>
      <c r="R14" s="774" t="s">
        <v>17</v>
      </c>
      <c r="S14" s="775">
        <f t="shared" si="0"/>
        <v>100</v>
      </c>
      <c r="T14" s="774" t="s">
        <v>17</v>
      </c>
      <c r="U14" s="775">
        <f t="shared" si="1"/>
        <v>100</v>
      </c>
      <c r="V14" s="774" t="s">
        <v>17</v>
      </c>
      <c r="W14" s="775">
        <f t="shared" si="2"/>
        <v>100</v>
      </c>
      <c r="X14" s="1813"/>
      <c r="Y14" s="3196"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197"/>
      <c r="Q15" s="1810"/>
      <c r="R15" s="774"/>
      <c r="S15" s="775"/>
      <c r="T15" s="774"/>
      <c r="U15" s="775"/>
      <c r="V15" s="774"/>
      <c r="W15" s="775"/>
      <c r="X15" s="1813"/>
      <c r="Y15" s="3197"/>
      <c r="Z15" s="1814"/>
      <c r="AA15" s="1811">
        <v>1</v>
      </c>
      <c r="AB15" s="1811">
        <v>1</v>
      </c>
      <c r="AC15" s="1811">
        <v>1</v>
      </c>
    </row>
    <row r="16" spans="1:29" ht="42">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10" t="str">
        <f>B16</f>
        <v>公共配套设施</v>
      </c>
      <c r="R16" s="774" t="s">
        <v>17</v>
      </c>
      <c r="S16" s="775">
        <f>F16</f>
        <v>100</v>
      </c>
      <c r="T16" s="774" t="s">
        <v>17</v>
      </c>
      <c r="U16" s="775">
        <f>H16</f>
        <v>100</v>
      </c>
      <c r="V16" s="774" t="s">
        <v>17</v>
      </c>
      <c r="W16" s="775">
        <f>J16</f>
        <v>100</v>
      </c>
      <c r="X16" s="1813"/>
      <c r="Y16" s="3197"/>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197"/>
      <c r="Q17" s="1810"/>
      <c r="R17" s="774"/>
      <c r="S17" s="775"/>
      <c r="T17" s="774"/>
      <c r="U17" s="775"/>
      <c r="V17" s="774"/>
      <c r="W17" s="775"/>
      <c r="X17" s="1813"/>
      <c r="Y17" s="3197"/>
      <c r="Z17" s="1814"/>
      <c r="AA17" s="1811">
        <v>1</v>
      </c>
      <c r="AB17" s="1811">
        <v>1</v>
      </c>
      <c r="AC17" s="1811">
        <v>1</v>
      </c>
    </row>
    <row r="18" spans="1:29" ht="42">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10" t="str">
        <f>B18</f>
        <v>基础设施水平</v>
      </c>
      <c r="R18" s="774" t="s">
        <v>17</v>
      </c>
      <c r="S18" s="775">
        <f>F18</f>
        <v>100</v>
      </c>
      <c r="T18" s="774" t="s">
        <v>17</v>
      </c>
      <c r="U18" s="775">
        <f>H18</f>
        <v>100</v>
      </c>
      <c r="V18" s="774" t="s">
        <v>17</v>
      </c>
      <c r="W18" s="775">
        <f>J18</f>
        <v>100</v>
      </c>
      <c r="X18" s="1813"/>
      <c r="Y18" s="3197"/>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197"/>
      <c r="Q19" s="1810"/>
      <c r="R19" s="774"/>
      <c r="S19" s="775"/>
      <c r="T19" s="774"/>
      <c r="U19" s="775"/>
      <c r="V19" s="774"/>
      <c r="W19" s="775"/>
      <c r="X19" s="1813"/>
      <c r="Y19" s="3197"/>
      <c r="Z19" s="1814"/>
      <c r="AA19" s="1811">
        <v>1</v>
      </c>
      <c r="AB19" s="1811">
        <v>1</v>
      </c>
      <c r="AC19" s="1811">
        <v>1</v>
      </c>
    </row>
    <row r="20" spans="1:29" ht="56">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10" t="str">
        <f>B20</f>
        <v>自然及人文环境</v>
      </c>
      <c r="R20" s="774" t="s">
        <v>17</v>
      </c>
      <c r="S20" s="775">
        <f>F20</f>
        <v>100</v>
      </c>
      <c r="T20" s="774" t="s">
        <v>17</v>
      </c>
      <c r="U20" s="775">
        <f>H20</f>
        <v>100</v>
      </c>
      <c r="V20" s="774" t="s">
        <v>17</v>
      </c>
      <c r="W20" s="775">
        <f>J20</f>
        <v>100</v>
      </c>
      <c r="X20" s="1813"/>
      <c r="Y20" s="3197"/>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197"/>
      <c r="Q21" s="1810"/>
      <c r="R21" s="774"/>
      <c r="S21" s="775"/>
      <c r="T21" s="774"/>
      <c r="U21" s="775"/>
      <c r="V21" s="774"/>
      <c r="W21" s="775"/>
      <c r="X21" s="1813"/>
      <c r="Y21" s="3197"/>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10" t="str">
        <f>B22</f>
        <v>楼层</v>
      </c>
      <c r="R22" s="774" t="s">
        <v>17</v>
      </c>
      <c r="S22" s="775">
        <f>F22</f>
        <v>100</v>
      </c>
      <c r="T22" s="774" t="s">
        <v>17</v>
      </c>
      <c r="U22" s="775">
        <f>H22</f>
        <v>100</v>
      </c>
      <c r="V22" s="774" t="s">
        <v>17</v>
      </c>
      <c r="W22" s="775">
        <f>J22</f>
        <v>100</v>
      </c>
      <c r="X22" s="1813"/>
      <c r="Y22" s="3197"/>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10">
        <f>B23</f>
        <v>111</v>
      </c>
      <c r="R23" s="774" t="s">
        <v>17</v>
      </c>
      <c r="S23" s="775">
        <f>F23</f>
        <v>100</v>
      </c>
      <c r="T23" s="774" t="s">
        <v>17</v>
      </c>
      <c r="U23" s="775">
        <f>H23</f>
        <v>100</v>
      </c>
      <c r="V23" s="774" t="s">
        <v>17</v>
      </c>
      <c r="W23" s="775">
        <f>J23</f>
        <v>100</v>
      </c>
      <c r="X23" s="1813"/>
      <c r="Y23" s="3197"/>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10">
        <f t="shared" ref="Q24:Q34" si="11">B24</f>
        <v>111</v>
      </c>
      <c r="R24" s="774" t="s">
        <v>17</v>
      </c>
      <c r="S24" s="775">
        <f>F24</f>
        <v>100</v>
      </c>
      <c r="T24" s="774" t="s">
        <v>17</v>
      </c>
      <c r="U24" s="775">
        <f>H24</f>
        <v>100</v>
      </c>
      <c r="V24" s="774" t="s">
        <v>17</v>
      </c>
      <c r="W24" s="775">
        <f>J24</f>
        <v>100</v>
      </c>
      <c r="X24" s="1813"/>
      <c r="Y24" s="3197"/>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7"/>
      <c r="Q25" s="1795">
        <f t="shared" si="11"/>
        <v>111</v>
      </c>
      <c r="R25" s="770" t="s">
        <v>17</v>
      </c>
      <c r="S25" s="771">
        <f>F25</f>
        <v>100</v>
      </c>
      <c r="T25" s="770" t="s">
        <v>17</v>
      </c>
      <c r="U25" s="771">
        <f>H25</f>
        <v>100</v>
      </c>
      <c r="V25" s="770" t="s">
        <v>17</v>
      </c>
      <c r="W25" s="771">
        <f>J25</f>
        <v>100</v>
      </c>
      <c r="X25" s="772"/>
      <c r="Y25" s="3197"/>
      <c r="Z25" s="55">
        <f>Q25</f>
        <v>111</v>
      </c>
      <c r="AA25" s="1811">
        <f>D25/F25</f>
        <v>1</v>
      </c>
      <c r="AB25" s="1811">
        <f>D25/H25</f>
        <v>1</v>
      </c>
      <c r="AC25" s="1811">
        <f>D25/J25</f>
        <v>1</v>
      </c>
    </row>
    <row r="26" spans="1:29" ht="29">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2"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1"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1"/>
      <c r="Q28" s="1810" t="str">
        <f t="shared" si="11"/>
        <v>物业等级</v>
      </c>
      <c r="R28" s="774" t="s">
        <v>17</v>
      </c>
      <c r="S28" s="775">
        <f t="shared" si="12"/>
        <v>100</v>
      </c>
      <c r="T28" s="774" t="s">
        <v>17</v>
      </c>
      <c r="U28" s="775">
        <f t="shared" si="13"/>
        <v>100</v>
      </c>
      <c r="V28" s="774" t="s">
        <v>17</v>
      </c>
      <c r="W28" s="775">
        <f t="shared" si="14"/>
        <v>100</v>
      </c>
      <c r="X28" s="1813"/>
      <c r="Y28" s="3201"/>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1"/>
      <c r="Q29" s="1810" t="str">
        <f t="shared" si="11"/>
        <v>有无电梯</v>
      </c>
      <c r="R29" s="774" t="s">
        <v>17</v>
      </c>
      <c r="S29" s="775">
        <f t="shared" si="12"/>
        <v>100</v>
      </c>
      <c r="T29" s="774" t="s">
        <v>17</v>
      </c>
      <c r="U29" s="775">
        <f t="shared" si="13"/>
        <v>100</v>
      </c>
      <c r="V29" s="774" t="s">
        <v>17</v>
      </c>
      <c r="W29" s="775">
        <f t="shared" si="14"/>
        <v>100</v>
      </c>
      <c r="X29" s="1813"/>
      <c r="Y29" s="3201"/>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1"/>
      <c r="Q30" s="1810" t="str">
        <f t="shared" si="11"/>
        <v>建筑面积</v>
      </c>
      <c r="R30" s="774" t="s">
        <v>17</v>
      </c>
      <c r="S30" s="775" t="e">
        <f t="shared" si="12"/>
        <v>#N/A</v>
      </c>
      <c r="T30" s="774" t="s">
        <v>17</v>
      </c>
      <c r="U30" s="775" t="e">
        <f t="shared" si="13"/>
        <v>#N/A</v>
      </c>
      <c r="V30" s="774" t="s">
        <v>17</v>
      </c>
      <c r="W30" s="775" t="e">
        <f t="shared" si="14"/>
        <v>#N/A</v>
      </c>
      <c r="X30" s="1813"/>
      <c r="Y30" s="3201"/>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1"/>
      <c r="Q31" s="1795"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1" t="s">
        <v>2564</v>
      </c>
      <c r="Q32" s="1810">
        <f t="shared" si="11"/>
        <v>111</v>
      </c>
      <c r="R32" s="774" t="s">
        <v>17</v>
      </c>
      <c r="S32" s="775">
        <f t="shared" si="12"/>
        <v>100</v>
      </c>
      <c r="T32" s="774" t="s">
        <v>17</v>
      </c>
      <c r="U32" s="775">
        <f t="shared" si="13"/>
        <v>100</v>
      </c>
      <c r="V32" s="774" t="s">
        <v>17</v>
      </c>
      <c r="W32" s="775">
        <f t="shared" si="14"/>
        <v>100</v>
      </c>
      <c r="X32" s="1813"/>
      <c r="Y32" s="3201" t="s">
        <v>2564</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1"/>
      <c r="Q33" s="1810">
        <f t="shared" si="11"/>
        <v>111</v>
      </c>
      <c r="R33" s="774" t="s">
        <v>17</v>
      </c>
      <c r="S33" s="775">
        <f t="shared" si="12"/>
        <v>100</v>
      </c>
      <c r="T33" s="774" t="s">
        <v>17</v>
      </c>
      <c r="U33" s="775">
        <f t="shared" si="13"/>
        <v>100</v>
      </c>
      <c r="V33" s="774" t="s">
        <v>17</v>
      </c>
      <c r="W33" s="775">
        <f t="shared" si="14"/>
        <v>100</v>
      </c>
      <c r="X33" s="1813"/>
      <c r="Y33" s="3201"/>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09" t="s">
        <v>2645</v>
      </c>
      <c r="D4" s="3210"/>
      <c r="E4" s="3211" t="s">
        <v>2646</v>
      </c>
      <c r="F4" s="3212"/>
      <c r="G4" s="3209" t="s">
        <v>2647</v>
      </c>
      <c r="H4" s="3210"/>
      <c r="I4" s="3209" t="s">
        <v>2648</v>
      </c>
      <c r="J4" s="3210"/>
      <c r="K4" s="610" t="s">
        <v>2649</v>
      </c>
      <c r="L4" s="1130"/>
      <c r="M4" s="1131"/>
      <c r="N4" s="1131"/>
      <c r="O4" s="1131"/>
      <c r="P4" s="3213" t="s">
        <v>2650</v>
      </c>
      <c r="Q4" s="3214"/>
      <c r="R4" s="3219" t="s">
        <v>2646</v>
      </c>
      <c r="S4" s="3220"/>
      <c r="T4" s="3219" t="s">
        <v>2647</v>
      </c>
      <c r="U4" s="3220"/>
      <c r="V4" s="3225" t="s">
        <v>2648</v>
      </c>
      <c r="W4" s="3225"/>
      <c r="X4" s="1813"/>
      <c r="Y4" s="3219" t="s">
        <v>2650</v>
      </c>
      <c r="Z4" s="3220"/>
      <c r="AA4" s="3206" t="s">
        <v>2646</v>
      </c>
      <c r="AB4" s="3207" t="s">
        <v>2647</v>
      </c>
      <c r="AC4" s="3206" t="s">
        <v>2648</v>
      </c>
    </row>
    <row r="5" spans="1:29">
      <c r="A5" s="404"/>
      <c r="B5" s="405"/>
      <c r="C5" s="3228" t="s">
        <v>2541</v>
      </c>
      <c r="D5" s="3229"/>
      <c r="E5" s="3235" t="s">
        <v>2542</v>
      </c>
      <c r="F5" s="3236"/>
      <c r="G5" s="3228" t="s">
        <v>2543</v>
      </c>
      <c r="H5" s="3229"/>
      <c r="I5" s="3228" t="s">
        <v>2544</v>
      </c>
      <c r="J5" s="3229"/>
      <c r="K5" s="610"/>
      <c r="L5" s="1130"/>
      <c r="M5" s="1131"/>
      <c r="N5" s="1131"/>
      <c r="O5" s="1131"/>
      <c r="P5" s="3215"/>
      <c r="Q5" s="3216"/>
      <c r="R5" s="3221"/>
      <c r="S5" s="3222"/>
      <c r="T5" s="3221"/>
      <c r="U5" s="3222"/>
      <c r="V5" s="3225"/>
      <c r="W5" s="3225"/>
      <c r="X5" s="1813"/>
      <c r="Y5" s="3221"/>
      <c r="Z5" s="3222"/>
      <c r="AA5" s="3207"/>
      <c r="AB5" s="3207"/>
      <c r="AC5" s="3207"/>
    </row>
    <row r="6" spans="1:29" ht="15" thickBot="1">
      <c r="A6" s="406"/>
      <c r="B6" s="407"/>
      <c r="C6" s="3257" t="s">
        <v>2796</v>
      </c>
      <c r="D6" s="3258"/>
      <c r="E6" s="3259" t="s">
        <v>2796</v>
      </c>
      <c r="F6" s="3260"/>
      <c r="G6" s="3257" t="s">
        <v>2796</v>
      </c>
      <c r="H6" s="3258"/>
      <c r="I6" s="3257" t="s">
        <v>2796</v>
      </c>
      <c r="J6" s="3258"/>
      <c r="K6" s="610" t="s">
        <v>2546</v>
      </c>
      <c r="L6" s="1130"/>
      <c r="M6" s="1131"/>
      <c r="N6" s="1131"/>
      <c r="O6" s="1131"/>
      <c r="P6" s="3217"/>
      <c r="Q6" s="3218"/>
      <c r="R6" s="3221"/>
      <c r="S6" s="3222"/>
      <c r="T6" s="3223"/>
      <c r="U6" s="3224"/>
      <c r="V6" s="3225"/>
      <c r="W6" s="3225"/>
      <c r="X6" s="1813"/>
      <c r="Y6" s="3223"/>
      <c r="Z6" s="3224"/>
      <c r="AA6" s="3208"/>
      <c r="AB6" s="3208"/>
      <c r="AC6" s="3208"/>
    </row>
    <row r="7" spans="1:29" s="117" customFormat="1" ht="14.5" thickBot="1">
      <c r="A7" s="408" t="s">
        <v>2547</v>
      </c>
      <c r="B7" s="409"/>
      <c r="C7" s="410">
        <f>'数据-取费表'!B2</f>
        <v>43900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0" t="s">
        <v>2548</v>
      </c>
      <c r="Q7" s="3232"/>
      <c r="R7" s="770" t="s">
        <v>17</v>
      </c>
      <c r="S7" s="771">
        <f t="shared" ref="S7:S15" si="0">F7</f>
        <v>0</v>
      </c>
      <c r="T7" s="770" t="s">
        <v>17</v>
      </c>
      <c r="U7" s="771">
        <f t="shared" ref="U7:U15" si="1">H7</f>
        <v>0</v>
      </c>
      <c r="V7" s="770" t="s">
        <v>17</v>
      </c>
      <c r="W7" s="771">
        <f t="shared" ref="W7:W15" si="2">J7</f>
        <v>0</v>
      </c>
      <c r="X7" s="772"/>
      <c r="Y7" s="3230" t="s">
        <v>2548</v>
      </c>
      <c r="Z7" s="3231"/>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2551</v>
      </c>
      <c r="Q8" s="3231"/>
      <c r="R8" s="770" t="s">
        <v>17</v>
      </c>
      <c r="S8" s="771">
        <f t="shared" si="0"/>
        <v>0</v>
      </c>
      <c r="T8" s="770" t="s">
        <v>17</v>
      </c>
      <c r="U8" s="771">
        <f t="shared" si="1"/>
        <v>0</v>
      </c>
      <c r="V8" s="770" t="s">
        <v>17</v>
      </c>
      <c r="W8" s="771">
        <f t="shared" si="2"/>
        <v>0</v>
      </c>
      <c r="X8" s="772"/>
      <c r="Y8" s="3230" t="s">
        <v>2551</v>
      </c>
      <c r="Z8" s="3231"/>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4" t="s">
        <v>2554</v>
      </c>
      <c r="Q9" s="1795" t="str">
        <f t="shared" ref="Q9:Q15" si="6">B9</f>
        <v>用途</v>
      </c>
      <c r="R9" s="770" t="s">
        <v>17</v>
      </c>
      <c r="S9" s="771">
        <f t="shared" si="0"/>
        <v>100</v>
      </c>
      <c r="T9" s="770" t="s">
        <v>17</v>
      </c>
      <c r="U9" s="771">
        <f t="shared" si="1"/>
        <v>100</v>
      </c>
      <c r="V9" s="770" t="s">
        <v>17</v>
      </c>
      <c r="W9" s="771">
        <f t="shared" si="2"/>
        <v>100</v>
      </c>
      <c r="X9" s="772"/>
      <c r="Y9" s="3019"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194"/>
      <c r="Q10" s="1795" t="str">
        <f t="shared" si="6"/>
        <v>土地使用年限（年）</v>
      </c>
      <c r="R10" s="770" t="s">
        <v>17</v>
      </c>
      <c r="S10" s="771">
        <f t="shared" si="0"/>
        <v>110</v>
      </c>
      <c r="T10" s="770" t="s">
        <v>17</v>
      </c>
      <c r="U10" s="771">
        <f t="shared" si="1"/>
        <v>110</v>
      </c>
      <c r="V10" s="770" t="s">
        <v>17</v>
      </c>
      <c r="W10" s="771">
        <f t="shared" si="2"/>
        <v>110</v>
      </c>
      <c r="X10" s="772"/>
      <c r="Y10" s="3019"/>
      <c r="Z10" s="55" t="str">
        <f t="shared" si="7"/>
        <v>土地使用年限（年）</v>
      </c>
      <c r="AA10" s="773">
        <f t="shared" si="3"/>
        <v>0.90909090909090906</v>
      </c>
      <c r="AB10" s="773">
        <f t="shared" si="4"/>
        <v>0.90909090909090906</v>
      </c>
      <c r="AC10" s="773">
        <f t="shared" si="5"/>
        <v>0.90909090909090906</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5"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5">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5">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5">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0">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2559</v>
      </c>
      <c r="Q15" s="1810" t="str">
        <f t="shared" si="6"/>
        <v>产业集聚程度</v>
      </c>
      <c r="R15" s="774" t="s">
        <v>17</v>
      </c>
      <c r="S15" s="775">
        <f t="shared" si="0"/>
        <v>100</v>
      </c>
      <c r="T15" s="774" t="s">
        <v>17</v>
      </c>
      <c r="U15" s="775">
        <f t="shared" si="1"/>
        <v>100</v>
      </c>
      <c r="V15" s="774" t="s">
        <v>17</v>
      </c>
      <c r="W15" s="775">
        <f t="shared" si="2"/>
        <v>100</v>
      </c>
      <c r="X15" s="1813"/>
      <c r="Y15" s="3196" t="s">
        <v>2559</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197"/>
      <c r="Q16" s="1810"/>
      <c r="R16" s="774"/>
      <c r="S16" s="775"/>
      <c r="T16" s="774"/>
      <c r="U16" s="775"/>
      <c r="V16" s="774"/>
      <c r="W16" s="775"/>
      <c r="X16" s="1813"/>
      <c r="Y16" s="3197"/>
      <c r="Z16" s="1814"/>
      <c r="AA16" s="1811">
        <v>1</v>
      </c>
      <c r="AB16" s="1811">
        <v>1</v>
      </c>
      <c r="AC16" s="1811">
        <v>1</v>
      </c>
    </row>
    <row r="17" spans="1:29" ht="98">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10" t="str">
        <f>B17</f>
        <v>交通便捷度</v>
      </c>
      <c r="R17" s="774" t="s">
        <v>17</v>
      </c>
      <c r="S17" s="775">
        <f>F17</f>
        <v>100</v>
      </c>
      <c r="T17" s="774" t="s">
        <v>17</v>
      </c>
      <c r="U17" s="775">
        <f>H17</f>
        <v>100</v>
      </c>
      <c r="V17" s="774" t="s">
        <v>17</v>
      </c>
      <c r="W17" s="775">
        <f>J17</f>
        <v>100</v>
      </c>
      <c r="X17" s="1813"/>
      <c r="Y17" s="3197"/>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197"/>
      <c r="Q18" s="1810"/>
      <c r="R18" s="774"/>
      <c r="S18" s="775"/>
      <c r="T18" s="774"/>
      <c r="U18" s="775"/>
      <c r="V18" s="774"/>
      <c r="W18" s="775"/>
      <c r="X18" s="1813"/>
      <c r="Y18" s="3197"/>
      <c r="Z18" s="1814"/>
      <c r="AA18" s="1811">
        <v>1</v>
      </c>
      <c r="AB18" s="1811">
        <v>1</v>
      </c>
      <c r="AC18" s="1811">
        <v>1</v>
      </c>
    </row>
    <row r="19" spans="1:29" ht="2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10" t="str">
        <f t="shared" ref="Q19:Q33" si="8">B19</f>
        <v>区域土地利用方向</v>
      </c>
      <c r="R19" s="774" t="s">
        <v>17</v>
      </c>
      <c r="S19" s="775">
        <f>F19</f>
        <v>100</v>
      </c>
      <c r="T19" s="774" t="s">
        <v>17</v>
      </c>
      <c r="U19" s="775">
        <f>H19</f>
        <v>100</v>
      </c>
      <c r="V19" s="774" t="s">
        <v>17</v>
      </c>
      <c r="W19" s="775">
        <f>J19</f>
        <v>100</v>
      </c>
      <c r="X19" s="1813"/>
      <c r="Y19" s="3197"/>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197"/>
      <c r="Q20" s="1810"/>
      <c r="R20" s="774"/>
      <c r="S20" s="775"/>
      <c r="T20" s="774"/>
      <c r="U20" s="775"/>
      <c r="V20" s="774"/>
      <c r="W20" s="775"/>
      <c r="X20" s="1813"/>
      <c r="Y20" s="3197"/>
      <c r="Z20" s="1814"/>
      <c r="AA20" s="1811"/>
      <c r="AB20" s="1811"/>
      <c r="AC20" s="1811"/>
    </row>
    <row r="21" spans="1:29" ht="84">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10" t="str">
        <f t="shared" si="8"/>
        <v>环境状况</v>
      </c>
      <c r="R21" s="774" t="s">
        <v>17</v>
      </c>
      <c r="S21" s="775">
        <f>F21</f>
        <v>100</v>
      </c>
      <c r="T21" s="774" t="s">
        <v>17</v>
      </c>
      <c r="U21" s="775">
        <f>H21</f>
        <v>100</v>
      </c>
      <c r="V21" s="774" t="s">
        <v>17</v>
      </c>
      <c r="W21" s="775">
        <f>J21</f>
        <v>100</v>
      </c>
      <c r="X21" s="1813"/>
      <c r="Y21" s="3197"/>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197"/>
      <c r="Q22" s="1810"/>
      <c r="R22" s="774"/>
      <c r="S22" s="775"/>
      <c r="T22" s="774"/>
      <c r="U22" s="775"/>
      <c r="V22" s="774"/>
      <c r="W22" s="775"/>
      <c r="X22" s="1813"/>
      <c r="Y22" s="3197"/>
      <c r="Z22" s="1814"/>
      <c r="AA22" s="1811">
        <v>1</v>
      </c>
      <c r="AB22" s="1811">
        <v>1</v>
      </c>
      <c r="AC22" s="1811">
        <v>1</v>
      </c>
    </row>
    <row r="23" spans="1:29" s="117" customFormat="1" ht="42">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5" t="str">
        <f t="shared" si="8"/>
        <v>公共配套设施</v>
      </c>
      <c r="R23" s="770" t="s">
        <v>17</v>
      </c>
      <c r="S23" s="771">
        <f>F23</f>
        <v>100</v>
      </c>
      <c r="T23" s="770" t="s">
        <v>17</v>
      </c>
      <c r="U23" s="771">
        <f>H23</f>
        <v>100</v>
      </c>
      <c r="V23" s="770" t="s">
        <v>17</v>
      </c>
      <c r="W23" s="771">
        <f>J23</f>
        <v>100</v>
      </c>
      <c r="X23" s="772"/>
      <c r="Y23" s="3197"/>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197"/>
      <c r="Q24" s="1795"/>
      <c r="R24" s="770"/>
      <c r="S24" s="771"/>
      <c r="T24" s="770"/>
      <c r="U24" s="771"/>
      <c r="V24" s="770"/>
      <c r="W24" s="771"/>
      <c r="X24" s="772"/>
      <c r="Y24" s="3197"/>
      <c r="Z24" s="55"/>
      <c r="AA24" s="773">
        <v>1</v>
      </c>
      <c r="AB24" s="773">
        <v>1</v>
      </c>
      <c r="AC24" s="773">
        <v>1</v>
      </c>
    </row>
    <row r="25" spans="1:29" s="117" customFormat="1" ht="42">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5"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197"/>
      <c r="Q26" s="1795"/>
      <c r="R26" s="770"/>
      <c r="S26" s="771"/>
      <c r="T26" s="770"/>
      <c r="U26" s="771"/>
      <c r="V26" s="770"/>
      <c r="W26" s="771"/>
      <c r="X26" s="772"/>
      <c r="Y26" s="3197"/>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7"/>
      <c r="Z27" s="1814" t="str">
        <f t="shared" ref="Z27:Z40" si="13">Q27</f>
        <v>临街状况</v>
      </c>
      <c r="AA27" s="1811">
        <f t="shared" si="3"/>
        <v>1</v>
      </c>
      <c r="AB27" s="1811">
        <f t="shared" si="4"/>
        <v>1</v>
      </c>
      <c r="AC27" s="1811">
        <f t="shared" si="5"/>
        <v>1</v>
      </c>
    </row>
    <row r="28" spans="1:29" ht="2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10" t="str">
        <f t="shared" si="8"/>
        <v>毗邻道路的类型与等级</v>
      </c>
      <c r="R28" s="774" t="s">
        <v>17</v>
      </c>
      <c r="S28" s="775">
        <f t="shared" si="10"/>
        <v>100</v>
      </c>
      <c r="T28" s="774" t="s">
        <v>17</v>
      </c>
      <c r="U28" s="775">
        <f t="shared" si="11"/>
        <v>100</v>
      </c>
      <c r="V28" s="774" t="s">
        <v>17</v>
      </c>
      <c r="W28" s="775">
        <f t="shared" si="12"/>
        <v>100</v>
      </c>
      <c r="X28" s="1813"/>
      <c r="Y28" s="3197"/>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197"/>
      <c r="Q29" s="1810"/>
      <c r="R29" s="774"/>
      <c r="S29" s="775"/>
      <c r="T29" s="774"/>
      <c r="U29" s="775"/>
      <c r="V29" s="774"/>
      <c r="W29" s="775"/>
      <c r="X29" s="1813"/>
      <c r="Y29" s="3197"/>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10" t="str">
        <f t="shared" si="8"/>
        <v>土地级别</v>
      </c>
      <c r="R30" s="774" t="s">
        <v>17</v>
      </c>
      <c r="S30" s="775">
        <f t="shared" si="10"/>
        <v>100</v>
      </c>
      <c r="T30" s="774" t="s">
        <v>17</v>
      </c>
      <c r="U30" s="775">
        <f t="shared" si="11"/>
        <v>100</v>
      </c>
      <c r="V30" s="774" t="s">
        <v>17</v>
      </c>
      <c r="W30" s="775">
        <f t="shared" si="12"/>
        <v>100</v>
      </c>
      <c r="X30" s="1813"/>
      <c r="Y30" s="3197"/>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10">
        <f t="shared" si="8"/>
        <v>111</v>
      </c>
      <c r="R31" s="774" t="s">
        <v>17</v>
      </c>
      <c r="S31" s="775">
        <f t="shared" si="10"/>
        <v>100</v>
      </c>
      <c r="T31" s="774" t="s">
        <v>17</v>
      </c>
      <c r="U31" s="775">
        <f t="shared" si="11"/>
        <v>100</v>
      </c>
      <c r="V31" s="774" t="s">
        <v>17</v>
      </c>
      <c r="W31" s="775">
        <f t="shared" si="12"/>
        <v>100</v>
      </c>
      <c r="X31" s="1813"/>
      <c r="Y31" s="3197"/>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2" t="s">
        <v>2564</v>
      </c>
      <c r="Q32" s="1810">
        <f t="shared" si="8"/>
        <v>111</v>
      </c>
      <c r="R32" s="774" t="s">
        <v>17</v>
      </c>
      <c r="S32" s="775">
        <f t="shared" si="10"/>
        <v>100</v>
      </c>
      <c r="T32" s="774" t="s">
        <v>17</v>
      </c>
      <c r="U32" s="775">
        <f t="shared" si="11"/>
        <v>100</v>
      </c>
      <c r="V32" s="774" t="s">
        <v>17</v>
      </c>
      <c r="W32" s="775">
        <f t="shared" si="12"/>
        <v>100</v>
      </c>
      <c r="X32" s="1813"/>
      <c r="Y32" s="3201" t="s">
        <v>2564</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1"/>
      <c r="Q33" s="1810">
        <f t="shared" si="8"/>
        <v>111</v>
      </c>
      <c r="R33" s="777" t="s">
        <v>17</v>
      </c>
      <c r="S33" s="778">
        <f t="shared" si="10"/>
        <v>100</v>
      </c>
      <c r="T33" s="777" t="s">
        <v>17</v>
      </c>
      <c r="U33" s="778">
        <f t="shared" si="11"/>
        <v>100</v>
      </c>
      <c r="V33" s="777" t="s">
        <v>17</v>
      </c>
      <c r="W33" s="778">
        <f t="shared" si="12"/>
        <v>100</v>
      </c>
      <c r="X33" s="779"/>
      <c r="Y33" s="3201"/>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1"/>
      <c r="Q34" s="1810" t="str">
        <f>B34</f>
        <v>宗地面积</v>
      </c>
      <c r="R34" s="774" t="s">
        <v>17</v>
      </c>
      <c r="S34" s="775" t="e">
        <f t="shared" si="10"/>
        <v>#N/A</v>
      </c>
      <c r="T34" s="774" t="s">
        <v>17</v>
      </c>
      <c r="U34" s="775" t="e">
        <f t="shared" si="11"/>
        <v>#N/A</v>
      </c>
      <c r="V34" s="774" t="s">
        <v>17</v>
      </c>
      <c r="W34" s="775" t="e">
        <f t="shared" si="12"/>
        <v>#N/A</v>
      </c>
      <c r="X34" s="1813"/>
      <c r="Y34" s="3201"/>
      <c r="Z34" s="1814" t="str">
        <f t="shared" si="13"/>
        <v>宗地面积</v>
      </c>
      <c r="AA34" s="1811" t="e">
        <f t="shared" si="3"/>
        <v>#N/A</v>
      </c>
      <c r="AB34" s="1811" t="e">
        <f t="shared" si="4"/>
        <v>#N/A</v>
      </c>
      <c r="AC34" s="1811" t="e">
        <f t="shared" si="5"/>
        <v>#N/A</v>
      </c>
    </row>
    <row r="35" spans="1:29" ht="15.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1"/>
      <c r="Q35" s="1810" t="str">
        <f t="shared" ref="Q35:Q40" si="14">B35</f>
        <v>宗地形状</v>
      </c>
      <c r="R35" s="774" t="s">
        <v>17</v>
      </c>
      <c r="S35" s="775">
        <f t="shared" si="10"/>
        <v>100</v>
      </c>
      <c r="T35" s="774" t="s">
        <v>17</v>
      </c>
      <c r="U35" s="775">
        <f t="shared" si="11"/>
        <v>100</v>
      </c>
      <c r="V35" s="774" t="s">
        <v>17</v>
      </c>
      <c r="W35" s="775">
        <f t="shared" si="12"/>
        <v>100</v>
      </c>
      <c r="X35" s="1813"/>
      <c r="Y35" s="3201"/>
      <c r="Z35" s="1814" t="str">
        <f t="shared" si="13"/>
        <v>宗地形状</v>
      </c>
      <c r="AA35" s="1811">
        <f t="shared" si="3"/>
        <v>1</v>
      </c>
      <c r="AB35" s="1811">
        <f t="shared" si="4"/>
        <v>1</v>
      </c>
      <c r="AC35" s="1811">
        <f t="shared" si="5"/>
        <v>1</v>
      </c>
    </row>
    <row r="36" spans="1:29" s="117" customFormat="1" ht="15.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1"/>
      <c r="Q36" s="1810"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1" t="s">
        <v>2564</v>
      </c>
      <c r="Q37" s="1810" t="str">
        <f t="shared" si="14"/>
        <v>工程地质条件</v>
      </c>
      <c r="R37" s="774" t="s">
        <v>17</v>
      </c>
      <c r="S37" s="775">
        <f t="shared" si="10"/>
        <v>100</v>
      </c>
      <c r="T37" s="774" t="s">
        <v>17</v>
      </c>
      <c r="U37" s="775">
        <f t="shared" si="11"/>
        <v>100</v>
      </c>
      <c r="V37" s="774" t="s">
        <v>17</v>
      </c>
      <c r="W37" s="775">
        <f t="shared" si="12"/>
        <v>100</v>
      </c>
      <c r="X37" s="1813"/>
      <c r="Y37" s="3201"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1"/>
      <c r="Q38" s="1810">
        <f t="shared" si="14"/>
        <v>111</v>
      </c>
      <c r="R38" s="774" t="s">
        <v>17</v>
      </c>
      <c r="S38" s="775">
        <f t="shared" si="10"/>
        <v>100</v>
      </c>
      <c r="T38" s="774" t="s">
        <v>17</v>
      </c>
      <c r="U38" s="775">
        <f t="shared" si="11"/>
        <v>100</v>
      </c>
      <c r="V38" s="774" t="s">
        <v>17</v>
      </c>
      <c r="W38" s="775">
        <f t="shared" si="12"/>
        <v>100</v>
      </c>
      <c r="X38" s="1813"/>
      <c r="Y38" s="3201"/>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1"/>
      <c r="Q39" s="1810">
        <f t="shared" si="14"/>
        <v>111</v>
      </c>
      <c r="R39" s="774" t="s">
        <v>17</v>
      </c>
      <c r="S39" s="775">
        <f t="shared" si="10"/>
        <v>100</v>
      </c>
      <c r="T39" s="774" t="s">
        <v>17</v>
      </c>
      <c r="U39" s="775">
        <f t="shared" si="11"/>
        <v>100</v>
      </c>
      <c r="V39" s="774" t="s">
        <v>17</v>
      </c>
      <c r="W39" s="775">
        <f t="shared" si="12"/>
        <v>100</v>
      </c>
      <c r="X39" s="1813"/>
      <c r="Y39" s="3201"/>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1"/>
      <c r="Q40" s="1810">
        <f t="shared" si="14"/>
        <v>111</v>
      </c>
      <c r="R40" s="777" t="s">
        <v>17</v>
      </c>
      <c r="S40" s="778">
        <f t="shared" si="10"/>
        <v>100</v>
      </c>
      <c r="T40" s="777" t="s">
        <v>17</v>
      </c>
      <c r="U40" s="778">
        <f t="shared" si="11"/>
        <v>100</v>
      </c>
      <c r="V40" s="777" t="s">
        <v>17</v>
      </c>
      <c r="W40" s="778">
        <f t="shared" si="12"/>
        <v>100</v>
      </c>
      <c r="X40" s="779"/>
      <c r="Y40" s="3201"/>
      <c r="Z40" s="780">
        <f t="shared" si="13"/>
        <v>111</v>
      </c>
      <c r="AA40" s="1811">
        <f t="shared" si="3"/>
        <v>1</v>
      </c>
      <c r="AB40" s="1811">
        <f t="shared" si="4"/>
        <v>1</v>
      </c>
      <c r="AC40" s="1811">
        <f t="shared" si="5"/>
        <v>1</v>
      </c>
    </row>
    <row r="41" spans="1:29">
      <c r="A41" s="479" t="s">
        <v>2719</v>
      </c>
      <c r="B41" s="2706" t="s">
        <v>2799</v>
      </c>
      <c r="C41" s="682" t="s">
        <v>1</v>
      </c>
      <c r="D41" s="481"/>
      <c r="E41" s="482"/>
      <c r="F41" s="483"/>
      <c r="G41" s="484"/>
      <c r="H41" s="485"/>
      <c r="I41" s="482"/>
      <c r="J41" s="485"/>
      <c r="K41" s="783"/>
      <c r="L41" s="1143"/>
      <c r="M41" s="1131"/>
      <c r="N41" s="1131"/>
      <c r="O41" s="1144"/>
      <c r="P41" s="3194" t="str">
        <f>A41</f>
        <v>成交单价</v>
      </c>
      <c r="Q41" s="3194"/>
      <c r="R41" s="3225">
        <f>E41</f>
        <v>0</v>
      </c>
      <c r="S41" s="3225"/>
      <c r="T41" s="3225">
        <f>G41</f>
        <v>0</v>
      </c>
      <c r="U41" s="3225"/>
      <c r="V41" s="3225">
        <f>I41</f>
        <v>0</v>
      </c>
      <c r="W41" s="3225"/>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7" t="s">
        <v>2759</v>
      </c>
      <c r="D50" s="2708" t="s">
        <v>2760</v>
      </c>
      <c r="E50" s="686" t="s">
        <v>2761</v>
      </c>
      <c r="F50" s="687" t="s">
        <v>2762</v>
      </c>
      <c r="G50" s="3209" t="s">
        <v>2763</v>
      </c>
      <c r="H50" s="3255"/>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16556.82</v>
      </c>
      <c r="F51" s="691" t="e">
        <f t="shared" ref="F51:F60" si="15">ROUND(B51*E51/10000,0)</f>
        <v>#DIV/0!</v>
      </c>
      <c r="G51" s="3205"/>
      <c r="H51" s="3194"/>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6"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6"/>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6"/>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6"/>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40260.160000000003</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9793.7800000000007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3"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81640625" style="2790" customWidth="1"/>
    <col min="2" max="2" width="19.1796875" style="2896" customWidth="1"/>
    <col min="3" max="4" width="12" style="2722"/>
    <col min="5" max="5" width="14.6328125" style="2722" customWidth="1"/>
    <col min="6" max="8" width="12" style="2722"/>
    <col min="9" max="9" width="12.1796875" style="2722" bestFit="1" customWidth="1"/>
    <col min="10" max="10" width="12" style="2722"/>
    <col min="11" max="11" width="8.08984375" style="2785" customWidth="1"/>
    <col min="12" max="12" width="12" style="2722"/>
    <col min="13" max="13" width="8.453125" style="2722" customWidth="1"/>
    <col min="14" max="14" width="9.81640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5">
      <c r="A3" s="247" t="s">
        <v>2817</v>
      </c>
      <c r="B3" s="248" t="e">
        <f>ROUND(B2*10000/D1,0)</f>
        <v>#DIV/0!</v>
      </c>
      <c r="C3" s="2723" t="s">
        <v>2818</v>
      </c>
      <c r="D3" s="2724" t="s">
        <v>2819</v>
      </c>
      <c r="E3" s="2729"/>
      <c r="F3" s="2730" t="s">
        <v>2820</v>
      </c>
      <c r="G3" s="916">
        <f>IF(F3="宗地容积率",'数据-汇总表'!I4,IF(F3="估价对象容积率",'数据-汇总表'!I6,'数据-汇总表'!I7))</f>
        <v>1.69</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5">
      <c r="A4" s="3264"/>
      <c r="B4" s="3265"/>
      <c r="C4" s="3265"/>
      <c r="D4" s="3266"/>
      <c r="E4" s="3266"/>
      <c r="F4" s="3266"/>
      <c r="G4" s="3266"/>
      <c r="H4" s="3266"/>
      <c r="I4" s="3266"/>
      <c r="J4" s="3267"/>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2825</v>
      </c>
      <c r="C5" s="917" t="e">
        <f>ROUND(IF(E2="商业",C6*C7+C16,(IF(E2="住宅",C6*C12+C16,C6+C16))),0)</f>
        <v>#DIV/0!</v>
      </c>
      <c r="D5" s="1787" t="e">
        <f>ROUND(C6+C16,0)</f>
        <v>#DIV/0!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6" thickBot="1">
      <c r="A6" s="2741" t="s">
        <v>2827</v>
      </c>
      <c r="B6" s="2742" t="s">
        <v>2828</v>
      </c>
      <c r="C6" s="918">
        <f>SUMIF(L1:L12,G2,M1:M12)</f>
        <v>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6">
      <c r="A7" s="3268"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1.69</v>
      </c>
      <c r="AA7" s="1606"/>
      <c r="AB7" s="1606"/>
      <c r="AC7" s="1607"/>
      <c r="AD7" s="1608"/>
      <c r="AE7" s="1608"/>
      <c r="AF7" s="1608"/>
      <c r="AG7" s="1608"/>
      <c r="AH7" s="1608"/>
      <c r="AI7" s="1608"/>
      <c r="AJ7" s="1609"/>
    </row>
    <row r="8" spans="1:36" ht="15.5">
      <c r="A8" s="3269"/>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1" t="s">
        <v>2839</v>
      </c>
      <c r="X8" s="326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5">
      <c r="A9" s="3269"/>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3"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269"/>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269"/>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3" t="s">
        <v>2863</v>
      </c>
      <c r="X11" s="1614" t="s">
        <v>2864</v>
      </c>
      <c r="Y11" s="1615">
        <f>$G$3</f>
        <v>1.69</v>
      </c>
      <c r="Z11" s="1615">
        <f t="shared" ref="Z11:AJ11" si="3">$G$3</f>
        <v>1.69</v>
      </c>
      <c r="AA11" s="1615">
        <f t="shared" si="3"/>
        <v>1.69</v>
      </c>
      <c r="AB11" s="1615">
        <f t="shared" si="3"/>
        <v>1.69</v>
      </c>
      <c r="AC11" s="1615">
        <f t="shared" si="3"/>
        <v>1.69</v>
      </c>
      <c r="AD11" s="1615">
        <f t="shared" si="3"/>
        <v>1.69</v>
      </c>
      <c r="AE11" s="1615">
        <f t="shared" si="3"/>
        <v>1.69</v>
      </c>
      <c r="AF11" s="1615">
        <f t="shared" si="3"/>
        <v>1.69</v>
      </c>
      <c r="AG11" s="1615">
        <f t="shared" si="3"/>
        <v>1.69</v>
      </c>
      <c r="AH11" s="1615">
        <f t="shared" si="3"/>
        <v>1.69</v>
      </c>
      <c r="AI11" s="1615">
        <f t="shared" si="3"/>
        <v>1.69</v>
      </c>
      <c r="AJ11" s="1615">
        <f t="shared" si="3"/>
        <v>1.69</v>
      </c>
    </row>
    <row r="12" spans="1:36" ht="26.5" thickBot="1">
      <c r="A12" s="3268"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270"/>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t="e">
        <f t="shared" si="0"/>
        <v>#DIV/0!</v>
      </c>
      <c r="U13" s="1603"/>
      <c r="V13" s="1602" t="e">
        <f t="shared" si="1"/>
        <v>#DIV/0!</v>
      </c>
      <c r="W13" s="3263"/>
      <c r="X13" s="1616"/>
      <c r="Y13" s="1613">
        <f>(-0.163*(Y12^2)-0.59*Y12+7617)*(10^(-4))/Y11</f>
        <v>0.45071005917159768</v>
      </c>
      <c r="Z13" s="1613">
        <f t="shared" ref="Z13:AJ13" si="5">(-0.163*(Z12^2)-0.59*Z12+7617)*(10^(-4))/Z11</f>
        <v>0.45071005917159768</v>
      </c>
      <c r="AA13" s="1613">
        <f t="shared" si="5"/>
        <v>0.45071005917159768</v>
      </c>
      <c r="AB13" s="1613">
        <f t="shared" si="5"/>
        <v>0.45071005917159768</v>
      </c>
      <c r="AC13" s="1613">
        <f t="shared" si="5"/>
        <v>0.45071005917159768</v>
      </c>
      <c r="AD13" s="1613">
        <f t="shared" si="5"/>
        <v>0.45071005917159768</v>
      </c>
      <c r="AE13" s="1613">
        <f t="shared" si="5"/>
        <v>0.45071005917159768</v>
      </c>
      <c r="AF13" s="1613">
        <f t="shared" si="5"/>
        <v>0.45071005917159768</v>
      </c>
      <c r="AG13" s="1613">
        <f t="shared" si="5"/>
        <v>0.45071005917159768</v>
      </c>
      <c r="AH13" s="1613">
        <f t="shared" si="5"/>
        <v>0.45071005917159768</v>
      </c>
      <c r="AI13" s="1613">
        <f t="shared" si="5"/>
        <v>0.45071005917159768</v>
      </c>
      <c r="AJ13" s="1613">
        <f t="shared" si="5"/>
        <v>0.45071005917159768</v>
      </c>
    </row>
    <row r="14" spans="1:36" ht="15.5">
      <c r="A14" s="3270"/>
      <c r="B14" s="2770"/>
      <c r="C14" s="2771"/>
      <c r="D14" s="2772"/>
      <c r="E14" s="2772"/>
      <c r="F14" s="2773"/>
      <c r="G14" s="2774" t="s">
        <v>2876</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6" thickBot="1">
      <c r="A15" s="3271"/>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5" customHeight="1">
      <c r="A16" s="3268" t="s">
        <v>2882</v>
      </c>
      <c r="B16" s="2747" t="s">
        <v>2883</v>
      </c>
      <c r="C16" s="2934" t="e">
        <f>ROUND(IF(F17="与级别开发程度一致",0,(G17-E17)/C17),0)</f>
        <v>#DIV/0!</v>
      </c>
      <c r="D16" s="3282" t="s">
        <v>2887</v>
      </c>
      <c r="E16" s="3283"/>
      <c r="F16" s="3282" t="s">
        <v>2884</v>
      </c>
      <c r="G16" s="3283"/>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2"/>
      <c r="B17" s="2945" t="s">
        <v>2886</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2889</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2890</v>
      </c>
      <c r="C19" s="924" t="e">
        <f>ROUND(IF(H19="按公示增长率计算",SUMPRODUCT((地价!A3:A29=YEAR(G19)&amp;"-"&amp;ROUNDUP(MONTH(G19)/3,0))*(地价!X2:AB2=E2)*(地价!X3:AB29)),IF(H19="地价指数",M20/M19,(1+I19)^O19)),4)</f>
        <v>#VALUE!</v>
      </c>
      <c r="D19" s="2791" t="s">
        <v>2891</v>
      </c>
      <c r="E19" s="925">
        <v>41640</v>
      </c>
      <c r="F19" s="2791" t="s">
        <v>2892</v>
      </c>
      <c r="G19" s="926">
        <f>'数据-取费表'!B2</f>
        <v>43900</v>
      </c>
      <c r="H19" s="2792"/>
      <c r="I19" s="927" t="str">
        <f>IF(H19="季度增幅（自定义）",SUMIF(N21:N24,E2,O21:O24),"")</f>
        <v/>
      </c>
      <c r="J19" s="2789"/>
      <c r="K19" s="1377"/>
      <c r="L19" s="2793" t="s">
        <v>2893</v>
      </c>
      <c r="M19" s="1734">
        <f>ROUND(SUMIF(地价!B2:F2,E2,地价!B29:F29),0)</f>
        <v>0</v>
      </c>
      <c r="N19" s="2794"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2895</v>
      </c>
      <c r="C20" s="929" t="e">
        <f>ROUND(POWER(1+G20,J20-I20)*(POWER(1+G20,I20)-1)/(POWER(1+G20,J20)-1),4)</f>
        <v>#DIV/0!</v>
      </c>
      <c r="D20" s="2800" t="s">
        <v>2896</v>
      </c>
      <c r="E20" s="1768">
        <f ca="1">存贷款利率!D4/100</f>
        <v>4.3499999999999997E-2</v>
      </c>
      <c r="F20" s="2800" t="s">
        <v>2888</v>
      </c>
      <c r="G20" s="934">
        <f>SUMIF(M26:P26,E2,M28:P28)</f>
        <v>0</v>
      </c>
      <c r="H20" s="2800" t="s">
        <v>2897</v>
      </c>
      <c r="I20" s="935" t="e">
        <f>SUMIF('数据-取费表'!C6:C15,E2,'数据-取费表'!F6:F15)/COUNTIF('数据-取费表'!C6:C15,E2)</f>
        <v>#DIV/0!</v>
      </c>
      <c r="J20" s="936">
        <f>IF(E2="住宅",70,IF(E2="商业",40,50))</f>
        <v>50</v>
      </c>
      <c r="K20" s="1377"/>
      <c r="L20" s="2801" t="s">
        <v>2898</v>
      </c>
      <c r="M20" s="1735">
        <f>ROUND(SUMPRODUCT((地价!A4:A29=YEAR(G19)&amp;"-"&amp;ROUNDUP(MONTH(G19)/3,0))*(地价!B2:F2=E2)*(地价!B4:F29)),0)</f>
        <v>0</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2902</v>
      </c>
      <c r="C21" s="937">
        <f>IF(B21="容积率修正",IF(G3&lt;=10,D22,J22),C23)</f>
        <v>0</v>
      </c>
      <c r="D21" s="2807"/>
      <c r="E21" s="2807"/>
      <c r="F21" s="2807"/>
      <c r="G21" s="2807"/>
      <c r="H21" s="2807"/>
      <c r="I21" s="2807"/>
      <c r="J21" s="2808"/>
      <c r="K21" s="1377"/>
      <c r="N21" s="2809"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5">
      <c r="A22" s="2666" t="s">
        <v>2904</v>
      </c>
      <c r="B22" s="2810" t="s">
        <v>2905</v>
      </c>
      <c r="C22" s="1810" t="s">
        <v>2906</v>
      </c>
      <c r="D22" s="1810">
        <f>IF(E22=G22,F22,IF(G3&lt;=10,ROUND(F22+(H22-F22)*(G3-E22)/(G22-E22),4),"——"))</f>
        <v>0</v>
      </c>
      <c r="E22" s="916">
        <f>ROUNDDOWN(G3,1)</f>
        <v>1.6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8.5" thickBot="1">
      <c r="A23" s="2666" t="s">
        <v>2908</v>
      </c>
      <c r="B23" s="2811" t="s">
        <v>2909</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2911</v>
      </c>
      <c r="C24" s="924">
        <f>SUMIF(A45:A88,E2,B45:B88)</f>
        <v>0</v>
      </c>
      <c r="D24" s="2788"/>
      <c r="E24" s="2817"/>
      <c r="F24" s="2817"/>
      <c r="G24" s="2817"/>
      <c r="H24" s="2817"/>
      <c r="I24" s="2817"/>
      <c r="J24" s="2818"/>
      <c r="K24" s="1377"/>
      <c r="N24" s="2819"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2913</v>
      </c>
      <c r="C25" s="930"/>
      <c r="D25" s="2750"/>
      <c r="E25" s="2750"/>
      <c r="F25" s="2821"/>
      <c r="G25" s="2750"/>
      <c r="H25" s="2750"/>
      <c r="I25" s="2750"/>
      <c r="J25" s="2751"/>
      <c r="K25" s="1370"/>
      <c r="N25" s="2822"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
      <c r="A26" s="2823"/>
      <c r="B26" s="2810" t="s">
        <v>2915</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4.5" thickBot="1">
      <c r="A27" s="2823"/>
      <c r="B27" s="2827" t="s">
        <v>2916</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2917</v>
      </c>
      <c r="C28" s="2834" t="s">
        <v>2918</v>
      </c>
      <c r="D28" s="2834" t="s">
        <v>2919</v>
      </c>
      <c r="E28" s="2835" t="s">
        <v>2920</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2921</v>
      </c>
      <c r="C29" s="206" t="e">
        <f>ROUND(C5*C18*C19*C20*C21*C24,0)</f>
        <v>#DIV/0!</v>
      </c>
      <c r="D29" s="2839"/>
      <c r="E29" s="942" t="e">
        <f>ROUND(C29*D29/10000,0)</f>
        <v>#DIV/0!</v>
      </c>
      <c r="F29" s="2840" t="s">
        <v>2922</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2923</v>
      </c>
      <c r="C30" s="229" t="e">
        <f>ROUND(IF(E2="工业",C29*M39,C29*M38),0)</f>
        <v>#DIV/0!</v>
      </c>
      <c r="D30" s="2845"/>
      <c r="E30" s="942" t="e">
        <f>ROUND(C30*D30/10000,0)</f>
        <v>#DIV/0!</v>
      </c>
      <c r="F30" s="2846" t="s">
        <v>2924</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2925</v>
      </c>
      <c r="C31" s="2851" t="s">
        <v>2926</v>
      </c>
      <c r="D31" s="2763"/>
      <c r="E31" s="2851"/>
      <c r="F31" s="2851"/>
      <c r="G31" s="2761" t="s">
        <v>2927</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2918</v>
      </c>
      <c r="D32" s="498" t="s">
        <v>2919</v>
      </c>
      <c r="E32" s="498" t="s">
        <v>2920</v>
      </c>
      <c r="F32" s="388" t="s">
        <v>2928</v>
      </c>
      <c r="G32" s="2854" t="s">
        <v>2918</v>
      </c>
      <c r="H32" s="2854" t="s">
        <v>2919</v>
      </c>
      <c r="I32" s="2854"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79" t="s">
        <v>2929</v>
      </c>
      <c r="B33" s="2855" t="s">
        <v>2930</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80"/>
      <c r="B34" s="2767" t="s">
        <v>2931</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80"/>
      <c r="B35" s="2767" t="s">
        <v>2932</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81"/>
      <c r="B36" s="2767" t="s">
        <v>2933</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2934</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2935</v>
      </c>
      <c r="M37" s="2859"/>
      <c r="N37" s="1370"/>
      <c r="O37" s="1370"/>
      <c r="P37" s="1370"/>
      <c r="Q37" s="1370"/>
      <c r="R37" s="1370"/>
      <c r="S37" s="1370"/>
      <c r="T37" s="1370"/>
      <c r="U37" s="1370"/>
      <c r="V37" s="1370"/>
      <c r="W37" s="1370"/>
      <c r="X37" s="1370"/>
      <c r="Y37" s="1370"/>
      <c r="Z37" s="1371"/>
    </row>
    <row r="38" spans="1:37" ht="13">
      <c r="A38" s="2857"/>
      <c r="B38" s="2767" t="s">
        <v>2936</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2937</v>
      </c>
      <c r="M38" s="2860">
        <v>0.25</v>
      </c>
      <c r="N38" s="1370"/>
      <c r="O38" s="1370"/>
      <c r="P38" s="1370"/>
      <c r="Q38" s="1370"/>
      <c r="R38" s="1370"/>
      <c r="S38" s="1370"/>
      <c r="T38" s="1370"/>
      <c r="U38" s="1370"/>
      <c r="V38" s="1370"/>
      <c r="W38" s="1370"/>
      <c r="X38" s="1370"/>
      <c r="Y38" s="1370"/>
      <c r="Z38" s="1371"/>
    </row>
    <row r="39" spans="1:37" ht="13.5" thickBot="1">
      <c r="A39" s="2843"/>
      <c r="B39" s="2861" t="s">
        <v>2938</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3046</v>
      </c>
      <c r="C41" s="388" t="e">
        <f>ROUND(POWER(1+E41,H41-G41)*(POWER(1+E41,G41)-1)/(POWER(1+E41,H41)-1),4)</f>
        <v>#DIV/0!</v>
      </c>
      <c r="D41" s="200" t="s">
        <v>2888</v>
      </c>
      <c r="E41" s="2931">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2939</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2940</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2941</v>
      </c>
      <c r="B47" s="1809" t="s">
        <v>2942</v>
      </c>
      <c r="C47" s="1809" t="s">
        <v>2943</v>
      </c>
      <c r="D47" s="1809" t="s">
        <v>2944</v>
      </c>
      <c r="E47" s="819" t="s">
        <v>2945</v>
      </c>
      <c r="F47" s="2873" t="s">
        <v>2946</v>
      </c>
      <c r="G47" s="1809" t="s">
        <v>754</v>
      </c>
      <c r="H47" s="2874"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2" t="s">
        <v>2949</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0">
      <c r="A49" s="2872" t="s">
        <v>2950</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6">
      <c r="A50" s="2872" t="s">
        <v>2951</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2">
      <c r="A51" s="2872" t="s">
        <v>2952</v>
      </c>
      <c r="B51" s="2877" t="s">
        <v>2953</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6">
      <c r="A52" s="2872" t="s">
        <v>2954</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6">
      <c r="A53" s="2872" t="s">
        <v>2955</v>
      </c>
      <c r="B53" s="2878" t="s">
        <v>2956</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
      <c r="A54" s="2879" t="s">
        <v>2957</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
      <c r="A55" s="2879" t="s">
        <v>2958</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8" thickBot="1">
      <c r="A56" s="2880" t="s">
        <v>2959</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
      <c r="A57" s="2868" t="s">
        <v>2960</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2941</v>
      </c>
      <c r="B58" s="1809"/>
      <c r="C58" s="1809" t="s">
        <v>2943</v>
      </c>
      <c r="D58" s="1809" t="s">
        <v>2944</v>
      </c>
      <c r="E58" s="819" t="s">
        <v>2945</v>
      </c>
      <c r="F58" s="2873" t="s">
        <v>2961</v>
      </c>
      <c r="G58" s="1809" t="s">
        <v>754</v>
      </c>
      <c r="H58" s="2874"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2" t="s">
        <v>2962</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0">
      <c r="A60" s="2872" t="s">
        <v>2950</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6">
      <c r="A61" s="2872" t="s">
        <v>2951</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2">
      <c r="A62" s="2872" t="s">
        <v>2952</v>
      </c>
      <c r="B62" s="2877" t="s">
        <v>2953</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6">
      <c r="A63" s="2872" t="s">
        <v>2954</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6">
      <c r="A64" s="2872" t="s">
        <v>2955</v>
      </c>
      <c r="B64" s="2878" t="s">
        <v>2956</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
      <c r="A65" s="2872" t="s">
        <v>2957</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
      <c r="A66" s="2872" t="s">
        <v>2958</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8" thickBot="1">
      <c r="A67" s="2880" t="s">
        <v>2959</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
      <c r="A68" s="2868" t="s">
        <v>2963</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2941</v>
      </c>
      <c r="B69" s="1809"/>
      <c r="C69" s="1809" t="s">
        <v>2943</v>
      </c>
      <c r="D69" s="1809" t="s">
        <v>2944</v>
      </c>
      <c r="E69" s="819" t="s">
        <v>2945</v>
      </c>
      <c r="F69" s="2873" t="s">
        <v>2961</v>
      </c>
      <c r="G69" s="1809" t="s">
        <v>754</v>
      </c>
      <c r="H69" s="2874"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2" t="s">
        <v>2964</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0">
      <c r="A71" s="2872" t="s">
        <v>2950</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6">
      <c r="A72" s="2872" t="s">
        <v>2951</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
      <c r="A73" s="2872" t="s">
        <v>2965</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
      <c r="A74" s="2872" t="s">
        <v>2957</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
      <c r="A75" s="2872" t="s">
        <v>2958</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6">
      <c r="A76" s="2872" t="s">
        <v>2955</v>
      </c>
      <c r="B76" s="2878" t="s">
        <v>2956</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7.5">
      <c r="A77" s="2872" t="s">
        <v>2959</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6.5" thickBot="1">
      <c r="A78" s="2880" t="s">
        <v>2966</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4">
      <c r="A79" s="2868" t="s">
        <v>2967</v>
      </c>
      <c r="B79" s="2869">
        <f>1+E81</f>
        <v>1</v>
      </c>
      <c r="C79" s="814"/>
      <c r="D79" s="814"/>
      <c r="E79" s="815"/>
      <c r="F79" s="2871"/>
      <c r="G79" s="6"/>
      <c r="H79" s="6"/>
      <c r="I79" s="6"/>
      <c r="J79" s="7"/>
      <c r="K79" s="7"/>
      <c r="L79" s="7"/>
      <c r="M79" s="7"/>
      <c r="N79" s="7"/>
      <c r="Z79" s="2722"/>
      <c r="AA79" s="2790"/>
      <c r="AG79" s="1372"/>
      <c r="AK79" s="2790"/>
    </row>
    <row r="80" spans="1:37" ht="26">
      <c r="A80" s="2872" t="s">
        <v>2941</v>
      </c>
      <c r="B80" s="1809"/>
      <c r="C80" s="1809" t="s">
        <v>2943</v>
      </c>
      <c r="D80" s="1809" t="s">
        <v>2944</v>
      </c>
      <c r="E80" s="819" t="s">
        <v>2945</v>
      </c>
      <c r="F80" s="2873" t="s">
        <v>2961</v>
      </c>
      <c r="G80" s="1809" t="s">
        <v>754</v>
      </c>
      <c r="H80" s="2874" t="s">
        <v>2947</v>
      </c>
      <c r="I80" s="1809" t="s">
        <v>2948</v>
      </c>
      <c r="J80" s="603" t="s">
        <v>2596</v>
      </c>
      <c r="K80" s="603" t="s">
        <v>2597</v>
      </c>
      <c r="L80" s="603" t="s">
        <v>2598</v>
      </c>
      <c r="M80" s="603" t="s">
        <v>2599</v>
      </c>
      <c r="N80" s="603" t="s">
        <v>2600</v>
      </c>
      <c r="Z80" s="2722"/>
      <c r="AA80" s="2790"/>
      <c r="AG80" s="1372"/>
      <c r="AK80" s="2790"/>
    </row>
    <row r="81" spans="1:37" ht="37.5">
      <c r="A81" s="2872" t="s">
        <v>2968</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0">
      <c r="A82" s="2872" t="s">
        <v>2950</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6">
      <c r="A83" s="2872" t="s">
        <v>2951</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
      <c r="A84" s="2872" t="s">
        <v>2965</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6">
      <c r="A85" s="2872" t="s">
        <v>2957</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6">
      <c r="A86" s="2872" t="s">
        <v>2958</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6">
      <c r="A87" s="2872" t="s">
        <v>2955</v>
      </c>
      <c r="B87" s="2878" t="s">
        <v>2969</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50.5" thickBot="1">
      <c r="A88" s="2880" t="s">
        <v>2970</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ht="13">
      <c r="A90" s="3273" t="s">
        <v>2971</v>
      </c>
      <c r="B90" s="3273"/>
      <c r="C90" s="3273"/>
      <c r="D90" s="3273"/>
      <c r="E90" s="3273"/>
      <c r="F90" s="3273"/>
      <c r="G90" s="3273"/>
      <c r="H90" s="3273"/>
      <c r="I90" s="3273"/>
      <c r="J90" s="3273"/>
      <c r="K90" s="2886"/>
      <c r="L90" s="2886"/>
      <c r="M90" s="2886"/>
      <c r="N90" s="2886"/>
    </row>
    <row r="91" spans="1:37" ht="13">
      <c r="A91" s="3275" t="s">
        <v>2972</v>
      </c>
      <c r="B91" s="3275" t="s">
        <v>2973</v>
      </c>
      <c r="C91" s="2840" t="s">
        <v>2974</v>
      </c>
      <c r="D91" s="2841"/>
      <c r="E91" s="2841"/>
      <c r="F91" s="2841"/>
      <c r="G91" s="2841"/>
      <c r="H91" s="2841"/>
      <c r="I91" s="2841"/>
      <c r="J91" s="2887"/>
      <c r="K91" s="2888"/>
      <c r="L91" s="2888"/>
      <c r="M91" s="2888"/>
      <c r="N91" s="2888"/>
    </row>
    <row r="92" spans="1:37" ht="13">
      <c r="A92" s="3275"/>
      <c r="B92" s="3275"/>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6"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277"/>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ht="13">
      <c r="A101" s="3276" t="s">
        <v>2976</v>
      </c>
      <c r="B101" s="2893" t="s">
        <v>2977</v>
      </c>
      <c r="C101" s="2894">
        <f>$G$3</f>
        <v>1.69</v>
      </c>
      <c r="D101" s="2894">
        <f t="shared" ref="D101:N101" si="31">$G$3</f>
        <v>1.69</v>
      </c>
      <c r="E101" s="2894">
        <f t="shared" si="31"/>
        <v>1.69</v>
      </c>
      <c r="F101" s="2894">
        <f t="shared" si="31"/>
        <v>1.69</v>
      </c>
      <c r="G101" s="2894">
        <f t="shared" si="31"/>
        <v>1.69</v>
      </c>
      <c r="H101" s="2894">
        <f t="shared" si="31"/>
        <v>1.69</v>
      </c>
      <c r="I101" s="2894">
        <f t="shared" si="31"/>
        <v>1.69</v>
      </c>
      <c r="J101" s="2894">
        <f t="shared" si="31"/>
        <v>1.69</v>
      </c>
      <c r="K101" s="2894">
        <f t="shared" si="31"/>
        <v>1.69</v>
      </c>
      <c r="L101" s="2894">
        <f t="shared" si="31"/>
        <v>1.69</v>
      </c>
      <c r="M101" s="2894">
        <f t="shared" si="31"/>
        <v>1.69</v>
      </c>
      <c r="N101" s="2894">
        <f t="shared" si="31"/>
        <v>1.69</v>
      </c>
    </row>
    <row r="102" spans="1:14">
      <c r="A102" s="3277"/>
      <c r="B102" s="2889">
        <v>1</v>
      </c>
      <c r="C102" s="2890">
        <f>1.9362/C101</f>
        <v>1.145680473372781</v>
      </c>
      <c r="D102" s="2890">
        <f>1.9362/D101</f>
        <v>1.145680473372781</v>
      </c>
      <c r="E102" s="2890">
        <f>1.8629/E101</f>
        <v>1.1023076923076924</v>
      </c>
      <c r="F102" s="2890">
        <f>1.8629/F101</f>
        <v>1.1023076923076924</v>
      </c>
      <c r="G102" s="2890">
        <f>1.8629/G101</f>
        <v>1.1023076923076924</v>
      </c>
      <c r="H102" s="2890">
        <f>1.8629/H101</f>
        <v>1.1023076923076924</v>
      </c>
      <c r="I102" s="2890">
        <f>1.8629/I101</f>
        <v>1.1023076923076924</v>
      </c>
      <c r="J102" s="2890">
        <f>1.942/J101</f>
        <v>1.149112426035503</v>
      </c>
      <c r="K102" s="2890">
        <f>1.942/K101</f>
        <v>1.149112426035503</v>
      </c>
      <c r="L102" s="2890">
        <f>1.942/L101</f>
        <v>1.149112426035503</v>
      </c>
      <c r="M102" s="2890">
        <f>1.942/M101</f>
        <v>1.149112426035503</v>
      </c>
      <c r="N102" s="2890">
        <f>1.942/N101</f>
        <v>1.149112426035503</v>
      </c>
    </row>
    <row r="103" spans="1:14">
      <c r="A103" s="3277"/>
      <c r="B103" s="2889">
        <v>2</v>
      </c>
      <c r="C103" s="2890">
        <f>1.4198/C101</f>
        <v>0.84011834319526624</v>
      </c>
      <c r="D103" s="2890">
        <f>1.4198/D101</f>
        <v>0.84011834319526624</v>
      </c>
      <c r="E103" s="2890">
        <f>1.3372/E101</f>
        <v>0.79124260355029585</v>
      </c>
      <c r="F103" s="2890">
        <f>1.3372/F101</f>
        <v>0.79124260355029585</v>
      </c>
      <c r="G103" s="2890">
        <f>1.3372/G101</f>
        <v>0.79124260355029585</v>
      </c>
      <c r="H103" s="2890">
        <f>1.3372/H101</f>
        <v>0.79124260355029585</v>
      </c>
      <c r="I103" s="2890">
        <f>1.3372/I101</f>
        <v>0.79124260355029585</v>
      </c>
      <c r="J103" s="2890">
        <f>1.2799/J101</f>
        <v>0.75733727810650897</v>
      </c>
      <c r="K103" s="2890">
        <f>1.2799/K101</f>
        <v>0.75733727810650897</v>
      </c>
      <c r="L103" s="2890">
        <f>1.2799/L101</f>
        <v>0.75733727810650897</v>
      </c>
      <c r="M103" s="2890">
        <f>1.2799/M101</f>
        <v>0.75733727810650897</v>
      </c>
      <c r="N103" s="2890">
        <f>1.2799/N101</f>
        <v>0.75733727810650897</v>
      </c>
    </row>
    <row r="104" spans="1:14">
      <c r="A104" s="3277"/>
      <c r="B104" s="2889">
        <v>3</v>
      </c>
      <c r="C104" s="2890">
        <f>1.1594/C101</f>
        <v>0.68603550295857985</v>
      </c>
      <c r="D104" s="2890">
        <f>1.1594/D101</f>
        <v>0.68603550295857985</v>
      </c>
      <c r="E104" s="2890">
        <f>1.0788/E101</f>
        <v>0.63834319526627215</v>
      </c>
      <c r="F104" s="2890">
        <f>1.0788/F101</f>
        <v>0.63834319526627215</v>
      </c>
      <c r="G104" s="2890">
        <f>1.0788/G101</f>
        <v>0.63834319526627215</v>
      </c>
      <c r="H104" s="2890">
        <f>1.0788/H101</f>
        <v>0.63834319526627215</v>
      </c>
      <c r="I104" s="2890">
        <f>1.0788/I101</f>
        <v>0.63834319526627215</v>
      </c>
      <c r="J104" s="2890">
        <f>1.0072/J101</f>
        <v>0.59597633136094685</v>
      </c>
      <c r="K104" s="2890">
        <f>1.0072/K101</f>
        <v>0.59597633136094685</v>
      </c>
      <c r="L104" s="2890">
        <f>1.0072/L101</f>
        <v>0.59597633136094685</v>
      </c>
      <c r="M104" s="2890">
        <f>1.0072/M101</f>
        <v>0.59597633136094685</v>
      </c>
      <c r="N104" s="2890">
        <f>1.0072/N101</f>
        <v>0.59597633136094685</v>
      </c>
    </row>
    <row r="105" spans="1:14">
      <c r="A105" s="3277"/>
      <c r="B105" s="2889">
        <v>4</v>
      </c>
      <c r="C105" s="2890">
        <f>0.9622/C101</f>
        <v>0.56934911242603559</v>
      </c>
      <c r="D105" s="2890">
        <f>0.9622/D101</f>
        <v>0.56934911242603559</v>
      </c>
      <c r="E105" s="2890">
        <f>0.8656/E101</f>
        <v>0.51218934911242608</v>
      </c>
      <c r="F105" s="2890">
        <f>0.8656/F101</f>
        <v>0.51218934911242608</v>
      </c>
      <c r="G105" s="2890">
        <f>0.8656/G101</f>
        <v>0.51218934911242608</v>
      </c>
      <c r="H105" s="2890">
        <f>0.8656/H101</f>
        <v>0.51218934911242608</v>
      </c>
      <c r="I105" s="2890">
        <f>0.8656/I101</f>
        <v>0.51218934911242608</v>
      </c>
      <c r="J105" s="2890">
        <f>0.7525/J101</f>
        <v>0.44526627218934911</v>
      </c>
      <c r="K105" s="2890">
        <f>0.7525/K101</f>
        <v>0.44526627218934911</v>
      </c>
      <c r="L105" s="2890">
        <f>0.7525/L101</f>
        <v>0.44526627218934911</v>
      </c>
      <c r="M105" s="2890">
        <f>0.7525/M101</f>
        <v>0.44526627218934911</v>
      </c>
      <c r="N105" s="2890">
        <f>0.7525/N101</f>
        <v>0.44526627218934911</v>
      </c>
    </row>
    <row r="106" spans="1:14">
      <c r="A106" s="3277"/>
      <c r="B106" s="2889">
        <v>5</v>
      </c>
      <c r="C106" s="2890">
        <f>0.8417/C101</f>
        <v>0.49804733727810652</v>
      </c>
      <c r="D106" s="2890">
        <f>0.8417/D101</f>
        <v>0.49804733727810652</v>
      </c>
      <c r="E106" s="2890">
        <f>0.7371/E101</f>
        <v>0.43615384615384617</v>
      </c>
      <c r="F106" s="2890">
        <f>0.7371/F101</f>
        <v>0.43615384615384617</v>
      </c>
      <c r="G106" s="2890">
        <f>0.7371/G101</f>
        <v>0.43615384615384617</v>
      </c>
      <c r="H106" s="2890">
        <f>0.7371/H101</f>
        <v>0.43615384615384617</v>
      </c>
      <c r="I106" s="2890">
        <f>0.7371/I101</f>
        <v>0.43615384615384617</v>
      </c>
      <c r="J106" s="2890">
        <f>0.5659/J101</f>
        <v>0.33485207100591713</v>
      </c>
      <c r="K106" s="2890">
        <f>0.5659/K101</f>
        <v>0.33485207100591713</v>
      </c>
      <c r="L106" s="2890">
        <f>0.5659/L101</f>
        <v>0.33485207100591713</v>
      </c>
      <c r="M106" s="2890">
        <f>0.5659/M101</f>
        <v>0.33485207100591713</v>
      </c>
      <c r="N106" s="2890">
        <f>0.5659/N101</f>
        <v>0.33485207100591713</v>
      </c>
    </row>
    <row r="107" spans="1:14">
      <c r="A107" s="3277"/>
      <c r="B107" s="2889">
        <v>6</v>
      </c>
      <c r="C107" s="2890">
        <f>0.7608/C101</f>
        <v>0.45017751479289941</v>
      </c>
      <c r="D107" s="2890">
        <f>0.7608/D101</f>
        <v>0.45017751479289941</v>
      </c>
      <c r="E107" s="2890">
        <f>0.6482/E101</f>
        <v>0.38355029585798817</v>
      </c>
      <c r="F107" s="2890">
        <f>0.6482/F101</f>
        <v>0.38355029585798817</v>
      </c>
      <c r="G107" s="2890">
        <f>0.6482/G101</f>
        <v>0.38355029585798817</v>
      </c>
      <c r="H107" s="2890">
        <f>0.6482/H101</f>
        <v>0.38355029585798817</v>
      </c>
      <c r="I107" s="2890">
        <f>0.6482/I101</f>
        <v>0.38355029585798817</v>
      </c>
      <c r="J107" s="2890">
        <f>0.4525/J101</f>
        <v>0.26775147928994086</v>
      </c>
      <c r="K107" s="2890">
        <f>0.4525/K101</f>
        <v>0.26775147928994086</v>
      </c>
      <c r="L107" s="2890">
        <f>0.4525/L101</f>
        <v>0.26775147928994086</v>
      </c>
      <c r="M107" s="2890">
        <f>0.4525/M101</f>
        <v>0.26775147928994086</v>
      </c>
      <c r="N107" s="2890">
        <f>0.4525/N101</f>
        <v>0.26775147928994086</v>
      </c>
    </row>
    <row r="108" spans="1:14">
      <c r="A108" s="3277"/>
      <c r="B108" s="3134" t="s">
        <v>2978</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8"/>
      <c r="B109" s="3135"/>
      <c r="C109" s="2892">
        <f>(-0.163*(C108^2)-0.59*C108+7617)*(10^(-4))/C101</f>
        <v>0.45071005917159768</v>
      </c>
      <c r="D109" s="2892">
        <f>(-0.163*(D108^2)-0.59*D108+7617)*(10^(-4))/D101</f>
        <v>0.45071005917159768</v>
      </c>
      <c r="E109" s="2892">
        <f>(-0.161*(E108^2)-7.509*E108+6533)*(10^(-4))/E101</f>
        <v>0.38656804733727812</v>
      </c>
      <c r="F109" s="2892">
        <f>(-0.161*(F108^2)-7.509*F108+6533)*(10^(-4))/F101</f>
        <v>0.38656804733727812</v>
      </c>
      <c r="G109" s="2892">
        <f>(-0.161*(G108^2)-7.509*G108+6533)*(10^(-4))/G101</f>
        <v>0.38656804733727812</v>
      </c>
      <c r="H109" s="2892">
        <f>(-0.161*(H108^2)-7.509*H108+6533)*(10^(-4))/H101</f>
        <v>0.38656804733727812</v>
      </c>
      <c r="I109" s="2892">
        <f>(-0.161*(I108^2)-7.509*I108+6533)*(10^(-4))/I101</f>
        <v>0.38656804733727812</v>
      </c>
      <c r="J109" s="2892">
        <f>(-0.214*(J108^2)-21.991*J108+4665)*(10^(-4))/J101</f>
        <v>0.27603550295857993</v>
      </c>
      <c r="K109" s="2892">
        <f>(-0.214*(K108^2)-21.991*K108+4665)*(10^(-4))/K101</f>
        <v>0.27603550295857993</v>
      </c>
      <c r="L109" s="2892">
        <f>(-0.214*(L108^2)-21.991*L108+4665)*(10^(-4))/L101</f>
        <v>0.27603550295857993</v>
      </c>
      <c r="M109" s="2892">
        <f>(-0.214*(M108^2)-21.991*M108+4665)*(10^(-4))/M101</f>
        <v>0.27603550295857993</v>
      </c>
      <c r="N109" s="2892">
        <f>(-0.214*(N108^2)-21.991*N108+4665)*(10^(-4))/N101</f>
        <v>0.27603550295857993</v>
      </c>
    </row>
    <row r="110" spans="1:14" ht="13">
      <c r="A110" s="3274" t="s">
        <v>2979</v>
      </c>
      <c r="B110" s="3274"/>
      <c r="C110" s="3274"/>
      <c r="D110" s="3274"/>
      <c r="E110" s="3274"/>
      <c r="F110" s="3274"/>
      <c r="G110" s="3274"/>
      <c r="H110" s="3274"/>
      <c r="I110" s="3274"/>
      <c r="J110" s="3274"/>
      <c r="K110" s="2895"/>
      <c r="L110" s="2895"/>
      <c r="M110" s="2895"/>
      <c r="N110" s="2895"/>
    </row>
    <row r="112" spans="1:14" ht="13" thickBot="1"/>
    <row r="113" spans="1:13" ht="26" thickBot="1">
      <c r="A113" s="903" t="s">
        <v>2980</v>
      </c>
      <c r="B113" s="1287">
        <f>G3</f>
        <v>1.69</v>
      </c>
      <c r="C113" s="904" t="s">
        <v>2981</v>
      </c>
      <c r="D113" s="905">
        <f>SUMPRODUCT((A115:A118=F113)*(B114:M114=H113)*B115:M118)</f>
        <v>0</v>
      </c>
      <c r="E113" s="2726" t="s">
        <v>2813</v>
      </c>
      <c r="F113" s="2897">
        <f>E2</f>
        <v>0</v>
      </c>
      <c r="G113" s="2726" t="s">
        <v>2814</v>
      </c>
      <c r="H113" s="2897">
        <f>G2</f>
        <v>0</v>
      </c>
      <c r="I113" s="2726"/>
      <c r="J113" s="2898"/>
      <c r="K113" s="2898"/>
      <c r="L113" s="2898"/>
      <c r="M113" s="2898"/>
    </row>
    <row r="114" spans="1:13" ht="13">
      <c r="A114" s="908"/>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ht="13">
      <c r="A115" s="909" t="s">
        <v>2878</v>
      </c>
      <c r="B115" s="910">
        <f>ROUND(0.9335-0.0094*B113,4)</f>
        <v>0.91759999999999997</v>
      </c>
      <c r="C115" s="910">
        <f>B115</f>
        <v>0.91759999999999997</v>
      </c>
      <c r="D115" s="910">
        <f>ROUND(0.8331-0.0109*B113,4)</f>
        <v>0.81469999999999998</v>
      </c>
      <c r="E115" s="910">
        <f>D115</f>
        <v>0.81469999999999998</v>
      </c>
      <c r="F115" s="910">
        <f>E115</f>
        <v>0.81469999999999998</v>
      </c>
      <c r="G115" s="910">
        <f>F115</f>
        <v>0.81469999999999998</v>
      </c>
      <c r="H115" s="910">
        <f>G115</f>
        <v>0.81469999999999998</v>
      </c>
      <c r="I115" s="910">
        <f>ROUND(0.689-0.0155*B113,4)</f>
        <v>0.66279999999999994</v>
      </c>
      <c r="J115" s="910">
        <f t="shared" ref="J115:M118" si="33">I115</f>
        <v>0.66279999999999994</v>
      </c>
      <c r="K115" s="910">
        <f t="shared" si="33"/>
        <v>0.66279999999999994</v>
      </c>
      <c r="L115" s="910">
        <f t="shared" si="33"/>
        <v>0.66279999999999994</v>
      </c>
      <c r="M115" s="911">
        <f t="shared" si="33"/>
        <v>0.66279999999999994</v>
      </c>
    </row>
    <row r="116" spans="1:13" ht="13">
      <c r="A116" s="909" t="s">
        <v>2879</v>
      </c>
      <c r="B116" s="910">
        <f>ROUND(0.949-0.012*B113,4)</f>
        <v>0.92869999999999997</v>
      </c>
      <c r="C116" s="910">
        <f>B116</f>
        <v>0.92869999999999997</v>
      </c>
      <c r="D116" s="910">
        <f>ROUND(0.8567-0.013*B113,4)</f>
        <v>0.8347</v>
      </c>
      <c r="E116" s="910">
        <f t="shared" ref="E116:H117" si="34">D116</f>
        <v>0.8347</v>
      </c>
      <c r="F116" s="910">
        <f t="shared" si="34"/>
        <v>0.8347</v>
      </c>
      <c r="G116" s="910">
        <f t="shared" si="34"/>
        <v>0.8347</v>
      </c>
      <c r="H116" s="910">
        <f t="shared" si="34"/>
        <v>0.8347</v>
      </c>
      <c r="I116" s="910">
        <f>ROUND(0.7694-0.014*B113,4)</f>
        <v>0.74570000000000003</v>
      </c>
      <c r="J116" s="910">
        <f t="shared" si="33"/>
        <v>0.74570000000000003</v>
      </c>
      <c r="K116" s="910">
        <f t="shared" si="33"/>
        <v>0.74570000000000003</v>
      </c>
      <c r="L116" s="910">
        <f t="shared" si="33"/>
        <v>0.74570000000000003</v>
      </c>
      <c r="M116" s="911">
        <f t="shared" si="33"/>
        <v>0.74570000000000003</v>
      </c>
    </row>
    <row r="117" spans="1:13" ht="13">
      <c r="A117" s="909" t="s">
        <v>2880</v>
      </c>
      <c r="B117" s="910">
        <f>ROUND(0.8808-0.006*B113,4)</f>
        <v>0.87070000000000003</v>
      </c>
      <c r="C117" s="910">
        <f>B117</f>
        <v>0.87070000000000003</v>
      </c>
      <c r="D117" s="910">
        <f>ROUND(0.8748-0.008*B113,4)</f>
        <v>0.86129999999999995</v>
      </c>
      <c r="E117" s="910">
        <f t="shared" si="34"/>
        <v>0.86129999999999995</v>
      </c>
      <c r="F117" s="910">
        <f t="shared" si="34"/>
        <v>0.86129999999999995</v>
      </c>
      <c r="G117" s="910">
        <f t="shared" si="34"/>
        <v>0.86129999999999995</v>
      </c>
      <c r="H117" s="910">
        <f t="shared" si="34"/>
        <v>0.86129999999999995</v>
      </c>
      <c r="I117" s="910">
        <f>ROUND(0.7412-0.0095*B113,4)</f>
        <v>0.72509999999999997</v>
      </c>
      <c r="J117" s="910">
        <f t="shared" si="33"/>
        <v>0.72509999999999997</v>
      </c>
      <c r="K117" s="910">
        <f t="shared" si="33"/>
        <v>0.72509999999999997</v>
      </c>
      <c r="L117" s="910">
        <f t="shared" si="33"/>
        <v>0.72509999999999997</v>
      </c>
      <c r="M117" s="911">
        <f t="shared" si="33"/>
        <v>0.72509999999999997</v>
      </c>
    </row>
    <row r="118" spans="1:13" ht="13.5" thickBot="1">
      <c r="A118" s="714" t="s">
        <v>2881</v>
      </c>
      <c r="B118" s="912">
        <f>ROUND(0.7275-0.01*B113,4)</f>
        <v>0.71060000000000001</v>
      </c>
      <c r="C118" s="912">
        <f>B118</f>
        <v>0.71060000000000001</v>
      </c>
      <c r="D118" s="912">
        <f>ROUND(0.7043-0.012*B113,4)</f>
        <v>0.68400000000000005</v>
      </c>
      <c r="E118" s="912">
        <f>D118</f>
        <v>0.68400000000000005</v>
      </c>
      <c r="F118" s="912">
        <f>E118</f>
        <v>0.68400000000000005</v>
      </c>
      <c r="G118" s="912">
        <f>ROUND(0.6299-0.0122*B113,4)</f>
        <v>0.60929999999999995</v>
      </c>
      <c r="H118" s="912">
        <f>G118</f>
        <v>0.60929999999999995</v>
      </c>
      <c r="I118" s="912">
        <f>ROUND(0.5667-0.0136*B113,4)</f>
        <v>0.54369999999999996</v>
      </c>
      <c r="J118" s="912">
        <f t="shared" si="33"/>
        <v>0.54369999999999996</v>
      </c>
      <c r="K118" s="912">
        <f t="shared" si="33"/>
        <v>0.54369999999999996</v>
      </c>
      <c r="L118" s="912">
        <f t="shared" si="33"/>
        <v>0.54369999999999996</v>
      </c>
      <c r="M118" s="913">
        <f t="shared" si="33"/>
        <v>0.54369999999999996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84" t="s">
        <v>614</v>
      </c>
      <c r="C61" s="818" t="s">
        <v>615</v>
      </c>
      <c r="D61" s="818" t="s">
        <v>616</v>
      </c>
      <c r="E61" s="895">
        <v>0.5</v>
      </c>
      <c r="F61" s="882">
        <v>80</v>
      </c>
    </row>
    <row r="62" spans="1:8" s="878" customFormat="1" ht="26">
      <c r="A62" s="882">
        <v>2</v>
      </c>
      <c r="B62" s="3284"/>
      <c r="C62" s="818" t="s">
        <v>617</v>
      </c>
      <c r="D62" s="818" t="s">
        <v>618</v>
      </c>
      <c r="E62" s="895">
        <v>0.5</v>
      </c>
      <c r="F62" s="882">
        <v>80</v>
      </c>
    </row>
    <row r="63" spans="1:8" s="878" customFormat="1" ht="39">
      <c r="A63" s="882">
        <v>3</v>
      </c>
      <c r="B63" s="3284"/>
      <c r="C63" s="818" t="s">
        <v>619</v>
      </c>
      <c r="D63" s="818" t="s">
        <v>620</v>
      </c>
      <c r="E63" s="895">
        <v>0.5</v>
      </c>
      <c r="F63" s="882">
        <v>80</v>
      </c>
    </row>
    <row r="64" spans="1:8" s="878" customFormat="1" ht="39">
      <c r="A64" s="882">
        <v>4</v>
      </c>
      <c r="B64" s="3284"/>
      <c r="C64" s="818" t="s">
        <v>621</v>
      </c>
      <c r="D64" s="818" t="s">
        <v>622</v>
      </c>
      <c r="E64" s="895">
        <v>0.4</v>
      </c>
      <c r="F64" s="882">
        <v>60</v>
      </c>
    </row>
    <row r="65" spans="1:6" s="878" customFormat="1" ht="39">
      <c r="A65" s="882">
        <v>5</v>
      </c>
      <c r="B65" s="3284"/>
      <c r="C65" s="818" t="s">
        <v>623</v>
      </c>
      <c r="D65" s="818" t="s">
        <v>624</v>
      </c>
      <c r="E65" s="895">
        <v>0.2</v>
      </c>
      <c r="F65" s="882">
        <v>30</v>
      </c>
    </row>
    <row r="66" spans="1:6" s="878" customFormat="1" ht="39">
      <c r="A66" s="882">
        <v>6</v>
      </c>
      <c r="B66" s="3284"/>
      <c r="C66" s="818" t="s">
        <v>625</v>
      </c>
      <c r="D66" s="818" t="s">
        <v>626</v>
      </c>
      <c r="E66" s="895">
        <v>0.3</v>
      </c>
      <c r="F66" s="882">
        <v>50</v>
      </c>
    </row>
    <row r="67" spans="1:6" s="878" customFormat="1" ht="39">
      <c r="A67" s="882">
        <v>7</v>
      </c>
      <c r="B67" s="3284"/>
      <c r="C67" s="818" t="s">
        <v>627</v>
      </c>
      <c r="D67" s="818" t="s">
        <v>628</v>
      </c>
      <c r="E67" s="895">
        <v>0.2</v>
      </c>
      <c r="F67" s="882">
        <v>30</v>
      </c>
    </row>
    <row r="68" spans="1:6" s="878" customFormat="1" ht="39">
      <c r="A68" s="882">
        <v>8</v>
      </c>
      <c r="B68" s="3284"/>
      <c r="C68" s="818" t="s">
        <v>629</v>
      </c>
      <c r="D68" s="818" t="s">
        <v>630</v>
      </c>
      <c r="E68" s="895">
        <v>0.2</v>
      </c>
      <c r="F68" s="882">
        <v>30</v>
      </c>
    </row>
    <row r="69" spans="1:6" s="878" customFormat="1" ht="39">
      <c r="A69" s="882">
        <v>9</v>
      </c>
      <c r="B69" s="3284"/>
      <c r="C69" s="818" t="s">
        <v>631</v>
      </c>
      <c r="D69" s="818" t="s">
        <v>632</v>
      </c>
      <c r="E69" s="895">
        <v>0.2</v>
      </c>
      <c r="F69" s="882">
        <v>30</v>
      </c>
    </row>
    <row r="70" spans="1:6" s="878" customFormat="1" ht="52">
      <c r="A70" s="882">
        <v>10</v>
      </c>
      <c r="B70" s="3284"/>
      <c r="C70" s="818" t="s">
        <v>633</v>
      </c>
      <c r="D70" s="818" t="s">
        <v>634</v>
      </c>
      <c r="E70" s="895">
        <v>0.2</v>
      </c>
      <c r="F70" s="882">
        <v>30</v>
      </c>
    </row>
    <row r="71" spans="1:6" s="878" customFormat="1" ht="52">
      <c r="A71" s="882">
        <v>11</v>
      </c>
      <c r="B71" s="3284"/>
      <c r="C71" s="818" t="s">
        <v>635</v>
      </c>
      <c r="D71" s="818" t="s">
        <v>636</v>
      </c>
      <c r="E71" s="895">
        <v>0.2</v>
      </c>
      <c r="F71" s="882">
        <v>30</v>
      </c>
    </row>
    <row r="72" spans="1:6" s="878" customFormat="1" ht="39">
      <c r="A72" s="882">
        <v>12</v>
      </c>
      <c r="B72" s="3284"/>
      <c r="C72" s="818" t="s">
        <v>637</v>
      </c>
      <c r="D72" s="818" t="s">
        <v>638</v>
      </c>
      <c r="E72" s="895">
        <v>0.5</v>
      </c>
      <c r="F72" s="882">
        <v>80</v>
      </c>
    </row>
    <row r="73" spans="1:6" s="878" customFormat="1" ht="26">
      <c r="A73" s="882">
        <v>13</v>
      </c>
      <c r="B73" s="3284"/>
      <c r="C73" s="818" t="s">
        <v>639</v>
      </c>
      <c r="D73" s="818" t="s">
        <v>640</v>
      </c>
      <c r="E73" s="895">
        <v>0.4</v>
      </c>
      <c r="F73" s="882">
        <v>60</v>
      </c>
    </row>
    <row r="74" spans="1:6" s="878" customFormat="1" ht="26">
      <c r="A74" s="882">
        <v>14</v>
      </c>
      <c r="B74" s="3284"/>
      <c r="C74" s="818" t="s">
        <v>641</v>
      </c>
      <c r="D74" s="818" t="s">
        <v>642</v>
      </c>
      <c r="E74" s="895">
        <v>0.2</v>
      </c>
      <c r="F74" s="882">
        <v>30</v>
      </c>
    </row>
    <row r="75" spans="1:6" s="878" customFormat="1" ht="26">
      <c r="A75" s="882">
        <v>15</v>
      </c>
      <c r="B75" s="3284"/>
      <c r="C75" s="818" t="s">
        <v>643</v>
      </c>
      <c r="D75" s="818" t="s">
        <v>644</v>
      </c>
      <c r="E75" s="895">
        <v>0.2</v>
      </c>
      <c r="F75" s="882">
        <v>30</v>
      </c>
    </row>
    <row r="76" spans="1:6" s="878" customFormat="1" ht="26">
      <c r="A76" s="882">
        <v>16</v>
      </c>
      <c r="B76" s="3284" t="s">
        <v>645</v>
      </c>
      <c r="C76" s="818" t="s">
        <v>646</v>
      </c>
      <c r="D76" s="818" t="s">
        <v>647</v>
      </c>
      <c r="E76" s="895">
        <v>0.5</v>
      </c>
      <c r="F76" s="882">
        <v>80</v>
      </c>
    </row>
    <row r="77" spans="1:6" s="878" customFormat="1" ht="26">
      <c r="A77" s="882">
        <v>17</v>
      </c>
      <c r="B77" s="3284"/>
      <c r="C77" s="818" t="s">
        <v>648</v>
      </c>
      <c r="D77" s="818" t="s">
        <v>649</v>
      </c>
      <c r="E77" s="895">
        <v>0.5</v>
      </c>
      <c r="F77" s="882">
        <v>80</v>
      </c>
    </row>
    <row r="78" spans="1:6" s="878" customFormat="1" ht="26">
      <c r="A78" s="882">
        <v>18</v>
      </c>
      <c r="B78" s="3284"/>
      <c r="C78" s="818" t="s">
        <v>650</v>
      </c>
      <c r="D78" s="818" t="s">
        <v>651</v>
      </c>
      <c r="E78" s="895">
        <v>0.2</v>
      </c>
      <c r="F78" s="882">
        <v>30</v>
      </c>
    </row>
    <row r="79" spans="1:6" s="878" customFormat="1" ht="26">
      <c r="A79" s="882">
        <v>19</v>
      </c>
      <c r="B79" s="3284"/>
      <c r="C79" s="818" t="s">
        <v>652</v>
      </c>
      <c r="D79" s="818" t="s">
        <v>653</v>
      </c>
      <c r="E79" s="895">
        <v>0.5</v>
      </c>
      <c r="F79" s="882">
        <v>80</v>
      </c>
    </row>
    <row r="80" spans="1:6" s="878" customFormat="1" ht="39">
      <c r="A80" s="882">
        <v>20</v>
      </c>
      <c r="B80" s="3284"/>
      <c r="C80" s="818" t="s">
        <v>654</v>
      </c>
      <c r="D80" s="818" t="s">
        <v>655</v>
      </c>
      <c r="E80" s="895">
        <v>0.2</v>
      </c>
      <c r="F80" s="882">
        <v>30</v>
      </c>
    </row>
    <row r="81" spans="1:6" s="878" customFormat="1" ht="39">
      <c r="A81" s="882">
        <v>21</v>
      </c>
      <c r="B81" s="3284"/>
      <c r="C81" s="818" t="s">
        <v>656</v>
      </c>
      <c r="D81" s="818" t="s">
        <v>657</v>
      </c>
      <c r="E81" s="895">
        <v>0.2</v>
      </c>
      <c r="F81" s="882">
        <v>30</v>
      </c>
    </row>
    <row r="82" spans="1:6" s="878" customFormat="1" ht="52">
      <c r="A82" s="882">
        <v>22</v>
      </c>
      <c r="B82" s="3284"/>
      <c r="C82" s="818" t="s">
        <v>658</v>
      </c>
      <c r="D82" s="818" t="s">
        <v>659</v>
      </c>
      <c r="E82" s="895">
        <v>0.2</v>
      </c>
      <c r="F82" s="882">
        <v>30</v>
      </c>
    </row>
    <row r="83" spans="1:6" s="878" customFormat="1" ht="52">
      <c r="A83" s="882">
        <v>23</v>
      </c>
      <c r="B83" s="3284"/>
      <c r="C83" s="818" t="s">
        <v>660</v>
      </c>
      <c r="D83" s="818" t="s">
        <v>661</v>
      </c>
      <c r="E83" s="895">
        <v>0.2</v>
      </c>
      <c r="F83" s="882">
        <v>30</v>
      </c>
    </row>
    <row r="84" spans="1:6" s="878" customFormat="1" ht="39">
      <c r="A84" s="882">
        <v>24</v>
      </c>
      <c r="B84" s="3284"/>
      <c r="C84" s="818" t="s">
        <v>662</v>
      </c>
      <c r="D84" s="818" t="s">
        <v>663</v>
      </c>
      <c r="E84" s="895">
        <v>0.2</v>
      </c>
      <c r="F84" s="882">
        <v>30</v>
      </c>
    </row>
    <row r="85" spans="1:6" s="878" customFormat="1" ht="39">
      <c r="A85" s="882">
        <v>25</v>
      </c>
      <c r="B85" s="3284"/>
      <c r="C85" s="818" t="s">
        <v>664</v>
      </c>
      <c r="D85" s="818" t="s">
        <v>665</v>
      </c>
      <c r="E85" s="895">
        <v>0.5</v>
      </c>
      <c r="F85" s="882">
        <v>80</v>
      </c>
    </row>
    <row r="86" spans="1:6" s="878" customFormat="1" ht="39">
      <c r="A86" s="882">
        <v>26</v>
      </c>
      <c r="B86" s="3284"/>
      <c r="C86" s="818" t="s">
        <v>666</v>
      </c>
      <c r="D86" s="818" t="s">
        <v>667</v>
      </c>
      <c r="E86" s="895">
        <v>0.2</v>
      </c>
      <c r="F86" s="882">
        <v>30</v>
      </c>
    </row>
    <row r="87" spans="1:6" s="878" customFormat="1" ht="39">
      <c r="A87" s="882">
        <v>27</v>
      </c>
      <c r="B87" s="3284"/>
      <c r="C87" s="818" t="s">
        <v>668</v>
      </c>
      <c r="D87" s="818" t="s">
        <v>669</v>
      </c>
      <c r="E87" s="895">
        <v>0.2</v>
      </c>
      <c r="F87" s="882">
        <v>30</v>
      </c>
    </row>
    <row r="88" spans="1:6" s="878" customFormat="1" ht="39">
      <c r="A88" s="882">
        <v>28</v>
      </c>
      <c r="B88" s="3284"/>
      <c r="C88" s="818" t="s">
        <v>670</v>
      </c>
      <c r="D88" s="818" t="s">
        <v>671</v>
      </c>
      <c r="E88" s="895">
        <v>0.2</v>
      </c>
      <c r="F88" s="882">
        <v>30</v>
      </c>
    </row>
    <row r="89" spans="1:6" s="878" customFormat="1" ht="26">
      <c r="A89" s="882">
        <v>29</v>
      </c>
      <c r="B89" s="3284"/>
      <c r="C89" s="818" t="s">
        <v>672</v>
      </c>
      <c r="D89" s="818" t="s">
        <v>673</v>
      </c>
      <c r="E89" s="895">
        <v>0.2</v>
      </c>
      <c r="F89" s="882">
        <v>30</v>
      </c>
    </row>
    <row r="90" spans="1:6" s="878" customFormat="1" ht="26">
      <c r="A90" s="882">
        <v>30</v>
      </c>
      <c r="B90" s="3284"/>
      <c r="C90" s="818" t="s">
        <v>674</v>
      </c>
      <c r="D90" s="818" t="s">
        <v>675</v>
      </c>
      <c r="E90" s="895">
        <v>0.2</v>
      </c>
      <c r="F90" s="882">
        <v>30</v>
      </c>
    </row>
    <row r="91" spans="1:6" s="878" customFormat="1" ht="39">
      <c r="A91" s="882">
        <v>31</v>
      </c>
      <c r="B91" s="3284"/>
      <c r="C91" s="818" t="s">
        <v>676</v>
      </c>
      <c r="D91" s="818" t="s">
        <v>677</v>
      </c>
      <c r="E91" s="895">
        <v>0.2</v>
      </c>
      <c r="F91" s="882">
        <v>30</v>
      </c>
    </row>
    <row r="92" spans="1:6" s="878" customFormat="1" ht="26">
      <c r="A92" s="882">
        <v>32</v>
      </c>
      <c r="B92" s="3284" t="s">
        <v>678</v>
      </c>
      <c r="C92" s="882" t="s">
        <v>679</v>
      </c>
      <c r="D92" s="818" t="s">
        <v>680</v>
      </c>
      <c r="E92" s="895">
        <v>0.2</v>
      </c>
      <c r="F92" s="882">
        <v>30</v>
      </c>
    </row>
    <row r="93" spans="1:6" s="878" customFormat="1" ht="39">
      <c r="A93" s="882">
        <v>33</v>
      </c>
      <c r="B93" s="3284"/>
      <c r="C93" s="882" t="s">
        <v>681</v>
      </c>
      <c r="D93" s="818" t="s">
        <v>682</v>
      </c>
      <c r="E93" s="895">
        <v>0.2</v>
      </c>
      <c r="F93" s="882">
        <v>30</v>
      </c>
    </row>
    <row r="94" spans="1:6" s="878" customFormat="1" ht="52">
      <c r="A94" s="882">
        <v>34</v>
      </c>
      <c r="B94" s="3284"/>
      <c r="C94" s="882" t="s">
        <v>683</v>
      </c>
      <c r="D94" s="818" t="s">
        <v>684</v>
      </c>
      <c r="E94" s="895">
        <v>0.2</v>
      </c>
      <c r="F94" s="882">
        <v>30</v>
      </c>
    </row>
    <row r="95" spans="1:6" s="878" customFormat="1" ht="39">
      <c r="A95" s="882">
        <v>35</v>
      </c>
      <c r="B95" s="3284"/>
      <c r="C95" s="882" t="s">
        <v>685</v>
      </c>
      <c r="D95" s="818" t="s">
        <v>686</v>
      </c>
      <c r="E95" s="895">
        <v>0.2</v>
      </c>
      <c r="F95" s="882">
        <v>30</v>
      </c>
    </row>
    <row r="96" spans="1:6" s="878" customFormat="1" ht="52">
      <c r="A96" s="882">
        <v>36</v>
      </c>
      <c r="B96" s="3284"/>
      <c r="C96" s="818" t="s">
        <v>687</v>
      </c>
      <c r="D96" s="818" t="s">
        <v>688</v>
      </c>
      <c r="E96" s="895">
        <v>0.2</v>
      </c>
      <c r="F96" s="882">
        <v>30</v>
      </c>
    </row>
    <row r="97" spans="1:6" s="878" customFormat="1" ht="39">
      <c r="A97" s="882">
        <v>37</v>
      </c>
      <c r="B97" s="3284"/>
      <c r="C97" s="882" t="s">
        <v>689</v>
      </c>
      <c r="D97" s="818" t="s">
        <v>690</v>
      </c>
      <c r="E97" s="895">
        <v>0.2</v>
      </c>
      <c r="F97" s="882">
        <v>30</v>
      </c>
    </row>
    <row r="98" spans="1:6" s="878" customFormat="1" ht="39">
      <c r="A98" s="882">
        <v>38</v>
      </c>
      <c r="B98" s="3284"/>
      <c r="C98" s="882" t="s">
        <v>691</v>
      </c>
      <c r="D98" s="818" t="s">
        <v>692</v>
      </c>
      <c r="E98" s="895">
        <v>0.2</v>
      </c>
      <c r="F98" s="882">
        <v>30</v>
      </c>
    </row>
    <row r="99" spans="1:6" s="878" customFormat="1" ht="39">
      <c r="A99" s="882">
        <v>39</v>
      </c>
      <c r="B99" s="3284" t="s">
        <v>693</v>
      </c>
      <c r="C99" s="882" t="s">
        <v>694</v>
      </c>
      <c r="D99" s="818" t="s">
        <v>695</v>
      </c>
      <c r="E99" s="895">
        <v>0.3</v>
      </c>
      <c r="F99" s="882">
        <v>50</v>
      </c>
    </row>
    <row r="100" spans="1:6" s="878" customFormat="1" ht="26">
      <c r="A100" s="882">
        <v>40</v>
      </c>
      <c r="B100" s="3284"/>
      <c r="C100" s="882" t="s">
        <v>696</v>
      </c>
      <c r="D100" s="818" t="s">
        <v>697</v>
      </c>
      <c r="E100" s="895">
        <v>0.2</v>
      </c>
      <c r="F100" s="882">
        <v>30</v>
      </c>
    </row>
    <row r="101" spans="1:6" s="878" customFormat="1" ht="39">
      <c r="A101" s="882">
        <v>41</v>
      </c>
      <c r="B101" s="3284"/>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84" t="s">
        <v>708</v>
      </c>
      <c r="C105" s="882" t="s">
        <v>709</v>
      </c>
      <c r="D105" s="818" t="s">
        <v>710</v>
      </c>
      <c r="E105" s="895">
        <v>0.2</v>
      </c>
      <c r="F105" s="882">
        <v>30</v>
      </c>
    </row>
    <row r="106" spans="1:6" s="878" customFormat="1" ht="39">
      <c r="A106" s="882">
        <v>46</v>
      </c>
      <c r="B106" s="3284"/>
      <c r="C106" s="882" t="s">
        <v>711</v>
      </c>
      <c r="D106" s="818" t="s">
        <v>712</v>
      </c>
      <c r="E106" s="895">
        <v>0.2</v>
      </c>
      <c r="F106" s="882">
        <v>30</v>
      </c>
    </row>
    <row r="107" spans="1:6" s="878" customFormat="1" ht="39">
      <c r="A107" s="882">
        <v>47</v>
      </c>
      <c r="B107" s="3284" t="s">
        <v>713</v>
      </c>
      <c r="C107" s="882" t="s">
        <v>714</v>
      </c>
      <c r="D107" s="818" t="s">
        <v>715</v>
      </c>
      <c r="E107" s="895">
        <v>0.3</v>
      </c>
      <c r="F107" s="882">
        <v>50</v>
      </c>
    </row>
    <row r="108" spans="1:6" s="878" customFormat="1" ht="39">
      <c r="A108" s="882">
        <v>48</v>
      </c>
      <c r="B108" s="3284"/>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84" t="s">
        <v>724</v>
      </c>
      <c r="C111" s="882" t="s">
        <v>725</v>
      </c>
      <c r="D111" s="818" t="s">
        <v>726</v>
      </c>
      <c r="E111" s="895">
        <v>0.2</v>
      </c>
      <c r="F111" s="882">
        <v>30</v>
      </c>
    </row>
    <row r="112" spans="1:6" s="878" customFormat="1" ht="26">
      <c r="A112" s="882">
        <v>52</v>
      </c>
      <c r="B112" s="3284"/>
      <c r="C112" s="882" t="s">
        <v>727</v>
      </c>
      <c r="D112" s="818" t="s">
        <v>728</v>
      </c>
      <c r="E112" s="895">
        <v>0.2</v>
      </c>
      <c r="F112" s="882">
        <v>30</v>
      </c>
    </row>
    <row r="113" spans="1:6" s="878" customFormat="1" ht="26">
      <c r="A113" s="882">
        <v>53</v>
      </c>
      <c r="B113" s="3284"/>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84" t="s">
        <v>737</v>
      </c>
      <c r="C116" s="882" t="s">
        <v>738</v>
      </c>
      <c r="D116" s="818" t="s">
        <v>739</v>
      </c>
      <c r="E116" s="895">
        <v>0.2</v>
      </c>
      <c r="F116" s="882">
        <v>30</v>
      </c>
    </row>
    <row r="117" spans="1:6" ht="39">
      <c r="A117" s="882">
        <v>57</v>
      </c>
      <c r="B117" s="3284"/>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1796875" style="1959" customWidth="1"/>
    <col min="3" max="3" width="11.36328125" style="1959" customWidth="1"/>
    <col min="4" max="4" width="31.81640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8.5" thickBot="1">
      <c r="A4" s="1960"/>
      <c r="B4" s="2979" t="s">
        <v>1624</v>
      </c>
      <c r="C4" s="2979"/>
      <c r="D4" s="2979"/>
      <c r="E4" s="1960"/>
    </row>
    <row r="5" spans="1:5" ht="16" thickTop="1">
      <c r="A5" s="1958"/>
      <c r="B5" s="2977" t="s">
        <v>1616</v>
      </c>
      <c r="C5" s="1961" t="s">
        <v>1617</v>
      </c>
      <c r="D5" s="1040">
        <f ca="1">结果表!H101</f>
        <v>7340</v>
      </c>
      <c r="E5" s="1958"/>
    </row>
    <row r="6" spans="1:5" ht="15.5">
      <c r="A6" s="1958"/>
      <c r="B6" s="2977"/>
      <c r="C6" s="1961" t="s">
        <v>1618</v>
      </c>
      <c r="D6" s="1040" t="str">
        <f ca="1">NUMBERSTRING(INT(D5*10000),2)&amp;"元整"</f>
        <v>柒仟叁佰肆拾万元整</v>
      </c>
      <c r="E6" s="1958"/>
    </row>
    <row r="7" spans="1:5" ht="15.5">
      <c r="A7" s="1958"/>
      <c r="B7" s="2982"/>
      <c r="C7" s="1962" t="s">
        <v>1619</v>
      </c>
      <c r="D7" s="1041">
        <f ca="1">结果表!H102</f>
        <v>4433</v>
      </c>
      <c r="E7" s="1958"/>
    </row>
    <row r="8" spans="1:5" ht="15.5">
      <c r="A8" s="1958"/>
      <c r="B8" s="2983" t="str">
        <f>结果表!E103</f>
        <v>2.估价师知悉的法定优先受偿款</v>
      </c>
      <c r="C8" s="1963" t="s">
        <v>1620</v>
      </c>
      <c r="D8" s="1041">
        <f>结果表!H103</f>
        <v>0</v>
      </c>
      <c r="E8" s="1958"/>
    </row>
    <row r="9" spans="1:5" ht="15.5">
      <c r="A9" s="1958"/>
      <c r="B9" s="2985"/>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76" t="str">
        <f>结果表!E107</f>
        <v>3.房地产抵押价值</v>
      </c>
      <c r="C13" s="1966" t="s">
        <v>1617</v>
      </c>
      <c r="D13" s="1043">
        <f ca="1">结果表!H107</f>
        <v>7340</v>
      </c>
      <c r="E13" s="1958"/>
    </row>
    <row r="14" spans="1:5" ht="15.5">
      <c r="A14" s="1958"/>
      <c r="B14" s="2977"/>
      <c r="C14" s="1961" t="s">
        <v>1618</v>
      </c>
      <c r="D14" s="1040" t="str">
        <f ca="1">NUMBERSTRING(INT(D13*10000),2)&amp;"元整"</f>
        <v>柒仟叁佰肆拾万元整</v>
      </c>
      <c r="E14" s="1958"/>
    </row>
    <row r="15" spans="1:5" ht="15.5">
      <c r="A15" s="1958"/>
      <c r="B15" s="2982"/>
      <c r="C15" s="1962" t="s">
        <v>1628</v>
      </c>
      <c r="D15" s="1052">
        <f ca="1">结果表!H108</f>
        <v>1292</v>
      </c>
      <c r="E15" s="1958"/>
    </row>
    <row r="16" spans="1:5" ht="15">
      <c r="A16" s="1958"/>
      <c r="B16" s="2983" t="str">
        <f>结果表!E109</f>
        <v>——</v>
      </c>
      <c r="C16" s="1966" t="s">
        <v>1629</v>
      </c>
      <c r="D16" s="1967" t="str">
        <f>结果表!H109</f>
        <v>——</v>
      </c>
      <c r="E16" s="1958"/>
    </row>
    <row r="17" spans="1:5" ht="15.5">
      <c r="A17" s="1958"/>
      <c r="B17" s="2984"/>
      <c r="C17" s="1961" t="s">
        <v>1630</v>
      </c>
      <c r="D17" s="1040" t="e">
        <f>NUMBERSTRING(INT(D16*10000),2)&amp;"元整"</f>
        <v>#VALUE!</v>
      </c>
      <c r="E17" s="1958"/>
    </row>
    <row r="18" spans="1:5" ht="15.5">
      <c r="A18" s="1958"/>
      <c r="B18" s="2985"/>
      <c r="C18" s="1962" t="s">
        <v>1619</v>
      </c>
      <c r="D18" s="1052" t="str">
        <f>结果表!H110</f>
        <v>——</v>
      </c>
      <c r="E18" s="1958"/>
    </row>
    <row r="19" spans="1:5" ht="15.5">
      <c r="A19" s="1958"/>
      <c r="B19" s="2976" t="str">
        <f>结果表!E111</f>
        <v>——</v>
      </c>
      <c r="C19" s="1966" t="s">
        <v>1617</v>
      </c>
      <c r="D19" s="1041" t="str">
        <f>结果表!H111</f>
        <v>——</v>
      </c>
      <c r="E19" s="1958"/>
    </row>
    <row r="20" spans="1:5" ht="15.5">
      <c r="A20" s="1958"/>
      <c r="B20" s="2977"/>
      <c r="C20" s="1961" t="s">
        <v>1630</v>
      </c>
      <c r="D20" s="1040" t="e">
        <f>NUMBERSTRING(INT(D19*10000),2)&amp;"元整"</f>
        <v>#VALUE!</v>
      </c>
      <c r="E20" s="1958"/>
    </row>
    <row r="21" spans="1:5" ht="16" thickBot="1">
      <c r="A21" s="1958"/>
      <c r="B21" s="2978"/>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3002</v>
      </c>
    </row>
    <row r="2" spans="1:5" ht="15.5">
      <c r="A2" s="2904" t="s">
        <v>2994</v>
      </c>
      <c r="B2" s="2905" t="e">
        <f ca="1">SUMIF(B6:B13,"&lt;&gt;#ref!",B6:B13)</f>
        <v>#DIV/0!</v>
      </c>
      <c r="C2" s="2904" t="s">
        <v>2995</v>
      </c>
      <c r="D2" s="2904" t="s">
        <v>2996</v>
      </c>
      <c r="E2" s="2905">
        <f ca="1">SUMIF(E6:E13,"&lt;&gt;#ref!",E6:E13)</f>
        <v>0</v>
      </c>
    </row>
    <row r="3" spans="1:5" ht="15.5">
      <c r="A3" s="2904" t="s">
        <v>2997</v>
      </c>
      <c r="B3" s="2905" t="e">
        <f ca="1">ROUND(B2*10000/E2,0)</f>
        <v>#DIV/0!</v>
      </c>
      <c r="C3" s="2904" t="s">
        <v>3003</v>
      </c>
      <c r="D3" s="2906"/>
      <c r="E3" s="2906"/>
    </row>
    <row r="4" spans="1:5" ht="15.5">
      <c r="A4" s="2907"/>
      <c r="B4" s="2906"/>
      <c r="C4" s="2906"/>
      <c r="D4" s="2906"/>
      <c r="E4" s="2906"/>
    </row>
    <row r="5" spans="1:5" ht="30">
      <c r="A5" s="2908" t="s">
        <v>2998</v>
      </c>
      <c r="B5" s="2904" t="s">
        <v>2999</v>
      </c>
      <c r="C5" s="2905"/>
      <c r="D5" s="2906"/>
      <c r="E5" s="2904" t="s">
        <v>3000</v>
      </c>
    </row>
    <row r="6" spans="1:5" ht="15.5">
      <c r="A6" s="2909" t="s">
        <v>3001</v>
      </c>
      <c r="B6" s="2905" t="e">
        <f ca="1">SUMIF(INDIRECT("'"&amp;A6&amp;"'"&amp;"!A:A"),"总价",INDIRECT("'"&amp;A6&amp;"'"&amp;"!B:B"))</f>
        <v>#DIV/0!</v>
      </c>
      <c r="C6" s="2904" t="s">
        <v>2995</v>
      </c>
      <c r="D6" s="2906"/>
      <c r="E6" s="2577">
        <f ca="1">SUMIF(INDIRECT("'"&amp;A6&amp;"'"&amp;"!C:C"),"建筑面积",INDIRECT("'"&amp;A6&amp;"'"&amp;"!D:D"))</f>
        <v>0</v>
      </c>
    </row>
    <row r="7" spans="1:5" ht="15.5">
      <c r="A7" s="2909"/>
      <c r="B7" s="2905" t="e">
        <f ca="1">SUMIF(INDIRECT("'"&amp;A7&amp;"'"&amp;"!A:A"),"总价",INDIRECT("'"&amp;A7&amp;"'"&amp;"!B:B"))</f>
        <v>#REF!</v>
      </c>
      <c r="C7" s="2904" t="s">
        <v>2995</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2995</v>
      </c>
      <c r="D8" s="2906"/>
      <c r="E8" s="2577" t="e">
        <f t="shared" ca="1" si="0"/>
        <v>#REF!</v>
      </c>
    </row>
    <row r="9" spans="1:5" ht="15.5">
      <c r="A9" s="2909"/>
      <c r="B9" s="2905" t="e">
        <f t="shared" ca="1" si="1"/>
        <v>#REF!</v>
      </c>
      <c r="C9" s="2904" t="s">
        <v>2995</v>
      </c>
      <c r="D9" s="2906"/>
      <c r="E9" s="2577" t="e">
        <f t="shared" ca="1" si="0"/>
        <v>#REF!</v>
      </c>
    </row>
    <row r="10" spans="1:5" ht="15.5">
      <c r="A10" s="2909"/>
      <c r="B10" s="2905" t="e">
        <f t="shared" ca="1" si="1"/>
        <v>#REF!</v>
      </c>
      <c r="C10" s="2904" t="s">
        <v>2995</v>
      </c>
      <c r="D10" s="2906"/>
      <c r="E10" s="2577" t="e">
        <f t="shared" ca="1" si="0"/>
        <v>#REF!</v>
      </c>
    </row>
    <row r="11" spans="1:5" ht="15.5">
      <c r="A11" s="2909"/>
      <c r="B11" s="2905" t="e">
        <f t="shared" ca="1" si="1"/>
        <v>#REF!</v>
      </c>
      <c r="C11" s="2904" t="s">
        <v>2995</v>
      </c>
      <c r="D11" s="2906"/>
      <c r="E11" s="2577" t="e">
        <f t="shared" ca="1" si="0"/>
        <v>#REF!</v>
      </c>
    </row>
    <row r="12" spans="1:5" ht="15.5">
      <c r="A12" s="2909"/>
      <c r="B12" s="2905" t="e">
        <f t="shared" ca="1" si="1"/>
        <v>#REF!</v>
      </c>
      <c r="C12" s="2904" t="s">
        <v>2995</v>
      </c>
      <c r="D12" s="2906"/>
      <c r="E12" s="2577" t="e">
        <f t="shared" ca="1" si="0"/>
        <v>#REF!</v>
      </c>
    </row>
    <row r="13" spans="1:5" ht="15.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H6" sqref="H6"/>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90" t="s">
        <v>1145</v>
      </c>
      <c r="C1" s="3290"/>
      <c r="D1" s="3290"/>
      <c r="E1" s="3290"/>
      <c r="F1" s="3290"/>
      <c r="G1" s="3289" t="s">
        <v>1146</v>
      </c>
      <c r="H1" s="3289"/>
      <c r="I1" s="3289"/>
      <c r="J1" s="3289"/>
      <c r="K1" s="3289"/>
      <c r="L1" s="3289"/>
      <c r="N1" s="3289" t="s">
        <v>1147</v>
      </c>
      <c r="O1" s="3289"/>
      <c r="P1" s="3289"/>
      <c r="Q1" s="3289"/>
      <c r="R1" s="1446"/>
      <c r="S1" s="3289" t="s">
        <v>1148</v>
      </c>
      <c r="T1" s="3289"/>
      <c r="U1" s="3289"/>
      <c r="V1" s="3289"/>
      <c r="X1" s="3288" t="s">
        <v>1149</v>
      </c>
      <c r="Y1" s="3289"/>
      <c r="Z1" s="3289"/>
      <c r="AA1" s="3289"/>
      <c r="AB1" s="3289"/>
      <c r="AD1" s="3288" t="s">
        <v>1150</v>
      </c>
      <c r="AE1" s="3289"/>
      <c r="AF1" s="3289"/>
      <c r="AG1" s="3289"/>
      <c r="AH1" s="3289"/>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3037</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ht="13">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ht="13">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ht="13">
      <c r="A10" s="1461" t="s">
        <v>3050</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8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ht="13">
      <c r="A14" s="1461" t="s">
        <v>3033</v>
      </c>
      <c r="B14" s="1469">
        <v>439</v>
      </c>
      <c r="C14" s="1469">
        <v>327</v>
      </c>
      <c r="D14" s="1469">
        <f>C14</f>
        <v>327</v>
      </c>
      <c r="E14" s="1469">
        <v>627</v>
      </c>
      <c r="F14" s="1470">
        <v>283</v>
      </c>
      <c r="G14" s="329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3">
      <c r="A18" s="1461" t="s">
        <v>154</v>
      </c>
      <c r="B18" s="1469">
        <v>392</v>
      </c>
      <c r="C18" s="1469">
        <v>302</v>
      </c>
      <c r="D18" s="1469">
        <f>C18</f>
        <v>302</v>
      </c>
      <c r="E18" s="1469">
        <v>553</v>
      </c>
      <c r="F18" s="1470">
        <v>266</v>
      </c>
      <c r="G18" s="329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8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8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9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3">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8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 thickBot="1">
      <c r="A37" s="1461" t="s">
        <v>1165</v>
      </c>
      <c r="B37" s="1477">
        <f>B36/(1+N36)</f>
        <v>275.19025476197027</v>
      </c>
      <c r="C37" s="1513">
        <v>232</v>
      </c>
      <c r="D37" s="1513">
        <f t="shared" si="119"/>
        <v>232</v>
      </c>
      <c r="E37" s="1477">
        <f t="shared" si="130"/>
        <v>375.65990977608692</v>
      </c>
      <c r="F37" s="1477">
        <f t="shared" si="130"/>
        <v>214.12518283971252</v>
      </c>
      <c r="G37" s="328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8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8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8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8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8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8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8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8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8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6">
        <v>2003</v>
      </c>
      <c r="H72" s="1465">
        <v>2</v>
      </c>
      <c r="I72" s="1534"/>
      <c r="J72" s="1534"/>
      <c r="K72" s="1534"/>
      <c r="L72" s="1534"/>
      <c r="X72" s="1526"/>
      <c r="Y72" s="1526"/>
      <c r="Z72" s="1526"/>
    </row>
    <row r="73" spans="1:26" ht="13" thickBot="1">
      <c r="A73" s="1461" t="s">
        <v>1201</v>
      </c>
      <c r="B73" s="1536">
        <f t="shared" si="155"/>
        <v>107.25</v>
      </c>
      <c r="C73" s="1536">
        <f t="shared" si="155"/>
        <v>108.75</v>
      </c>
      <c r="D73" s="1536">
        <f t="shared" si="119"/>
        <v>108.75</v>
      </c>
      <c r="E73" s="1536">
        <f t="shared" si="156"/>
        <v>105.75</v>
      </c>
      <c r="F73" s="1536">
        <f t="shared" si="156"/>
        <v>102.5</v>
      </c>
      <c r="G73" s="328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8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6">
        <v>2002</v>
      </c>
      <c r="H76" s="1465">
        <v>2</v>
      </c>
      <c r="I76" s="1534"/>
      <c r="J76" s="1534"/>
      <c r="K76" s="1534"/>
      <c r="L76" s="1534"/>
      <c r="X76" s="1526"/>
      <c r="Y76" s="1526"/>
      <c r="Z76" s="1526"/>
    </row>
    <row r="77" spans="1:26" s="1498" customFormat="1" ht="13" thickBot="1">
      <c r="A77" s="1494" t="s">
        <v>1205</v>
      </c>
      <c r="B77" s="1540">
        <f t="shared" si="157"/>
        <v>103</v>
      </c>
      <c r="C77" s="1540">
        <f t="shared" si="157"/>
        <v>104</v>
      </c>
      <c r="D77" s="1540">
        <f t="shared" si="119"/>
        <v>104</v>
      </c>
      <c r="E77" s="1540">
        <f t="shared" si="158"/>
        <v>103.5</v>
      </c>
      <c r="F77" s="1540">
        <f t="shared" si="158"/>
        <v>100.5</v>
      </c>
      <c r="G77" s="328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7" t="s">
        <v>3005</v>
      </c>
      <c r="D1" s="3298"/>
      <c r="E1" s="3298"/>
      <c r="F1" s="3298"/>
      <c r="G1" s="3298"/>
      <c r="H1" s="3298"/>
      <c r="I1" s="3298"/>
      <c r="J1" s="3298"/>
      <c r="K1" s="3298"/>
      <c r="L1" s="3298"/>
      <c r="M1" s="3298"/>
      <c r="N1" s="3298"/>
      <c r="O1" s="3298"/>
      <c r="P1" s="3298"/>
      <c r="Q1" s="3298"/>
      <c r="R1" s="3298"/>
      <c r="S1" s="3299"/>
      <c r="T1" s="1204" t="s">
        <v>3006</v>
      </c>
    </row>
    <row r="2" spans="1:45" s="707" customFormat="1" ht="13">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10" t="s">
        <v>3014</v>
      </c>
      <c r="B17" s="2911"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3016</v>
      </c>
      <c r="E19" s="1792"/>
      <c r="F19" s="1792"/>
      <c r="G19" s="1792"/>
      <c r="H19" s="1280"/>
      <c r="I19" s="168"/>
      <c r="J19" s="168"/>
      <c r="K19" s="168"/>
      <c r="L19" s="168"/>
      <c r="M19" s="168"/>
      <c r="N19" s="168"/>
      <c r="O19" s="168"/>
      <c r="P19" s="168"/>
      <c r="Q19" s="168"/>
      <c r="R19" s="788"/>
      <c r="S19" s="138"/>
    </row>
    <row r="20" spans="1:45" ht="16" thickBot="1">
      <c r="A20" s="715" t="s">
        <v>3017</v>
      </c>
      <c r="B20" s="338" t="e">
        <f ca="1">IF(D20="——",S22,S22-F20)</f>
        <v>#REF!</v>
      </c>
      <c r="C20" s="168"/>
      <c r="D20" s="2913" t="s">
        <v>3018</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5">
      <c r="A21" s="715" t="s">
        <v>3020</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3021</v>
      </c>
      <c r="B22" s="24">
        <f>SUM(B24:B10000)</f>
        <v>100</v>
      </c>
      <c r="C22" s="3156" t="s">
        <v>33</v>
      </c>
      <c r="D22" s="3157"/>
      <c r="E22" s="3157"/>
      <c r="F22" s="3157"/>
      <c r="G22" s="3157"/>
      <c r="H22" s="3157"/>
      <c r="I22" s="3157"/>
      <c r="J22" s="3157"/>
      <c r="K22" s="3157"/>
      <c r="L22" s="3157"/>
      <c r="M22" s="3157"/>
      <c r="N22" s="3157"/>
      <c r="O22" s="3157"/>
      <c r="P22" s="3157"/>
      <c r="Q22" s="3296"/>
      <c r="R22" s="716">
        <f>ROUND(S22*10000/B22,0)</f>
        <v>10000</v>
      </c>
      <c r="S22" s="24">
        <f>SUM(S24:S10000)</f>
        <v>100</v>
      </c>
    </row>
    <row r="23" spans="1:45" s="12" customFormat="1" ht="26">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42958</v>
      </c>
      <c r="C2" s="2" t="s">
        <v>133</v>
      </c>
      <c r="D2" s="243"/>
      <c r="E2" s="243"/>
      <c r="F2" s="243"/>
      <c r="G2" s="243"/>
    </row>
    <row r="3" spans="1:7" s="244" customFormat="1" ht="18" customHeight="1" thickBot="1">
      <c r="A3" s="247" t="s">
        <v>85</v>
      </c>
      <c r="B3" s="248">
        <f ca="1">ROUND(B2*10000/'数据-汇总表'!E3,0)</f>
        <v>7561</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682</v>
      </c>
      <c r="D10" s="1032">
        <f>'数据-汇总表'!E6</f>
        <v>56816.98</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1136</v>
      </c>
      <c r="D19" s="1036">
        <f>'数据-汇总表'!E3</f>
        <v>56816.98</v>
      </c>
      <c r="E19" s="255">
        <f>'数据-取费表'!B31</f>
        <v>200</v>
      </c>
      <c r="F19" s="275"/>
      <c r="G19" s="1" t="s">
        <v>1070</v>
      </c>
    </row>
    <row r="20" spans="1:7" s="258" customFormat="1" ht="13.5" customHeight="1">
      <c r="A20" s="948" t="s">
        <v>1053</v>
      </c>
      <c r="B20" s="254" t="s">
        <v>104</v>
      </c>
      <c r="C20" s="276">
        <f>ROUND((C5+C19)*F20,0)</f>
        <v>435</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110</v>
      </c>
      <c r="D24" s="282"/>
      <c r="E24" s="282"/>
      <c r="F24" s="283"/>
      <c r="G24" s="284" t="s">
        <v>109</v>
      </c>
    </row>
    <row r="25" spans="1:7" s="258" customFormat="1" ht="26">
      <c r="A25" s="951" t="s">
        <v>793</v>
      </c>
      <c r="B25" s="259" t="s">
        <v>1054</v>
      </c>
      <c r="C25" s="1355">
        <f ca="1">ROUND(IF('数据-取费表'!B22&lt;=1,C20*F22*'数据-取费表'!B23/2,C20*(POWER((1+F22),'数据-取费表'!B23/2)-1)),0)</f>
        <v>21</v>
      </c>
      <c r="D25" s="282"/>
      <c r="E25" s="285"/>
      <c r="F25" s="283"/>
      <c r="G25" s="286" t="s">
        <v>110</v>
      </c>
    </row>
    <row r="26" spans="1:7" s="258" customFormat="1" ht="13">
      <c r="A26" s="951" t="s">
        <v>795</v>
      </c>
      <c r="B26" s="259" t="s">
        <v>1056</v>
      </c>
      <c r="C26" s="282">
        <f ca="1">ROUND(IF('数据-取费表'!B22&lt;=1,F21*F22*'数据-取费表'!B23/2,F21*(POWER((1+F22),'数据-取费表'!B23/2)-1)),4)</f>
        <v>1E-3</v>
      </c>
      <c r="D26" s="282"/>
      <c r="E26" s="285"/>
      <c r="F26" s="283"/>
      <c r="G26" s="287"/>
    </row>
    <row r="27" spans="1:7" s="258" customFormat="1" ht="27">
      <c r="A27" s="948" t="s">
        <v>787</v>
      </c>
      <c r="B27" s="288" t="s">
        <v>112</v>
      </c>
      <c r="C27" s="289">
        <f>C28</f>
        <v>1331</v>
      </c>
      <c r="D27" s="279">
        <f>C29</f>
        <v>1.1999999999999999E-3</v>
      </c>
      <c r="E27" s="280" t="s">
        <v>126</v>
      </c>
      <c r="F27" s="290">
        <f>'数据-取费表'!Q16</f>
        <v>0.06</v>
      </c>
      <c r="G27" s="291" t="s">
        <v>1065</v>
      </c>
    </row>
    <row r="28" spans="1:7" s="258" customFormat="1" ht="13.5" customHeight="1">
      <c r="A28" s="951" t="s">
        <v>794</v>
      </c>
      <c r="B28" s="292" t="s">
        <v>1058</v>
      </c>
      <c r="C28" s="293">
        <f>ROUND((C5+C19+C20)*F27*'数据-取费表'!B21/'数据-取费表'!B20,0)</f>
        <v>1331</v>
      </c>
      <c r="D28" s="279"/>
      <c r="E28" s="280"/>
      <c r="F28" s="290"/>
      <c r="G28" s="291"/>
    </row>
    <row r="29" spans="1:7" s="258" customFormat="1" ht="13.5" customHeight="1">
      <c r="A29" s="951" t="s">
        <v>792</v>
      </c>
      <c r="B29" s="292" t="s">
        <v>1059</v>
      </c>
      <c r="C29" s="282">
        <f>ROUND(C21*F27*'数据-取费表'!B21/'数据-取费表'!B20,4)</f>
        <v>1.1999999999999999E-3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27714</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13876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12191</v>
      </c>
      <c r="D34" s="261"/>
      <c r="E34" s="264"/>
      <c r="F34" s="301">
        <f>IF('数据-取费表'!B24=0,1,'数据-取费表'!N16)</f>
        <v>1</v>
      </c>
      <c r="G34" s="263" t="s">
        <v>116</v>
      </c>
    </row>
    <row r="35" spans="1:7" ht="13.5" customHeight="1">
      <c r="A35" s="951" t="s">
        <v>796</v>
      </c>
      <c r="B35" s="259" t="s">
        <v>60</v>
      </c>
      <c r="C35" s="264">
        <f>ROUND(C34*F35,0)</f>
        <v>366</v>
      </c>
      <c r="D35" s="264"/>
      <c r="E35" s="264"/>
      <c r="F35" s="303">
        <f>'数据-取费表'!B33</f>
        <v>0.03</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1136</v>
      </c>
      <c r="D37" s="261">
        <f>'数据-汇总表'!E3</f>
        <v>56816.98</v>
      </c>
      <c r="E37" s="293">
        <f>'数据-取费表'!B35</f>
        <v>200</v>
      </c>
      <c r="F37" s="303"/>
      <c r="G37" s="305" t="s">
        <v>119</v>
      </c>
    </row>
    <row r="38" spans="1:7" ht="13.5" customHeight="1">
      <c r="A38" s="951" t="s">
        <v>799</v>
      </c>
      <c r="B38" s="259" t="s">
        <v>63</v>
      </c>
      <c r="C38" s="264">
        <f>ROUND(C34*F38,0)</f>
        <v>183</v>
      </c>
      <c r="D38" s="264"/>
      <c r="E38" s="264"/>
      <c r="F38" s="303">
        <f>'数据-取费表'!B36</f>
        <v>1.4999999999999999E-2</v>
      </c>
      <c r="G38" s="263" t="s">
        <v>117</v>
      </c>
    </row>
    <row r="39" spans="1:7" s="258" customFormat="1" ht="13.5" customHeight="1">
      <c r="A39" s="948" t="s">
        <v>783</v>
      </c>
      <c r="B39" s="254" t="s">
        <v>104</v>
      </c>
      <c r="C39" s="276">
        <f>ROUND(C33*F20,0)</f>
        <v>278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672</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659</v>
      </c>
      <c r="D42" s="282"/>
      <c r="E42" s="282"/>
      <c r="F42" s="283"/>
      <c r="G42" s="3161" t="s">
        <v>121</v>
      </c>
    </row>
    <row r="43" spans="1:7" ht="13.5" customHeight="1">
      <c r="A43" s="951" t="s">
        <v>792</v>
      </c>
      <c r="B43" s="259" t="s">
        <v>1060</v>
      </c>
      <c r="C43" s="282">
        <f ca="1">ROUND(IF('数据-取费表'!B22&lt;=1,C39*F22*'数据-取费表'!B21/2,C39*(POWER((1+F22),'数据-取费表'!B21/2)-1)),0)</f>
        <v>13</v>
      </c>
      <c r="D43" s="282"/>
      <c r="E43" s="282"/>
      <c r="F43" s="283"/>
      <c r="G43" s="3162"/>
    </row>
    <row r="44" spans="1:7" ht="13.5" customHeight="1">
      <c r="A44" s="951" t="s">
        <v>793</v>
      </c>
      <c r="B44" s="259" t="s">
        <v>1062</v>
      </c>
      <c r="C44" s="282">
        <f ca="1">ROUND(IF('数据-取费表'!B22&lt;=1,C40*F22*'数据-取费表'!B21/2,C40*(POWER((1+F22),'数据-取费表'!B21/2)-1)),4)</f>
        <v>1E-3</v>
      </c>
      <c r="D44" s="282"/>
      <c r="E44" s="282"/>
      <c r="F44" s="283"/>
      <c r="G44" s="3163"/>
    </row>
    <row r="45" spans="1:7" s="258" customFormat="1" ht="13.5" customHeight="1">
      <c r="A45" s="948" t="s">
        <v>786</v>
      </c>
      <c r="B45" s="288" t="s">
        <v>112</v>
      </c>
      <c r="C45" s="289">
        <f>C46</f>
        <v>849</v>
      </c>
      <c r="D45" s="279">
        <f>C47</f>
        <v>1.1999999999999999E-3</v>
      </c>
      <c r="E45" s="280" t="s">
        <v>129</v>
      </c>
      <c r="F45" s="290"/>
      <c r="G45" s="291" t="s">
        <v>1068</v>
      </c>
    </row>
    <row r="46" spans="1:7" s="258" customFormat="1" ht="13.5" customHeight="1">
      <c r="A46" s="951" t="s">
        <v>794</v>
      </c>
      <c r="B46" s="292" t="s">
        <v>1061</v>
      </c>
      <c r="C46" s="293">
        <f>ROUND((C33+C39)*F27,0)</f>
        <v>849</v>
      </c>
      <c r="D46" s="307"/>
      <c r="E46" s="280"/>
      <c r="F46" s="290"/>
      <c r="G46" s="291"/>
    </row>
    <row r="47" spans="1:7" s="258" customFormat="1" ht="13.5" customHeight="1">
      <c r="A47" s="951" t="s">
        <v>792</v>
      </c>
      <c r="B47" s="292" t="s">
        <v>1063</v>
      </c>
      <c r="C47" s="282">
        <f>ROUND(C40*F27,4)</f>
        <v>1.1999999999999999E-3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16938</v>
      </c>
      <c r="D49" s="276"/>
      <c r="E49" s="276"/>
      <c r="F49" s="308"/>
      <c r="G49" s="278" t="s">
        <v>1069</v>
      </c>
    </row>
    <row r="50" spans="1:7" s="302" customFormat="1" ht="26">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15244</v>
      </c>
      <c r="D51" s="276"/>
      <c r="E51" s="276"/>
      <c r="F51" s="308"/>
      <c r="G51" s="278" t="s">
        <v>64</v>
      </c>
    </row>
    <row r="52" spans="1:7" s="252" customFormat="1" ht="16.5" thickBot="1">
      <c r="A52" s="309" t="s">
        <v>65</v>
      </c>
      <c r="B52" s="310"/>
      <c r="C52" s="311">
        <f ca="1">C31+C51</f>
        <v>42958</v>
      </c>
      <c r="D52" s="310"/>
      <c r="E52" s="310"/>
      <c r="F52" s="310"/>
      <c r="G52" s="312"/>
    </row>
    <row r="55" spans="1:7" ht="15.5">
      <c r="B55" s="314" t="s">
        <v>66</v>
      </c>
      <c r="C55" s="315"/>
    </row>
    <row r="56" spans="1:7" ht="13">
      <c r="B56" s="317" t="s">
        <v>67</v>
      </c>
      <c r="C56" s="318">
        <f ca="1">ROUND(C51/C52,3)</f>
        <v>0.35499999999999998</v>
      </c>
    </row>
    <row r="57" spans="1:7" ht="13">
      <c r="B57" s="317" t="s">
        <v>68</v>
      </c>
      <c r="C57" s="319">
        <f ca="1">1-C56</f>
        <v>0.64500000000000002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300" t="s">
        <v>867</v>
      </c>
      <c r="B1" s="3300"/>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8" customWidth="1"/>
    <col min="2" max="2" width="13.179687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1796875" style="1644" customWidth="1"/>
    <col min="9" max="9" width="9" style="1644"/>
    <col min="10" max="10" width="9.36328125" style="1644" bestFit="1" customWidth="1"/>
    <col min="11" max="11" width="4" style="1638" customWidth="1"/>
    <col min="12" max="12" width="5.08984375" style="1644" customWidth="1"/>
    <col min="13" max="13" width="13.81640625" style="1644" customWidth="1"/>
    <col min="14" max="256" width="9" style="1644"/>
    <col min="257" max="257" width="4.90625" style="1635" customWidth="1"/>
    <col min="258" max="258" width="13.179687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81640625" style="1635" customWidth="1"/>
    <col min="270" max="512" width="9" style="1635"/>
    <col min="513" max="513" width="4.90625" style="1635" customWidth="1"/>
    <col min="514" max="514" width="13.179687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81640625" style="1635" customWidth="1"/>
    <col min="526" max="768" width="9" style="1635"/>
    <col min="769" max="769" width="4.90625" style="1635" customWidth="1"/>
    <col min="770" max="770" width="13.179687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81640625" style="1635" customWidth="1"/>
    <col min="782" max="1024" width="9" style="1635"/>
    <col min="1025" max="1025" width="4.90625" style="1635" customWidth="1"/>
    <col min="1026" max="1026" width="13.179687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81640625" style="1635" customWidth="1"/>
    <col min="1038" max="1280" width="9" style="1635"/>
    <col min="1281" max="1281" width="4.90625" style="1635" customWidth="1"/>
    <col min="1282" max="1282" width="13.179687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81640625" style="1635" customWidth="1"/>
    <col min="1294" max="1536" width="9" style="1635"/>
    <col min="1537" max="1537" width="4.90625" style="1635" customWidth="1"/>
    <col min="1538" max="1538" width="13.179687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81640625" style="1635" customWidth="1"/>
    <col min="1550" max="1792" width="9" style="1635"/>
    <col min="1793" max="1793" width="4.90625" style="1635" customWidth="1"/>
    <col min="1794" max="1794" width="13.179687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81640625" style="1635" customWidth="1"/>
    <col min="1806" max="2048" width="9" style="1635"/>
    <col min="2049" max="2049" width="4.90625" style="1635" customWidth="1"/>
    <col min="2050" max="2050" width="13.179687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81640625" style="1635" customWidth="1"/>
    <col min="2062" max="2304" width="9" style="1635"/>
    <col min="2305" max="2305" width="4.90625" style="1635" customWidth="1"/>
    <col min="2306" max="2306" width="13.179687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81640625" style="1635" customWidth="1"/>
    <col min="2318" max="2560" width="9" style="1635"/>
    <col min="2561" max="2561" width="4.90625" style="1635" customWidth="1"/>
    <col min="2562" max="2562" width="13.179687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81640625" style="1635" customWidth="1"/>
    <col min="2574" max="2816" width="9" style="1635"/>
    <col min="2817" max="2817" width="4.90625" style="1635" customWidth="1"/>
    <col min="2818" max="2818" width="13.179687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81640625" style="1635" customWidth="1"/>
    <col min="2830" max="3072" width="9" style="1635"/>
    <col min="3073" max="3073" width="4.90625" style="1635" customWidth="1"/>
    <col min="3074" max="3074" width="13.179687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81640625" style="1635" customWidth="1"/>
    <col min="3086" max="3328" width="9" style="1635"/>
    <col min="3329" max="3329" width="4.90625" style="1635" customWidth="1"/>
    <col min="3330" max="3330" width="13.179687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81640625" style="1635" customWidth="1"/>
    <col min="3342" max="3584" width="9" style="1635"/>
    <col min="3585" max="3585" width="4.90625" style="1635" customWidth="1"/>
    <col min="3586" max="3586" width="13.179687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81640625" style="1635" customWidth="1"/>
    <col min="3598" max="3840" width="9" style="1635"/>
    <col min="3841" max="3841" width="4.90625" style="1635" customWidth="1"/>
    <col min="3842" max="3842" width="13.179687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81640625" style="1635" customWidth="1"/>
    <col min="3854" max="4096" width="9" style="1635"/>
    <col min="4097" max="4097" width="4.90625" style="1635" customWidth="1"/>
    <col min="4098" max="4098" width="13.179687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81640625" style="1635" customWidth="1"/>
    <col min="4110" max="4352" width="9" style="1635"/>
    <col min="4353" max="4353" width="4.90625" style="1635" customWidth="1"/>
    <col min="4354" max="4354" width="13.179687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81640625" style="1635" customWidth="1"/>
    <col min="4366" max="4608" width="9" style="1635"/>
    <col min="4609" max="4609" width="4.90625" style="1635" customWidth="1"/>
    <col min="4610" max="4610" width="13.179687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81640625" style="1635" customWidth="1"/>
    <col min="4622" max="4864" width="9" style="1635"/>
    <col min="4865" max="4865" width="4.90625" style="1635" customWidth="1"/>
    <col min="4866" max="4866" width="13.179687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81640625" style="1635" customWidth="1"/>
    <col min="4878" max="5120" width="9" style="1635"/>
    <col min="5121" max="5121" width="4.90625" style="1635" customWidth="1"/>
    <col min="5122" max="5122" width="13.179687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81640625" style="1635" customWidth="1"/>
    <col min="5134" max="5376" width="9" style="1635"/>
    <col min="5377" max="5377" width="4.90625" style="1635" customWidth="1"/>
    <col min="5378" max="5378" width="13.179687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81640625" style="1635" customWidth="1"/>
    <col min="5390" max="5632" width="9" style="1635"/>
    <col min="5633" max="5633" width="4.90625" style="1635" customWidth="1"/>
    <col min="5634" max="5634" width="13.179687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81640625" style="1635" customWidth="1"/>
    <col min="5646" max="5888" width="9" style="1635"/>
    <col min="5889" max="5889" width="4.90625" style="1635" customWidth="1"/>
    <col min="5890" max="5890" width="13.179687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81640625" style="1635" customWidth="1"/>
    <col min="5902" max="6144" width="9" style="1635"/>
    <col min="6145" max="6145" width="4.90625" style="1635" customWidth="1"/>
    <col min="6146" max="6146" width="13.179687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81640625" style="1635" customWidth="1"/>
    <col min="6158" max="6400" width="9" style="1635"/>
    <col min="6401" max="6401" width="4.90625" style="1635" customWidth="1"/>
    <col min="6402" max="6402" width="13.179687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81640625" style="1635" customWidth="1"/>
    <col min="6414" max="6656" width="9" style="1635"/>
    <col min="6657" max="6657" width="4.90625" style="1635" customWidth="1"/>
    <col min="6658" max="6658" width="13.179687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81640625" style="1635" customWidth="1"/>
    <col min="6670" max="6912" width="9" style="1635"/>
    <col min="6913" max="6913" width="4.90625" style="1635" customWidth="1"/>
    <col min="6914" max="6914" width="13.179687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81640625" style="1635" customWidth="1"/>
    <col min="6926" max="7168" width="9" style="1635"/>
    <col min="7169" max="7169" width="4.90625" style="1635" customWidth="1"/>
    <col min="7170" max="7170" width="13.179687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81640625" style="1635" customWidth="1"/>
    <col min="7182" max="7424" width="9" style="1635"/>
    <col min="7425" max="7425" width="4.90625" style="1635" customWidth="1"/>
    <col min="7426" max="7426" width="13.179687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81640625" style="1635" customWidth="1"/>
    <col min="7438" max="7680" width="9" style="1635"/>
    <col min="7681" max="7681" width="4.90625" style="1635" customWidth="1"/>
    <col min="7682" max="7682" width="13.179687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81640625" style="1635" customWidth="1"/>
    <col min="7694" max="7936" width="9" style="1635"/>
    <col min="7937" max="7937" width="4.90625" style="1635" customWidth="1"/>
    <col min="7938" max="7938" width="13.179687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81640625" style="1635" customWidth="1"/>
    <col min="7950" max="8192" width="9" style="1635"/>
    <col min="8193" max="8193" width="4.90625" style="1635" customWidth="1"/>
    <col min="8194" max="8194" width="13.179687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81640625" style="1635" customWidth="1"/>
    <col min="8206" max="8448" width="9" style="1635"/>
    <col min="8449" max="8449" width="4.90625" style="1635" customWidth="1"/>
    <col min="8450" max="8450" width="13.179687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81640625" style="1635" customWidth="1"/>
    <col min="8462" max="8704" width="9" style="1635"/>
    <col min="8705" max="8705" width="4.90625" style="1635" customWidth="1"/>
    <col min="8706" max="8706" width="13.179687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81640625" style="1635" customWidth="1"/>
    <col min="8718" max="8960" width="9" style="1635"/>
    <col min="8961" max="8961" width="4.90625" style="1635" customWidth="1"/>
    <col min="8962" max="8962" width="13.179687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81640625" style="1635" customWidth="1"/>
    <col min="8974" max="9216" width="9" style="1635"/>
    <col min="9217" max="9217" width="4.90625" style="1635" customWidth="1"/>
    <col min="9218" max="9218" width="13.179687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81640625" style="1635" customWidth="1"/>
    <col min="9230" max="9472" width="9" style="1635"/>
    <col min="9473" max="9473" width="4.90625" style="1635" customWidth="1"/>
    <col min="9474" max="9474" width="13.179687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81640625" style="1635" customWidth="1"/>
    <col min="9486" max="9728" width="9" style="1635"/>
    <col min="9729" max="9729" width="4.90625" style="1635" customWidth="1"/>
    <col min="9730" max="9730" width="13.179687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81640625" style="1635" customWidth="1"/>
    <col min="9742" max="9984" width="9" style="1635"/>
    <col min="9985" max="9985" width="4.90625" style="1635" customWidth="1"/>
    <col min="9986" max="9986" width="13.179687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81640625" style="1635" customWidth="1"/>
    <col min="9998" max="10240" width="9" style="1635"/>
    <col min="10241" max="10241" width="4.90625" style="1635" customWidth="1"/>
    <col min="10242" max="10242" width="13.179687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81640625" style="1635" customWidth="1"/>
    <col min="10254" max="10496" width="9" style="1635"/>
    <col min="10497" max="10497" width="4.90625" style="1635" customWidth="1"/>
    <col min="10498" max="10498" width="13.179687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81640625" style="1635" customWidth="1"/>
    <col min="10510" max="10752" width="9" style="1635"/>
    <col min="10753" max="10753" width="4.90625" style="1635" customWidth="1"/>
    <col min="10754" max="10754" width="13.179687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81640625" style="1635" customWidth="1"/>
    <col min="10766" max="11008" width="9" style="1635"/>
    <col min="11009" max="11009" width="4.90625" style="1635" customWidth="1"/>
    <col min="11010" max="11010" width="13.179687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81640625" style="1635" customWidth="1"/>
    <col min="11022" max="11264" width="9" style="1635"/>
    <col min="11265" max="11265" width="4.90625" style="1635" customWidth="1"/>
    <col min="11266" max="11266" width="13.179687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81640625" style="1635" customWidth="1"/>
    <col min="11278" max="11520" width="9" style="1635"/>
    <col min="11521" max="11521" width="4.90625" style="1635" customWidth="1"/>
    <col min="11522" max="11522" width="13.179687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81640625" style="1635" customWidth="1"/>
    <col min="11534" max="11776" width="9" style="1635"/>
    <col min="11777" max="11777" width="4.90625" style="1635" customWidth="1"/>
    <col min="11778" max="11778" width="13.179687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81640625" style="1635" customWidth="1"/>
    <col min="11790" max="12032" width="9" style="1635"/>
    <col min="12033" max="12033" width="4.90625" style="1635" customWidth="1"/>
    <col min="12034" max="12034" width="13.179687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81640625" style="1635" customWidth="1"/>
    <col min="12046" max="12288" width="9" style="1635"/>
    <col min="12289" max="12289" width="4.90625" style="1635" customWidth="1"/>
    <col min="12290" max="12290" width="13.179687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81640625" style="1635" customWidth="1"/>
    <col min="12302" max="12544" width="9" style="1635"/>
    <col min="12545" max="12545" width="4.90625" style="1635" customWidth="1"/>
    <col min="12546" max="12546" width="13.179687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81640625" style="1635" customWidth="1"/>
    <col min="12558" max="12800" width="9" style="1635"/>
    <col min="12801" max="12801" width="4.90625" style="1635" customWidth="1"/>
    <col min="12802" max="12802" width="13.179687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81640625" style="1635" customWidth="1"/>
    <col min="12814" max="13056" width="9" style="1635"/>
    <col min="13057" max="13057" width="4.90625" style="1635" customWidth="1"/>
    <col min="13058" max="13058" width="13.179687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81640625" style="1635" customWidth="1"/>
    <col min="13070" max="13312" width="9" style="1635"/>
    <col min="13313" max="13313" width="4.90625" style="1635" customWidth="1"/>
    <col min="13314" max="13314" width="13.179687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81640625" style="1635" customWidth="1"/>
    <col min="13326" max="13568" width="9" style="1635"/>
    <col min="13569" max="13569" width="4.90625" style="1635" customWidth="1"/>
    <col min="13570" max="13570" width="13.179687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81640625" style="1635" customWidth="1"/>
    <col min="13582" max="13824" width="9" style="1635"/>
    <col min="13825" max="13825" width="4.90625" style="1635" customWidth="1"/>
    <col min="13826" max="13826" width="13.179687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81640625" style="1635" customWidth="1"/>
    <col min="13838" max="14080" width="9" style="1635"/>
    <col min="14081" max="14081" width="4.90625" style="1635" customWidth="1"/>
    <col min="14082" max="14082" width="13.179687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81640625" style="1635" customWidth="1"/>
    <col min="14094" max="14336" width="9" style="1635"/>
    <col min="14337" max="14337" width="4.90625" style="1635" customWidth="1"/>
    <col min="14338" max="14338" width="13.179687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81640625" style="1635" customWidth="1"/>
    <col min="14350" max="14592" width="9" style="1635"/>
    <col min="14593" max="14593" width="4.90625" style="1635" customWidth="1"/>
    <col min="14594" max="14594" width="13.179687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81640625" style="1635" customWidth="1"/>
    <col min="14606" max="14848" width="9" style="1635"/>
    <col min="14849" max="14849" width="4.90625" style="1635" customWidth="1"/>
    <col min="14850" max="14850" width="13.179687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81640625" style="1635" customWidth="1"/>
    <col min="14862" max="15104" width="9" style="1635"/>
    <col min="15105" max="15105" width="4.90625" style="1635" customWidth="1"/>
    <col min="15106" max="15106" width="13.179687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81640625" style="1635" customWidth="1"/>
    <col min="15118" max="15360" width="9" style="1635"/>
    <col min="15361" max="15361" width="4.90625" style="1635" customWidth="1"/>
    <col min="15362" max="15362" width="13.179687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81640625" style="1635" customWidth="1"/>
    <col min="15374" max="15616" width="9" style="1635"/>
    <col min="15617" max="15617" width="4.90625" style="1635" customWidth="1"/>
    <col min="15618" max="15618" width="13.179687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81640625" style="1635" customWidth="1"/>
    <col min="15630" max="15872" width="9" style="1635"/>
    <col min="15873" max="15873" width="4.90625" style="1635" customWidth="1"/>
    <col min="15874" max="15874" width="13.179687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81640625" style="1635" customWidth="1"/>
    <col min="15886" max="16128" width="9" style="1635"/>
    <col min="16129" max="16129" width="4.90625" style="1635" customWidth="1"/>
    <col min="16130" max="16130" width="13.179687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81640625" style="1635" customWidth="1"/>
    <col min="16142" max="16384" width="9" style="1635"/>
  </cols>
  <sheetData>
    <row r="1" spans="1:257" s="1699" customFormat="1" ht="14.5" thickBot="1">
      <c r="A1" s="1693"/>
      <c r="B1" s="1700" t="s">
        <v>1295</v>
      </c>
      <c r="C1" s="1694">
        <f>项目基本情况!D3</f>
        <v>43900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1635</v>
      </c>
      <c r="B2" s="2996" t="s">
        <v>1636</v>
      </c>
      <c r="C2" s="2996" t="s">
        <v>1637</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6">
      <c r="A3" s="2990"/>
      <c r="B3" s="2990"/>
      <c r="C3" s="2990"/>
      <c r="D3" s="1044" t="s">
        <v>1632</v>
      </c>
      <c r="E3" s="1044" t="s">
        <v>1638</v>
      </c>
      <c r="F3" s="1044" t="s">
        <v>1632</v>
      </c>
      <c r="G3" s="1044" t="s">
        <v>1633</v>
      </c>
      <c r="H3" s="1044" t="s">
        <v>1632</v>
      </c>
      <c r="I3" s="1044" t="s">
        <v>1633</v>
      </c>
    </row>
    <row r="4" spans="1:9" ht="31">
      <c r="A4" s="1972" t="str">
        <f>项目基本情况!S2</f>
        <v>房地产</v>
      </c>
      <c r="B4" s="1044">
        <f>项目基本情况!C17</f>
        <v>56816.98</v>
      </c>
      <c r="C4" s="1044">
        <f>项目基本情况!C18</f>
        <v>9793.7800000000007</v>
      </c>
      <c r="D4" s="1044" t="e">
        <f ca="1">结果表!D118</f>
        <v>#REF!</v>
      </c>
      <c r="E4" s="1044" t="e">
        <f ca="1">结果表!E118</f>
        <v>#REF!</v>
      </c>
      <c r="F4" s="1044" t="e">
        <f ca="1">结果表!F118</f>
        <v>#REF!</v>
      </c>
      <c r="G4" s="1044" t="e">
        <f ca="1">结果表!G118</f>
        <v>#REF!</v>
      </c>
      <c r="H4" s="1044">
        <f ca="1">结果表!H118</f>
        <v>7340</v>
      </c>
      <c r="I4" s="1044">
        <f ca="1">结果表!I118</f>
        <v>4433</v>
      </c>
    </row>
    <row r="5" spans="1:9" ht="30" customHeight="1">
      <c r="A5" s="2990" t="s">
        <v>1634</v>
      </c>
      <c r="B5" s="2990"/>
      <c r="C5" s="2990"/>
      <c r="D5" s="2991" t="e">
        <f ca="1">结果表!D119</f>
        <v>#REF!</v>
      </c>
      <c r="E5" s="2991"/>
      <c r="F5" s="2991" t="e">
        <f ca="1">结果表!F119</f>
        <v>#REF!</v>
      </c>
      <c r="G5" s="2991"/>
      <c r="H5" s="2991" t="str">
        <f ca="1">结果表!H119</f>
        <v>柒仟叁佰肆拾万元整</v>
      </c>
      <c r="I5" s="2991"/>
    </row>
    <row r="6" spans="1:9" ht="15.5">
      <c r="A6" s="2989" t="str">
        <f>结果表!A120</f>
        <v>估价师知悉的法定优先受偿款</v>
      </c>
      <c r="B6" s="2989"/>
      <c r="C6" s="2989"/>
      <c r="D6" s="2989">
        <f>结果表!D120</f>
        <v>0</v>
      </c>
      <c r="E6" s="2989"/>
      <c r="F6" s="2989"/>
      <c r="G6" s="2989"/>
      <c r="H6" s="2989"/>
      <c r="I6" s="2989"/>
    </row>
    <row r="7" spans="1:9" ht="15.5">
      <c r="A7" s="2990" t="s">
        <v>1634</v>
      </c>
      <c r="B7" s="2990"/>
      <c r="C7" s="2990"/>
      <c r="D7" s="2992" t="str">
        <f>结果表!D121</f>
        <v>零元整</v>
      </c>
      <c r="E7" s="2993"/>
      <c r="F7" s="2993"/>
      <c r="G7" s="2993"/>
      <c r="H7" s="2993"/>
      <c r="I7" s="2994"/>
    </row>
    <row r="8" spans="1:9" ht="15.5">
      <c r="A8" s="2989" t="str">
        <f>结果表!A122</f>
        <v>房地产抵押价值</v>
      </c>
      <c r="B8" s="2989"/>
      <c r="C8" s="2989"/>
      <c r="D8" s="2989">
        <f ca="1">结果表!D122</f>
        <v>7340</v>
      </c>
      <c r="E8" s="2989"/>
      <c r="F8" s="2989"/>
      <c r="G8" s="2989"/>
      <c r="H8" s="2989"/>
      <c r="I8" s="2989"/>
    </row>
    <row r="9" spans="1:9" ht="15.5">
      <c r="A9" s="2990" t="s">
        <v>1634</v>
      </c>
      <c r="B9" s="2990"/>
      <c r="C9" s="2990"/>
      <c r="D9" s="2991" t="str">
        <f ca="1">结果表!D123</f>
        <v>柒仟叁佰肆拾万元整</v>
      </c>
      <c r="E9" s="2991"/>
      <c r="F9" s="2991"/>
      <c r="G9" s="2991"/>
      <c r="H9" s="2991"/>
      <c r="I9" s="2991"/>
    </row>
    <row r="10" spans="1:9" ht="15.5">
      <c r="A10" s="2989" t="str">
        <f>结果表!A124</f>
        <v/>
      </c>
      <c r="B10" s="2989"/>
      <c r="C10" s="2989"/>
      <c r="D10" s="2989" t="str">
        <f>结果表!D124</f>
        <v>——</v>
      </c>
      <c r="E10" s="2989"/>
      <c r="F10" s="2989"/>
      <c r="G10" s="2989"/>
      <c r="H10" s="2989"/>
      <c r="I10" s="2989"/>
    </row>
    <row r="11" spans="1:9" ht="15.5">
      <c r="A11" s="2990" t="s">
        <v>1634</v>
      </c>
      <c r="B11" s="2990"/>
      <c r="C11" s="2990"/>
      <c r="D11" s="2991" t="e">
        <f>结果表!D125</f>
        <v>#VALUE!</v>
      </c>
      <c r="E11" s="2991"/>
      <c r="F11" s="2991"/>
      <c r="G11" s="2991"/>
      <c r="H11" s="2991"/>
      <c r="I11" s="2991"/>
    </row>
    <row r="12" spans="1:9" ht="15.5">
      <c r="A12" s="2989" t="str">
        <f>结果表!A126</f>
        <v/>
      </c>
      <c r="B12" s="2989"/>
      <c r="C12" s="2989"/>
      <c r="D12" s="2989" t="str">
        <f>结果表!D126</f>
        <v>——</v>
      </c>
      <c r="E12" s="2989"/>
      <c r="F12" s="2989"/>
      <c r="G12" s="2989"/>
      <c r="H12" s="2989"/>
      <c r="I12" s="2989"/>
    </row>
    <row r="13" spans="1:9" ht="16" thickBot="1">
      <c r="A13" s="2986" t="s">
        <v>1634</v>
      </c>
      <c r="B13" s="2986"/>
      <c r="C13" s="2986"/>
      <c r="D13" s="2987" t="e">
        <f>结果表!D127</f>
        <v>#VALUE!</v>
      </c>
      <c r="E13" s="2987"/>
      <c r="F13" s="2987"/>
      <c r="G13" s="2987"/>
      <c r="H13" s="2987"/>
      <c r="I13" s="2987"/>
    </row>
    <row r="14" spans="1:9" ht="14.5" thickTop="1">
      <c r="A14" s="2988" t="s">
        <v>1639</v>
      </c>
      <c r="B14" s="2988"/>
      <c r="C14" s="2988"/>
      <c r="D14" s="2988"/>
      <c r="E14" s="2988"/>
      <c r="F14" s="2988"/>
      <c r="G14" s="2988"/>
      <c r="H14" s="2988"/>
      <c r="I14" s="2988"/>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3003" t="s">
        <v>1656</v>
      </c>
      <c r="B1" s="3003"/>
      <c r="C1" s="3003"/>
      <c r="D1" s="3003"/>
    </row>
    <row r="2" spans="1:4" ht="18">
      <c r="A2" s="3004" t="s">
        <v>1640</v>
      </c>
      <c r="B2" s="3004"/>
      <c r="C2" s="3004"/>
      <c r="D2" s="3004"/>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04" t="s">
        <v>1646</v>
      </c>
      <c r="B6" s="3004"/>
      <c r="C6" s="3004"/>
      <c r="D6" s="3004"/>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3005" t="s">
        <v>1649</v>
      </c>
      <c r="B11" s="2997"/>
      <c r="C11" s="2997"/>
      <c r="D11" s="2997"/>
    </row>
    <row r="12" spans="1:4" ht="15.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7" t="str">
        <f>IF(项目基本情况!B8="抵押","3.抵押双方在办理抵押登记手续时，应使用本公司出具的正式《房地产评估报告》，特提醒报告使用者注意。","——")</f>
        <v>——</v>
      </c>
      <c r="B13" s="3002"/>
      <c r="C13" s="3002"/>
      <c r="D13" s="3002"/>
    </row>
    <row r="14" spans="1:4" ht="15.75" customHeight="1">
      <c r="A14" s="2997" t="str">
        <f>IF(项目基本情况!B8="抵押","4.本次评估估价师所知悉的法定优先受偿款情况说明如下：","——")</f>
        <v>——</v>
      </c>
      <c r="B14" s="3002"/>
      <c r="C14" s="3002"/>
      <c r="D14" s="3002"/>
    </row>
    <row r="15" spans="1:4" ht="42" customHeight="1">
      <c r="A15" s="2997" t="str">
        <f>IF(项目基本情况!B8="抵押","（1）"&amp;CONCATENATE(项目基本情况!L20,项目基本情况!L21,项目基本情况!L22),"——")</f>
        <v>——</v>
      </c>
      <c r="B15" s="2997"/>
      <c r="C15" s="2997"/>
      <c r="D15" s="2997"/>
    </row>
    <row r="16" spans="1:4" ht="30" customHeight="1">
      <c r="A16" s="2999" t="s">
        <v>1650</v>
      </c>
      <c r="B16" s="2999"/>
      <c r="C16" s="2999"/>
      <c r="D16" s="2999"/>
    </row>
    <row r="17" spans="1:4" ht="144" customHeight="1">
      <c r="A17" s="2999" t="s">
        <v>1651</v>
      </c>
      <c r="B17" s="2999"/>
      <c r="C17" s="2999"/>
      <c r="D17" s="2999"/>
    </row>
    <row r="18" spans="1:4" ht="15.75" customHeight="1">
      <c r="A18" s="2997" t="str">
        <f>IF(项目基本情况!B8="抵押",结果表!K120,"——")</f>
        <v>——</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1652</v>
      </c>
      <c r="B22" s="3001"/>
      <c r="C22" s="3001"/>
      <c r="D22" s="3001"/>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11" t="s">
        <v>1663</v>
      </c>
      <c r="B15" s="3006" t="s">
        <v>136</v>
      </c>
      <c r="C15" s="3007"/>
    </row>
    <row r="16" spans="1:7" ht="14">
      <c r="A16" s="3012"/>
      <c r="B16" s="3006" t="s">
        <v>69</v>
      </c>
      <c r="C16" s="3007"/>
    </row>
    <row r="17" spans="1:3" ht="14">
      <c r="A17" s="3012"/>
      <c r="B17" s="3009" t="s">
        <v>1664</v>
      </c>
      <c r="C17" s="1999" t="s">
        <v>1663</v>
      </c>
    </row>
    <row r="18" spans="1:3" ht="14">
      <c r="A18" s="3012"/>
      <c r="B18" s="3009"/>
      <c r="C18" s="1999" t="s">
        <v>1665</v>
      </c>
    </row>
    <row r="19" spans="1:3" ht="14">
      <c r="A19" s="3012"/>
      <c r="B19" s="3009"/>
      <c r="C19" s="1999" t="s">
        <v>1666</v>
      </c>
    </row>
    <row r="20" spans="1:3" ht="14">
      <c r="A20" s="3013"/>
      <c r="B20" s="3008" t="s">
        <v>1667</v>
      </c>
      <c r="C20" s="3007"/>
    </row>
    <row r="21" spans="1:3" ht="14">
      <c r="A21" s="2000" t="s">
        <v>1668</v>
      </c>
      <c r="B21" s="2001"/>
      <c r="C21" s="2002"/>
    </row>
    <row r="22" spans="1:3" ht="14">
      <c r="A22" s="3010" t="s">
        <v>1669</v>
      </c>
      <c r="B22" s="3008" t="s">
        <v>1670</v>
      </c>
      <c r="C22" s="3007"/>
    </row>
    <row r="23" spans="1:3" ht="14">
      <c r="A23" s="3010"/>
      <c r="B23" s="3008" t="s">
        <v>1671</v>
      </c>
      <c r="C23" s="3007"/>
    </row>
    <row r="24" spans="1:3" ht="14">
      <c r="A24" s="3010"/>
      <c r="B24" s="3008" t="s">
        <v>1672</v>
      </c>
      <c r="C24" s="3007"/>
    </row>
    <row r="25" spans="1:3" ht="14">
      <c r="A25" s="3010"/>
      <c r="B25" s="3009" t="s">
        <v>1673</v>
      </c>
      <c r="C25" s="1999" t="s">
        <v>1674</v>
      </c>
    </row>
    <row r="26" spans="1:3" ht="14">
      <c r="A26" s="3010"/>
      <c r="B26" s="3009"/>
      <c r="C26" s="1999" t="s">
        <v>1675</v>
      </c>
    </row>
    <row r="27" spans="1:3" ht="14">
      <c r="A27" s="3010"/>
      <c r="B27" s="3009"/>
      <c r="C27" s="1999" t="s">
        <v>1676</v>
      </c>
    </row>
    <row r="28" spans="1:3" ht="14">
      <c r="A28" s="3010"/>
      <c r="B28" s="3009"/>
      <c r="C28" s="1999" t="s">
        <v>1677</v>
      </c>
    </row>
    <row r="29" spans="1:3" ht="14">
      <c r="A29" s="3010"/>
      <c r="B29" s="3009"/>
      <c r="C29" s="1999" t="s">
        <v>1678</v>
      </c>
    </row>
    <row r="30" spans="1:3" ht="14">
      <c r="A30" s="3010"/>
      <c r="B30" s="3009"/>
      <c r="C30" s="1999" t="s">
        <v>1679</v>
      </c>
    </row>
    <row r="31" spans="1:3" ht="14">
      <c r="A31" s="3010"/>
      <c r="B31" s="3009"/>
      <c r="C31" s="1999" t="s">
        <v>1680</v>
      </c>
    </row>
    <row r="32" spans="1:3" ht="14">
      <c r="A32" s="3010"/>
      <c r="B32" s="3009"/>
      <c r="C32" s="1999" t="s">
        <v>1681</v>
      </c>
    </row>
    <row r="33" spans="1:3" ht="14">
      <c r="A33" s="3010"/>
      <c r="B33" s="3009"/>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60" zoomScaleNormal="10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43900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3045</v>
      </c>
      <c r="B14" s="1022">
        <f ca="1">IF(C14&lt;B2,"已过期",1120040230)</f>
        <v>1120040230</v>
      </c>
      <c r="C14" s="2348">
        <v>44864</v>
      </c>
      <c r="D14" s="2351" t="s">
        <v>3045</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1702" t="s">
        <v>3057</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14" t="s">
        <v>842</v>
      </c>
      <c r="B25" s="3014"/>
      <c r="C25" s="3014"/>
      <c r="D25" s="3014"/>
      <c r="E25" s="3014"/>
      <c r="F25" s="3014"/>
      <c r="G25" s="3014"/>
    </row>
    <row r="26" spans="1:7" s="1025" customFormat="1" ht="24" customHeight="1">
      <c r="A26" s="3015" t="s">
        <v>843</v>
      </c>
      <c r="B26" s="3015"/>
      <c r="C26" s="3016"/>
      <c r="D26" s="3017" t="s">
        <v>844</v>
      </c>
      <c r="E26" s="3015"/>
      <c r="F26" s="301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比较法-办公</vt:lpstr>
      <vt:lpstr>收益法</vt:lpstr>
      <vt:lpstr>Sheet1</vt:lpstr>
      <vt:lpstr>成本法</vt:lpstr>
      <vt:lpstr>成本法 (元)</vt:lpstr>
      <vt:lpstr>假设开发法</vt:lpstr>
      <vt:lpstr>收益法 (车库)</vt:lpstr>
      <vt:lpstr>土地比较法-住宅、综合</vt:lpstr>
      <vt:lpstr>Sheet2</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2020-03-10T05:32:03Z</dcterms:modified>
</cp:coreProperties>
</file>