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080" yWindow="60" windowWidth="15720" windowHeight="1249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案例" sheetId="82" r:id="rId35"/>
    <sheet name="收益法倒推-商业"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商业案例" sheetId="83" r:id="rId48"/>
  </sheets>
  <externalReferences>
    <externalReference r:id="rId49"/>
    <externalReference r:id="rId50"/>
    <externalReference r:id="rId51"/>
    <externalReference r:id="rId52"/>
    <externalReference r:id="rId53"/>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7">'[1]租金比较法-商业'!$B$119:$M$119</definedName>
    <definedName name="办公层高" localSheetId="35">'[2]比较法-办公'!$B$119:$M$119</definedName>
    <definedName name="办公层高" localSheetId="34">'[1]租金比较法-商业'!$B$119:$M$119</definedName>
    <definedName name="办公层高">'比较法-办公'!$B$119:$M$119</definedName>
    <definedName name="办公朝向" localSheetId="47">'[1]租金比较法-商业'!$B$91:$M$91</definedName>
    <definedName name="办公朝向" localSheetId="35">'[2]比较法-办公'!$B$91:$M$91</definedName>
    <definedName name="办公朝向" localSheetId="34">'[1]租金比较法-商业'!$B$91:$M$91</definedName>
    <definedName name="办公朝向">'比较法-办公'!$B$91:$M$91</definedName>
    <definedName name="办公道路级别" localSheetId="47">'[1]租金比较法-商业'!$B$87:$M$87</definedName>
    <definedName name="办公道路级别" localSheetId="35">'[2]比较法-办公'!$B$87:$M$87</definedName>
    <definedName name="办公道路级别" localSheetId="34">'[1]租金比较法-商业'!$B$87:$M$87</definedName>
    <definedName name="办公道路级别">'比较法-办公'!$B$87:$M$87</definedName>
    <definedName name="办公公共部分装修" localSheetId="47">'[1]租金比较法-商业'!$B$108:$M$108</definedName>
    <definedName name="办公公共部分装修" localSheetId="35">'[2]比较法-办公'!$B$108:$M$108</definedName>
    <definedName name="办公公共部分装修" localSheetId="34">'[1]租金比较法-商业'!$B$108:$M$108</definedName>
    <definedName name="办公公共部分装修">'比较法-办公'!$B$108:$M$108</definedName>
    <definedName name="办公基础设施水平" localSheetId="47">'[1]租金比较法-商业'!$B$117:$M$117</definedName>
    <definedName name="办公基础设施水平" localSheetId="35">'[2]比较法-办公'!$B$117:$M$117</definedName>
    <definedName name="办公基础设施水平" localSheetId="34">'[1]租金比较法-商业'!$B$117:$M$117</definedName>
    <definedName name="办公基础设施水平">'比较法-办公'!$B$117:$M$117</definedName>
    <definedName name="办公集聚程度" localSheetId="47">[1]定义!$M$1:$M$6</definedName>
    <definedName name="办公集聚程度" localSheetId="35">[2]定义!$M$1:$M$6</definedName>
    <definedName name="办公集聚程度" localSheetId="34">[1]定义!$M$1:$M$6</definedName>
    <definedName name="办公集聚程度">定义!$M$1:$M$6</definedName>
    <definedName name="办公建筑结构" localSheetId="47">'[1]租金比较法-商业'!$B$106:$M$106</definedName>
    <definedName name="办公建筑结构" localSheetId="35">'[2]比较法-办公'!$B$106:$M$106</definedName>
    <definedName name="办公建筑结构" localSheetId="34">'[1]租金比较法-商业'!$B$106:$M$106</definedName>
    <definedName name="办公建筑结构">'比较法-办公'!$B$106:$M$106</definedName>
    <definedName name="办公建筑类型" localSheetId="47">'[1]租金比较法-商业'!$B$101:$M$101</definedName>
    <definedName name="办公建筑类型" localSheetId="35">'[2]比较法-办公'!$B$101:$M$101</definedName>
    <definedName name="办公建筑类型" localSheetId="34">'[1]租金比较法-商业'!$B$101:$M$101</definedName>
    <definedName name="办公建筑类型">'比较法-办公'!$B$101:$M$101</definedName>
    <definedName name="办公交易情况" localSheetId="47">'[1]租金比较法-商业'!$A$62:$M$62</definedName>
    <definedName name="办公交易情况" localSheetId="35">'[2]比较法-办公'!$A$62:$M$62</definedName>
    <definedName name="办公交易情况" localSheetId="34">'[1]租金比较法-商业'!$A$62:$M$62</definedName>
    <definedName name="办公交易情况">'比较法-办公'!$A$62:$M$62</definedName>
    <definedName name="办公楼层" localSheetId="47">'[1]租金比较法-商业'!$B$89:$M$89</definedName>
    <definedName name="办公楼层" localSheetId="35">'[2]比较法-办公'!$B$89:$M$89</definedName>
    <definedName name="办公楼层" localSheetId="34">'[1]租金比较法-商业'!$B$89:$M$89</definedName>
    <definedName name="办公楼层">'比较法-办公'!$B$89:$M$89</definedName>
    <definedName name="办公内部装修" localSheetId="47">'[1]租金比较法-商业'!$B$123:$M$123</definedName>
    <definedName name="办公内部装修" localSheetId="35">'[2]比较法-办公'!$B$123:$M$123</definedName>
    <definedName name="办公内部装修" localSheetId="34">'[1]租金比较法-商业'!$B$123:$M$123</definedName>
    <definedName name="办公内部装修">'比较法-办公'!$B$123:$M$123</definedName>
    <definedName name="办公物业管理" localSheetId="47">'[1]租金比较法-商业'!$B$115:$M$115</definedName>
    <definedName name="办公物业管理" localSheetId="35">'[2]比较法-办公'!$B$115:$M$115</definedName>
    <definedName name="办公物业管理" localSheetId="34">'[1]租金比较法-商业'!$B$115:$M$115</definedName>
    <definedName name="办公物业管理">'比较法-办公'!$B$115:$M$115</definedName>
    <definedName name="办公用途" localSheetId="47">'[1]租金比较法-商业'!$B$64:$M$64</definedName>
    <definedName name="办公用途" localSheetId="35">'[2]比较法-办公'!$B$64:$M$64</definedName>
    <definedName name="办公用途" localSheetId="34">'[1]租金比较法-商业'!$B$64:$M$64</definedName>
    <definedName name="办公用途">'比较法-办公'!$B$64:$M$64</definedName>
    <definedName name="仓储公共部分装修" localSheetId="47">'[1]比较法-仓储'!$B$77:$M$77</definedName>
    <definedName name="仓储公共部分装修" localSheetId="35">'[2]比较法-仓储'!$B$77:$M$77</definedName>
    <definedName name="仓储公共部分装修" localSheetId="34">'[1]比较法-仓储'!$B$77:$M$77</definedName>
    <definedName name="仓储公共部分装修">'比较法-仓储'!$B$77:$M$77</definedName>
    <definedName name="仓储交易情况" localSheetId="47">'[1]比较法-仓储'!$A$49:$M$49</definedName>
    <definedName name="仓储交易情况" localSheetId="35">'[2]比较法-仓储'!$A$49:$M$49</definedName>
    <definedName name="仓储交易情况" localSheetId="34">'[1]比较法-仓储'!$A$49:$M$49</definedName>
    <definedName name="仓储交易情况">'比较法-仓储'!$A$49:$M$49</definedName>
    <definedName name="仓储楼层" localSheetId="47">'[1]比较法-仓储'!$B$69:$M$69</definedName>
    <definedName name="仓储楼层" localSheetId="35">'[2]比较法-仓储'!$B$69:$M$69</definedName>
    <definedName name="仓储楼层" localSheetId="34">'[1]比较法-仓储'!$B$69:$M$69</definedName>
    <definedName name="仓储楼层">'比较法-仓储'!$B$69:$M$69</definedName>
    <definedName name="仓储物业等级" localSheetId="47">'[1]比较法-仓储'!$B$82:$M$82</definedName>
    <definedName name="仓储物业等级" localSheetId="35">'[2]比较法-仓储'!$B$82:$M$82</definedName>
    <definedName name="仓储物业等级" localSheetId="34">'[1]比较法-仓储'!$B$82:$M$82</definedName>
    <definedName name="仓储物业等级">'比较法-仓储'!$B$82:$M$82</definedName>
    <definedName name="仓储用途" localSheetId="47">'[1]比较法-仓储'!$B$51:$M$51</definedName>
    <definedName name="仓储用途" localSheetId="35">'[2]比较法-仓储'!$B$51:$M$51</definedName>
    <definedName name="仓储用途" localSheetId="34">'[1]比较法-仓储'!$B$51:$M$51</definedName>
    <definedName name="仓储用途">'比较法-仓储'!$B$51:$M$51</definedName>
    <definedName name="产业集聚程度" localSheetId="47">[1]定义!$N$1:$N$6</definedName>
    <definedName name="产业集聚程度" localSheetId="35">[2]定义!$N$1:$N$6</definedName>
    <definedName name="产业集聚程度" localSheetId="34">[1]定义!$N$1:$N$6</definedName>
    <definedName name="产业集聚程度">定义!$N$1:$N$6</definedName>
    <definedName name="车位公共部分装修" localSheetId="47">'[1]比较法-车位'!$B$83:$M$83</definedName>
    <definedName name="车位公共部分装修" localSheetId="35">'[2]比较法-车位'!$B$83:$M$83</definedName>
    <definedName name="车位公共部分装修" localSheetId="34">'[1]比较法-车位'!$B$83:$M$83</definedName>
    <definedName name="车位公共部分装修">'比较法-车位'!$B$83:$M$83</definedName>
    <definedName name="车位交易情况" localSheetId="47">'[1]比较法-车位'!$A$51:$M$51</definedName>
    <definedName name="车位交易情况" localSheetId="35">'[2]比较法-车位'!$A$51:$M$51</definedName>
    <definedName name="车位交易情况" localSheetId="34">'[1]比较法-车位'!$A$51:$M$51</definedName>
    <definedName name="车位交易情况">'比较法-车位'!$A$51:$M$51</definedName>
    <definedName name="车位类型" localSheetId="47">'[1]比较法-车位'!$B$93:$M$93</definedName>
    <definedName name="车位类型" localSheetId="35">'[2]比较法-车位'!$B$93:$M$93</definedName>
    <definedName name="车位类型" localSheetId="34">'[1]比较法-车位'!$B$93:$M$93</definedName>
    <definedName name="车位类型">'比较法-车位'!$B$93:$M$93</definedName>
    <definedName name="车位楼层" localSheetId="47">'[1]比较法-车位'!$B$71:$M$71</definedName>
    <definedName name="车位楼层" localSheetId="35">'[2]比较法-车位'!$B$71:$M$71</definedName>
    <definedName name="车位楼层" localSheetId="34">'[1]比较法-车位'!$B$71:$M$71</definedName>
    <definedName name="车位楼层">'比较法-车位'!$B$71:$M$71</definedName>
    <definedName name="车位配套类型" localSheetId="47">'[1]比较法-车位'!$B$79:$M$79</definedName>
    <definedName name="车位配套类型" localSheetId="35">'[2]比较法-车位'!$B$79:$M$79</definedName>
    <definedName name="车位配套类型" localSheetId="34">'[1]比较法-车位'!$B$79:$M$79</definedName>
    <definedName name="车位配套类型">'比较法-车位'!$B$79:$M$79</definedName>
    <definedName name="车位物业等级" localSheetId="47">'[1]比较法-车位'!$B$88:$M$88</definedName>
    <definedName name="车位物业等级" localSheetId="35">'[2]比较法-车位'!$B$88:$M$88</definedName>
    <definedName name="车位物业等级" localSheetId="34">'[1]比较法-车位'!$B$88:$M$88</definedName>
    <definedName name="车位物业等级">'比较法-车位'!$B$88:$M$88</definedName>
    <definedName name="车位用途" localSheetId="47">'[1]比较法-车位'!$B$53:$M$53</definedName>
    <definedName name="车位用途" localSheetId="35">'[2]比较法-车位'!$B$53:$M$53</definedName>
    <definedName name="车位用途" localSheetId="34">'[1]比较法-车位'!$B$53:$M$53</definedName>
    <definedName name="车位用途">'比较法-车位'!$B$53:$M$53</definedName>
    <definedName name="城镇土地纳税等级分级范围" localSheetId="47">'[1]数据-取费表'!$A$53:$A$63</definedName>
    <definedName name="城镇土地纳税等级分级范围" localSheetId="35">'[2]数据-取费表'!$A$53:$A$63</definedName>
    <definedName name="城镇土地纳税等级分级范围" localSheetId="34">'[1]数据-取费表'!$A$53:$A$63</definedName>
    <definedName name="城镇土地纳税等级分级范围">'数据-取费表'!$A$53:$A$63</definedName>
    <definedName name="单价内涵" localSheetId="47">[1]定义!$V$1:$V$3</definedName>
    <definedName name="单价内涵" localSheetId="35">[2]定义!$V$1:$V$3</definedName>
    <definedName name="单价内涵" localSheetId="34">[1]定义!$V$1:$V$3</definedName>
    <definedName name="单价内涵">定义!$V$1:$V$3</definedName>
    <definedName name="地类判定" localSheetId="47">[1]定义!$H$1:$H$9</definedName>
    <definedName name="地类判定" localSheetId="35">[2]定义!$H$1:$H$9</definedName>
    <definedName name="地类判定" localSheetId="34">[1]定义!$H$1:$H$9</definedName>
    <definedName name="地类判定">定义!$H$1:$H$9</definedName>
    <definedName name="二级">区片价!$J$1:$J$21</definedName>
    <definedName name="二级分类" localSheetId="47">[1]修正!$C$17:$C$39</definedName>
    <definedName name="二级分类" localSheetId="35">[2]修正!$C$17:$C$39</definedName>
    <definedName name="二级分类" localSheetId="34">[1]修正!$C$17:$C$39</definedName>
    <definedName name="二级分类">修正!$C$19:$C$51</definedName>
    <definedName name="法定最高年限" localSheetId="47">[1]定义!$G$1:$G$4</definedName>
    <definedName name="法定最高年限" localSheetId="35">[2]定义!$G$1:$G$4</definedName>
    <definedName name="法定最高年限" localSheetId="34">[1]定义!$G$1:$G$4</definedName>
    <definedName name="法定最高年限">定义!$G$1:$G$6</definedName>
    <definedName name="工业公共部分装修" localSheetId="47">'[1]比较法-工业'!$B$95:$M$95</definedName>
    <definedName name="工业公共部分装修" localSheetId="35">'[2]比较法-工业'!$B$95:$M$95</definedName>
    <definedName name="工业公共部分装修" localSheetId="34">'[1]比较法-工业'!$B$95:$M$95</definedName>
    <definedName name="工业公共部分装修">'比较法-工业'!$B$95:$M$95</definedName>
    <definedName name="工业基础设施水平" localSheetId="47">'[1]比较法-工业'!$B$102:$M$102</definedName>
    <definedName name="工业基础设施水平" localSheetId="35">'[2]比较法-工业'!$B$102:$M$102</definedName>
    <definedName name="工业基础设施水平" localSheetId="34">'[1]比较法-工业'!$B$102:$M$102</definedName>
    <definedName name="工业基础设施水平">'比较法-工业'!$B$102:$M$102</definedName>
    <definedName name="工业建筑结构" localSheetId="47">'[1]比较法-工业'!$B$93:$M$93</definedName>
    <definedName name="工业建筑结构" localSheetId="35">'[2]比较法-工业'!$B$93:$M$93</definedName>
    <definedName name="工业建筑结构" localSheetId="34">'[1]比较法-工业'!$B$93:$M$93</definedName>
    <definedName name="工业建筑结构">'比较法-工业'!$B$93:$M$93</definedName>
    <definedName name="工业建筑类型" localSheetId="47">'[1]比较法-工业'!$B$88:$M$88</definedName>
    <definedName name="工业建筑类型" localSheetId="35">'[2]比较法-工业'!$B$88:$M$88</definedName>
    <definedName name="工业建筑类型" localSheetId="34">'[1]比较法-工业'!$B$88:$M$88</definedName>
    <definedName name="工业建筑类型">'比较法-工业'!$B$88:$M$88</definedName>
    <definedName name="工业交易情况" localSheetId="47">'[1]比较法-工业'!$A$55:$M$55</definedName>
    <definedName name="工业交易情况" localSheetId="35">'[2]比较法-工业'!$A$55:$M$55</definedName>
    <definedName name="工业交易情况" localSheetId="34">'[1]比较法-工业'!$A$55:$M$55</definedName>
    <definedName name="工业交易情况">'比较法-工业'!$A$55:$M$55</definedName>
    <definedName name="工业内部装修" localSheetId="47">'[1]比较法-工业'!$B$104:$M$104</definedName>
    <definedName name="工业内部装修" localSheetId="35">'[2]比较法-工业'!$B$104:$M$104</definedName>
    <definedName name="工业内部装修" localSheetId="34">'[1]比较法-工业'!$B$104:$M$104</definedName>
    <definedName name="工业内部装修">'比较法-工业'!$B$104:$M$104</definedName>
    <definedName name="工业物业管理" localSheetId="47">'[1]比较法-工业'!$B$100:$M$100</definedName>
    <definedName name="工业物业管理" localSheetId="35">'[2]比较法-工业'!$B$100:$M$100</definedName>
    <definedName name="工业物业管理" localSheetId="34">'[1]比较法-工业'!$B$100:$M$100</definedName>
    <definedName name="工业物业管理">'比较法-工业'!$B$100:$M$100</definedName>
    <definedName name="工业用途" localSheetId="47">'[1]比较法-工业'!$B$57:$M$57</definedName>
    <definedName name="工业用途" localSheetId="35">'[2]比较法-工业'!$B$57:$M$57</definedName>
    <definedName name="工业用途" localSheetId="34">'[1]比较法-工业'!$B$57:$M$57</definedName>
    <definedName name="工业用途">'比较法-工业'!$B$57:$M$57</definedName>
    <definedName name="公共配套设施" localSheetId="47">[1]定义!$Q$1:$Q$6</definedName>
    <definedName name="公共配套设施" localSheetId="35">[2]定义!$Q$1:$Q$6</definedName>
    <definedName name="公共配套设施" localSheetId="34">[1]定义!$Q$1:$Q$6</definedName>
    <definedName name="公共配套设施">定义!$Q$1:$Q$6</definedName>
    <definedName name="估价范围判定">定义!$D$1:$D$4</definedName>
    <definedName name="估价方法" localSheetId="47">[1]定义!$B$1:$B$50</definedName>
    <definedName name="估价方法" localSheetId="35">[2]定义!$B$1:$B$50</definedName>
    <definedName name="估价方法" localSheetId="34">[1]定义!$B$1:$B$50</definedName>
    <definedName name="估价方法">定义!$B$1:$B$50</definedName>
    <definedName name="环境" localSheetId="47">[1]定义!$S$1:$S$6</definedName>
    <definedName name="环境" localSheetId="35">[2]定义!$S$1:$S$6</definedName>
    <definedName name="环境" localSheetId="34">[1]定义!$S$1:$S$6</definedName>
    <definedName name="环境">定义!$S$1:$S$6</definedName>
    <definedName name="基础设施水平" localSheetId="47">[1]定义!$R$1:$R$6</definedName>
    <definedName name="基础设施水平" localSheetId="35">[2]定义!$R$1:$R$6</definedName>
    <definedName name="基础设施水平" localSheetId="34">[1]定义!$R$1:$R$6</definedName>
    <definedName name="基础设施水平">定义!$R$1:$R$6</definedName>
    <definedName name="季度">基准地价修正!$Q$19:$AD$19</definedName>
    <definedName name="价值类型2" localSheetId="47">[1]定义!$B$54:$B$56</definedName>
    <definedName name="价值类型2" localSheetId="35">[2]定义!$B$54:$B$56</definedName>
    <definedName name="价值类型2" localSheetId="34">[1]定义!$B$54:$B$56</definedName>
    <definedName name="价值类型2">定义!$B$54:$B$56</definedName>
    <definedName name="交通便捷度" localSheetId="47">[1]定义!$O$1:$O$6</definedName>
    <definedName name="交通便捷度" localSheetId="35">[2]定义!$O$1:$O$6</definedName>
    <definedName name="交通便捷度" localSheetId="34">[1]定义!$O$1:$O$6</definedName>
    <definedName name="交通便捷度">定义!$O$1:$O$6</definedName>
    <definedName name="九级">区片价!$Q$1:$Q$51</definedName>
    <definedName name="居住社区成熟度" localSheetId="47">[1]定义!$K$1:$K$6</definedName>
    <definedName name="居住社区成熟度" localSheetId="35">[2]定义!$K$1:$K$6</definedName>
    <definedName name="居住社区成熟度" localSheetId="34">[1]定义!$K$1:$K$6</definedName>
    <definedName name="居住社区成熟度">定义!$K$1:$K$6</definedName>
    <definedName name="类别" localSheetId="47">[1]定义!$J$1:$J$3</definedName>
    <definedName name="类别" localSheetId="35">[2]定义!$J$1:$J$3</definedName>
    <definedName name="类别" localSheetId="34">[1]定义!$J$1:$J$3</definedName>
    <definedName name="类别">定义!$J$1:$J$3</definedName>
    <definedName name="临街状况" localSheetId="47">[1]定义!$T$1:$T$5</definedName>
    <definedName name="临街状况" localSheetId="35">[2]定义!$T$1:$T$5</definedName>
    <definedName name="临街状况" localSheetId="34">[1]定义!$T$1:$T$5</definedName>
    <definedName name="临街状况">定义!$T$1:$T$5</definedName>
    <definedName name="六级">区片价!$N$1:$N$64</definedName>
    <definedName name="内部装修维护情况" localSheetId="47">[1]定义!$U$1:$U$6</definedName>
    <definedName name="内部装修维护情况" localSheetId="35">[2]定义!$U$1:$U$6</definedName>
    <definedName name="内部装修维护情况" localSheetId="34">[1]定义!$U$1:$U$6</definedName>
    <definedName name="内部装修维护情况">定义!$U$1:$U$6</definedName>
    <definedName name="判定" localSheetId="47">[1]定义!$D$1:$D$4</definedName>
    <definedName name="判定" localSheetId="35">[2]定义!$D$1:$D$4</definedName>
    <definedName name="判定" localSheetId="34">[1]定义!$D$1:$D$4</definedName>
    <definedName name="判定">定义!$D$1:$D$4</definedName>
    <definedName name="评估方法">[3]定义!$B$1:$B$50</definedName>
    <definedName name="七级">区片价!$O$1:$O$45</definedName>
    <definedName name="七通一平" localSheetId="47">[1]修正!$A$6:$A$14</definedName>
    <definedName name="七通一平" localSheetId="35">[2]修正!$A$6:$A$14</definedName>
    <definedName name="七通一平" localSheetId="34">[1]修正!$A$6:$A$14</definedName>
    <definedName name="七通一平">修正!$A$8:$A$16</definedName>
    <definedName name="区域土地利用方向" localSheetId="47">[1]定义!$P$1:$P$6</definedName>
    <definedName name="区域土地利用方向" localSheetId="35">[2]定义!$P$1:$P$6</definedName>
    <definedName name="区域土地利用方向" localSheetId="34">[1]定义!$P$1:$P$6</definedName>
    <definedName name="区域土地利用方向">定义!$P$1:$P$6</definedName>
    <definedName name="三级">区片价!$K$1:$K$26</definedName>
    <definedName name="商业层高" localSheetId="47">'[1]比较法-商业-售价'!$B$116:$M$116</definedName>
    <definedName name="商业层高" localSheetId="35">'[2]比较法-商业'!$B$116:$M$116</definedName>
    <definedName name="商业层高" localSheetId="34">'[1]比较法-商业-售价'!$B$116:$M$116</definedName>
    <definedName name="商业层高">'比较法-商业'!$B$116:$M$116</definedName>
    <definedName name="商业成新度">'比较法-商业'!$B$109:$M$109</definedName>
    <definedName name="商业繁华度" localSheetId="47">[1]定义!$L$1:$L$6</definedName>
    <definedName name="商业繁华度" localSheetId="35">[2]定义!$L$1:$L$6</definedName>
    <definedName name="商业繁华度" localSheetId="34">[1]定义!$L$1:$L$6</definedName>
    <definedName name="商业繁华度">定义!$L$1:$L$6</definedName>
    <definedName name="商业公共部分装修" localSheetId="47">'[1]比较法-商业-售价'!$B$107:$M$107</definedName>
    <definedName name="商业公共部分装修" localSheetId="35">'[2]比较法-商业'!$B$107:$M$107</definedName>
    <definedName name="商业公共部分装修" localSheetId="34">'[1]比较法-商业-售价'!$B$107:$M$107</definedName>
    <definedName name="商业公共部分装修">'比较法-商业'!$B$107:$M$107</definedName>
    <definedName name="商业基础设施水平" localSheetId="47">'[1]比较法-商业-售价'!$B$112:$M$112</definedName>
    <definedName name="商业基础设施水平" localSheetId="35">'[2]比较法-商业'!$B$112:$M$112</definedName>
    <definedName name="商业基础设施水平" localSheetId="34">'[1]比较法-商业-售价'!$B$112:$M$112</definedName>
    <definedName name="商业基础设施水平">'比较法-商业'!$B$112:$M$112</definedName>
    <definedName name="商业建筑结构" localSheetId="47">'[1]比较法-商业-售价'!$B$105:$M$105</definedName>
    <definedName name="商业建筑结构" localSheetId="35">'[2]比较法-商业'!$B$105:$M$105</definedName>
    <definedName name="商业建筑结构" localSheetId="34">'[1]比较法-商业-售价'!$B$105:$M$105</definedName>
    <definedName name="商业建筑结构">'比较法-商业'!$B$105:$M$105</definedName>
    <definedName name="商业交易情况" localSheetId="47">'[1]比较法-商业-售价'!$A$61:$M$61</definedName>
    <definedName name="商业交易情况" localSheetId="35">'[2]比较法-商业'!$A$61:$M$61</definedName>
    <definedName name="商业交易情况" localSheetId="34">'[1]比较法-商业-售价'!$A$61:$M$61</definedName>
    <definedName name="商业交易情况">'比较法-商业'!$A$61:$M$61</definedName>
    <definedName name="商业街名称" localSheetId="47">[1]修正!$C$59:$C$119</definedName>
    <definedName name="商业街名称" localSheetId="35">[2]修正!$C$59:$C$119</definedName>
    <definedName name="商业街名称" localSheetId="34">[1]修正!$C$59:$C$119</definedName>
    <definedName name="商业街名称">修正!$C$71:$C$138</definedName>
    <definedName name="商业进深比" localSheetId="47">'[1]比较法-商业-售价'!$B$120:$M$120</definedName>
    <definedName name="商业进深比" localSheetId="35">'[2]比较法-商业'!$B$120:$M$120</definedName>
    <definedName name="商业进深比" localSheetId="34">'[1]比较法-商业-售价'!$B$120:$M$120</definedName>
    <definedName name="商业进深比">'比较法-商业'!$B$120:$M$120</definedName>
    <definedName name="商业类型" localSheetId="47">'[1]比较法-商业-售价'!$B$100:$M$100</definedName>
    <definedName name="商业类型" localSheetId="35">'[2]比较法-商业'!$B$100:$M$100</definedName>
    <definedName name="商业类型" localSheetId="34">'[1]比较法-商业-售价'!$B$100:$M$100</definedName>
    <definedName name="商业类型">'比较法-商业'!$B$100:$M$100</definedName>
    <definedName name="商业临街状况" localSheetId="47">'[1]比较法-商业-售价'!$B$86:$M$86</definedName>
    <definedName name="商业临街状况" localSheetId="35">'[2]比较法-商业'!$B$86:$M$86</definedName>
    <definedName name="商业临街状况" localSheetId="34">'[1]比较法-商业-售价'!$B$86:$M$86</definedName>
    <definedName name="商业临街状况">'比较法-商业'!$B$86:$M$86</definedName>
    <definedName name="商业楼层" localSheetId="47">'[1]比较法-商业-售价'!$B$92:$M$92</definedName>
    <definedName name="商业楼层" localSheetId="35">'[2]比较法-商业'!$B$92:$M$92</definedName>
    <definedName name="商业楼层" localSheetId="34">'[1]比较法-商业-售价'!$B$92:$M$92</definedName>
    <definedName name="商业楼层">'比较法-商业'!$B$92:$M$92</definedName>
    <definedName name="商业内部装修" localSheetId="47">'[1]比较法-商业-售价'!$B$122:$M$122</definedName>
    <definedName name="商业内部装修" localSheetId="35">'[2]比较法-商业'!$B$122:$M$122</definedName>
    <definedName name="商业内部装修" localSheetId="34">'[1]比较法-商业-售价'!$B$122:$M$122</definedName>
    <definedName name="商业内部装修">'比较法-商业'!$B$122:$M$122</definedName>
    <definedName name="商业人流量" localSheetId="47">'[1]比较法-商业-售价'!$B$90:$M$90</definedName>
    <definedName name="商业人流量" localSheetId="35">'[2]比较法-商业'!$B$90:$M$90</definedName>
    <definedName name="商业人流量" localSheetId="34">'[1]比较法-商业-售价'!$B$90:$M$90</definedName>
    <definedName name="商业人流量">'比较法-商业'!$B$90:$M$90</definedName>
    <definedName name="商业业态" localSheetId="47">'[1]比较法-商业-售价'!$B$114:$M$114</definedName>
    <definedName name="商业业态" localSheetId="35">'[2]比较法-商业'!$B$114:$M$114</definedName>
    <definedName name="商业业态" localSheetId="34">'[1]比较法-商业-售价'!$B$114:$M$114</definedName>
    <definedName name="商业业态">'比较法-商业'!$B$114:$M$114</definedName>
    <definedName name="商业用途" localSheetId="47">'[1]比较法-商业-售价'!$B$63:$M$63</definedName>
    <definedName name="商业用途" localSheetId="35">'[2]比较法-商业'!$B$63:$M$63</definedName>
    <definedName name="商业用途" localSheetId="34">'[1]比较法-商业-售价'!$B$63:$M$63</definedName>
    <definedName name="商业用途">'比较法-商业'!$B$63:$M$63</definedName>
    <definedName name="十二级">区片价!$T$1:$T$8</definedName>
    <definedName name="十级">区片价!$R$1:$R$32</definedName>
    <definedName name="十一级">区片价!$S$1:$S$21</definedName>
    <definedName name="是否封闭" localSheetId="47">'[1]比较法-仓储'!$B$89:$M$89</definedName>
    <definedName name="是否封闭" localSheetId="35">'[2]比较法-仓储'!$B$89:$M$89</definedName>
    <definedName name="是否封闭" localSheetId="34">'[1]比较法-仓储'!$B$89:$M$89</definedName>
    <definedName name="是否封闭">'比较法-仓储'!$B$89:$M$89</definedName>
    <definedName name="是否直接入户" localSheetId="47">'[1]比较法-车位'!$B$95:$M$95</definedName>
    <definedName name="是否直接入户" localSheetId="35">'[2]比较法-车位'!$B$95:$M$95</definedName>
    <definedName name="是否直接入户" localSheetId="34">'[1]比较法-车位'!$B$95:$M$95</definedName>
    <definedName name="是否直接入户">'比较法-车位'!$B$95:$M$95</definedName>
    <definedName name="四级">区片价!$L$1:$L$33</definedName>
    <definedName name="套工道路等级" localSheetId="47">'[1]土地比较法-工业'!$B$97:$M$97</definedName>
    <definedName name="套工道路等级" localSheetId="35">'[2]土地比较法-工业'!$B$97:$M$97</definedName>
    <definedName name="套工道路等级" localSheetId="34">'[1]土地比较法-工业'!$B$97:$M$97</definedName>
    <definedName name="套工道路等级">'土地比较法-工业'!$B$97:$M$97</definedName>
    <definedName name="套工地质条件" localSheetId="47">'[1]土地比较法-工业'!$B$114:$M$114</definedName>
    <definedName name="套工地质条件" localSheetId="35">'[2]土地比较法-工业'!$B$114:$M$114</definedName>
    <definedName name="套工地质条件" localSheetId="34">'[1]土地比较法-工业'!$B$114:$M$114</definedName>
    <definedName name="套工地质条件">'土地比较法-工业'!$B$114:$M$114</definedName>
    <definedName name="套工交易情况" localSheetId="47">'[1]土地比较法-住宅、综合'!$A$73:$M$73</definedName>
    <definedName name="套工交易情况" localSheetId="35">'[2]土地比较法-住宅、综合'!$A$73:$M$73</definedName>
    <definedName name="套工交易情况" localSheetId="34">'[1]土地比较法-住宅、综合'!$A$73:$M$73</definedName>
    <definedName name="套工交易情况">'土地比较法-住宅、综合'!$A$72:$M$72</definedName>
    <definedName name="套工土地级别" localSheetId="47">'[1]土地比较法-工业'!$B$99:$M$99</definedName>
    <definedName name="套工土地级别" localSheetId="35">'[2]土地比较法-工业'!$B$99:$M$99</definedName>
    <definedName name="套工土地级别" localSheetId="34">'[1]土地比较法-工业'!$B$99:$M$99</definedName>
    <definedName name="套工土地级别">'土地比较法-工业'!$B$99:$M$99</definedName>
    <definedName name="套工用途" localSheetId="47">'[1]土地比较法-工业'!$B$70:$M$70</definedName>
    <definedName name="套工用途" localSheetId="35">'[2]土地比较法-工业'!$B$70:$M$70</definedName>
    <definedName name="套工用途" localSheetId="34">'[1]土地比较法-工业'!$B$70:$M$70</definedName>
    <definedName name="套工用途">'土地比较法-工业'!$B$70:$M$70</definedName>
    <definedName name="套工宗地开发程度" localSheetId="47">'[1]土地比较法-工业'!$B$112:$M$112</definedName>
    <definedName name="套工宗地开发程度" localSheetId="35">'[2]土地比较法-工业'!$B$112:$M$112</definedName>
    <definedName name="套工宗地开发程度" localSheetId="34">'[1]土地比较法-工业'!$B$112:$M$112</definedName>
    <definedName name="套工宗地开发程度">'土地比较法-工业'!$B$112:$M$112</definedName>
    <definedName name="套工宗地形状" localSheetId="47">'[1]土地比较法-工业'!$B$110:$M$110</definedName>
    <definedName name="套工宗地形状" localSheetId="35">'[2]土地比较法-工业'!$B$110:$M$110</definedName>
    <definedName name="套工宗地形状" localSheetId="34">'[1]土地比较法-工业'!$B$110:$M$110</definedName>
    <definedName name="套工宗地形状">'土地比较法-工业'!$B$110:$M$110</definedName>
    <definedName name="套综道路等级" localSheetId="47">'[1]土地比较法-住宅、综合'!$B$106:$M$106</definedName>
    <definedName name="套综道路等级" localSheetId="35">'[2]土地比较法-住宅、综合'!$B$106:$M$106</definedName>
    <definedName name="套综道路等级" localSheetId="34">'[1]土地比较法-住宅、综合'!$B$106:$M$106</definedName>
    <definedName name="套综道路等级">'土地比较法-住宅、综合'!$B$105:$M$105</definedName>
    <definedName name="套综工程地质条件" localSheetId="47">'[1]土地比较法-住宅、综合'!$B$125:$M$125</definedName>
    <definedName name="套综工程地质条件" localSheetId="35">'[2]土地比较法-住宅、综合'!$B$125:$M$125</definedName>
    <definedName name="套综工程地质条件" localSheetId="34">'[1]土地比较法-住宅、综合'!$B$125:$M$125</definedName>
    <definedName name="套综工程地质条件">'土地比较法-住宅、综合'!$B$124:$M$124</definedName>
    <definedName name="套综交易情况" localSheetId="47">'[1]土地比较法-住宅、综合'!$A$73:$M$73</definedName>
    <definedName name="套综交易情况" localSheetId="35">'[2]土地比较法-住宅、综合'!$A$73:$M$73</definedName>
    <definedName name="套综交易情况" localSheetId="34">'[1]土地比较法-住宅、综合'!$A$73:$M$73</definedName>
    <definedName name="套综交易情况">'土地比较法-住宅、综合'!$A$72:$M$72</definedName>
    <definedName name="套综临街宽度及深度" localSheetId="47">'[1]土地比较法-住宅、综合'!$B$121:$M$121</definedName>
    <definedName name="套综临街宽度及深度" localSheetId="35">'[2]土地比较法-住宅、综合'!$B$121:$M$121</definedName>
    <definedName name="套综临街宽度及深度" localSheetId="34">'[1]土地比较法-住宅、综合'!$B$121:$M$121</definedName>
    <definedName name="套综临街宽度及深度">'土地比较法-住宅、综合'!$B$120:$M$120</definedName>
    <definedName name="套综土地级别" localSheetId="47">'[1]土地比较法-住宅、综合'!$B$108:$M$108</definedName>
    <definedName name="套综土地级别" localSheetId="35">'[2]土地比较法-住宅、综合'!$B$108:$M$108</definedName>
    <definedName name="套综土地级别" localSheetId="34">'[1]土地比较法-住宅、综合'!$B$108:$M$108</definedName>
    <definedName name="套综土地级别">'土地比较法-住宅、综合'!$B$107:$M$107</definedName>
    <definedName name="套综用途" localSheetId="47">'[1]土地比较法-住宅、综合'!$B$75:$M$75</definedName>
    <definedName name="套综用途" localSheetId="35">'[2]土地比较法-住宅、综合'!$B$75:$M$75</definedName>
    <definedName name="套综用途" localSheetId="34">'[1]土地比较法-住宅、综合'!$B$75:$M$75</definedName>
    <definedName name="套综用途">'土地比较法-住宅、综合'!$B$74:$M$74</definedName>
    <definedName name="套综宗地内开发程度" localSheetId="47">'[1]土地比较法-住宅、综合'!$B$123:$M$123</definedName>
    <definedName name="套综宗地内开发程度" localSheetId="35">'[2]土地比较法-住宅、综合'!$B$123:$M$123</definedName>
    <definedName name="套综宗地内开发程度" localSheetId="34">'[1]土地比较法-住宅、综合'!$B$123:$M$123</definedName>
    <definedName name="套综宗地内开发程度">'土地比较法-住宅、综合'!$B$122:$M$122</definedName>
    <definedName name="套综宗地形状" localSheetId="47">'[1]土地比较法-住宅、综合'!$B$119:$M$119</definedName>
    <definedName name="套综宗地形状" localSheetId="35">'[2]土地比较法-住宅、综合'!$B$119:$M$119</definedName>
    <definedName name="套综宗地形状" localSheetId="34">'[1]土地比较法-住宅、综合'!$B$119:$M$119</definedName>
    <definedName name="套综宗地形状">'土地比较法-住宅、综合'!$B$118:$M$118</definedName>
    <definedName name="土地估价师">估价师及机构信息!$D$3:$D$24</definedName>
    <definedName name="土地级别" localSheetId="47">[1]定义!$C$1:$C$14</definedName>
    <definedName name="土地级别" localSheetId="35">[2]定义!$C$1:$C$14</definedName>
    <definedName name="土地级别" localSheetId="34">[1]定义!$C$1:$C$14</definedName>
    <definedName name="土地级别">定义!$C$1:$C$14</definedName>
    <definedName name="土地利用方向">定义!$P$1:$P$6</definedName>
    <definedName name="土地年限区间" localSheetId="47">[1]定义!$I$1:$I$8</definedName>
    <definedName name="土地年限区间" localSheetId="35">[2]定义!$I$1:$I$8</definedName>
    <definedName name="土地年限区间" localSheetId="34">[1]定义!$I$1:$I$8</definedName>
    <definedName name="土地年限区间">定义!$I$1:$I$16</definedName>
    <definedName name="位置" localSheetId="47">[1]定义!$E$2:$E$4</definedName>
    <definedName name="位置" localSheetId="35">[2]定义!$E$2:$E$4</definedName>
    <definedName name="位置" localSheetId="34">[1]定义!$E$2:$E$4</definedName>
    <definedName name="位置">定义!$E$2:$E$4</definedName>
    <definedName name="五等判定" localSheetId="47">[1]定义!$W$1:$W$6</definedName>
    <definedName name="五等判定" localSheetId="35">[2]定义!$W$1:$W$6</definedName>
    <definedName name="五等判定" localSheetId="34">[1]定义!$W$1:$W$6</definedName>
    <definedName name="五等判定">定义!$W$1:$W$6</definedName>
    <definedName name="五级">区片价!$M$1:$M$41</definedName>
    <definedName name="项目类型" localSheetId="47">'[1]数据-汇总表'!$C$17:$C$26</definedName>
    <definedName name="项目类型" localSheetId="35">'[2]数据-汇总表'!$C$17:$C$26</definedName>
    <definedName name="项目类型" localSheetId="23">'[4]数据-汇总表'!$C$17:$C$26</definedName>
    <definedName name="项目类型" localSheetId="34">'[1]数据-汇总表'!$C$17:$C$26</definedName>
    <definedName name="项目类型">'数据-汇总表'!$C$17:$C$26</definedName>
    <definedName name="写字楼等级" localSheetId="47">'[1]租金比较法-商业'!$B$113:$M$113</definedName>
    <definedName name="写字楼等级" localSheetId="35">'[2]比较法-办公'!$B$113:$M$113</definedName>
    <definedName name="写字楼等级" localSheetId="34">'[1]租金比较法-商业'!$B$113:$M$113</definedName>
    <definedName name="写字楼等级">'比较法-办公'!$B$113:$M$113</definedName>
    <definedName name="一级">区片价!$I$1:$I$6</definedName>
    <definedName name="一修多修正项2" localSheetId="47">[1]典型户型修正!$5:$5</definedName>
    <definedName name="一修多修正项2" localSheetId="35">[2]典型户型修正!$5:$5</definedName>
    <definedName name="一修多修正项2" localSheetId="34">[1]典型户型修正!$5:$5</definedName>
    <definedName name="一修多修正项2">典型户型修正!$5:$5</definedName>
    <definedName name="一修多修正项3" localSheetId="47">[1]典型户型修正!$7:$7</definedName>
    <definedName name="一修多修正项3" localSheetId="35">[2]典型户型修正!$7:$7</definedName>
    <definedName name="一修多修正项3" localSheetId="34">[1]典型户型修正!$7:$7</definedName>
    <definedName name="一修多修正项3">典型户型修正!$7:$7</definedName>
    <definedName name="一修多修正项4" localSheetId="47">[1]典型户型修正!$9:$9</definedName>
    <definedName name="一修多修正项4" localSheetId="35">[2]典型户型修正!$9:$9</definedName>
    <definedName name="一修多修正项4" localSheetId="34">[1]典型户型修正!$9:$9</definedName>
    <definedName name="一修多修正项4">典型户型修正!$9:$9</definedName>
    <definedName name="一修多修正项5" localSheetId="47">[1]典型户型修正!$11:$11</definedName>
    <definedName name="一修多修正项5" localSheetId="35">[2]典型户型修正!$11:$11</definedName>
    <definedName name="一修多修正项5" localSheetId="34">[1]典型户型修正!$11:$11</definedName>
    <definedName name="一修多修正项5">典型户型修正!$11:$11</definedName>
    <definedName name="一修多修正项6" localSheetId="47">[1]典型户型修正!$13:$13</definedName>
    <definedName name="一修多修正项6" localSheetId="35">[2]典型户型修正!$13:$13</definedName>
    <definedName name="一修多修正项6" localSheetId="34">[1]典型户型修正!$13:$13</definedName>
    <definedName name="一修多修正项6">典型户型修正!$13:$13</definedName>
    <definedName name="一修多修正项7" localSheetId="47">[1]典型户型修正!$15:$15</definedName>
    <definedName name="一修多修正项7" localSheetId="35">[2]典型户型修正!$15:$15</definedName>
    <definedName name="一修多修正项7" localSheetId="34">[1]典型户型修正!$15:$15</definedName>
    <definedName name="一修多修正项7">典型户型修正!$15:$15</definedName>
    <definedName name="一修多修正项8" localSheetId="47">[1]典型户型修正!$17:$17</definedName>
    <definedName name="一修多修正项8" localSheetId="35">[2]典型户型修正!$17:$17</definedName>
    <definedName name="一修多修正项8" localSheetId="34">[1]典型户型修正!$17:$17</definedName>
    <definedName name="一修多修正项8">典型户型修正!$17:$17</definedName>
    <definedName name="用途明细" localSheetId="47">[1]定义!$A$1:$A$50</definedName>
    <definedName name="用途明细" localSheetId="35">[2]定义!$A$1:$A$50</definedName>
    <definedName name="用途明细" localSheetId="34">[1]定义!$A$1:$A$50</definedName>
    <definedName name="用途明细">定义!$A$1:$A$50</definedName>
    <definedName name="有无电梯" localSheetId="47">'[1]比较法-仓储'!$B$84:$M$84</definedName>
    <definedName name="有无电梯" localSheetId="35">'[2]比较法-仓储'!$B$84:$M$84</definedName>
    <definedName name="有无电梯" localSheetId="34">'[1]比较法-仓储'!$B$84:$M$84</definedName>
    <definedName name="有无电梯">'比较法-仓储'!$B$84:$M$84</definedName>
    <definedName name="主用途" localSheetId="47">[1]定义!$F$1:$F$10</definedName>
    <definedName name="主用途" localSheetId="35">[2]定义!$F$1:$F$10</definedName>
    <definedName name="主用途" localSheetId="34">[1]定义!$F$1:$F$10</definedName>
    <definedName name="主用途">定义!$F$1:$F$12</definedName>
    <definedName name="住宅朝向" localSheetId="47">'[1]比较法-住宅'!$B$88:$M$88</definedName>
    <definedName name="住宅朝向" localSheetId="35">'[2]比较法-住宅'!$B$88:$M$88</definedName>
    <definedName name="住宅朝向" localSheetId="34">'[1]比较法-住宅'!$B$88:$M$88</definedName>
    <definedName name="住宅朝向">'比较法-住宅'!$B$88:$M$88</definedName>
    <definedName name="住宅房型" localSheetId="47">'[1]比较法-住宅'!$B$118:$M$118</definedName>
    <definedName name="住宅房型" localSheetId="35">'[2]比较法-住宅'!$B$118:$M$118</definedName>
    <definedName name="住宅房型" localSheetId="34">'[1]比较法-住宅'!$B$118:$M$118</definedName>
    <definedName name="住宅房型">'比较法-住宅'!$B$118:$M$118</definedName>
    <definedName name="住宅公共部分装修" localSheetId="47">'[1]比较法-住宅'!$B$109:$M$109</definedName>
    <definedName name="住宅公共部分装修" localSheetId="35">'[2]比较法-住宅'!$B$109:$M$109</definedName>
    <definedName name="住宅公共部分装修" localSheetId="34">'[1]比较法-住宅'!$B$109:$M$109</definedName>
    <definedName name="住宅公共部分装修">'比较法-住宅'!$B$109:$M$109</definedName>
    <definedName name="住宅基础设施水平" localSheetId="47">'[1]比较法-住宅'!$B$116:$M$116</definedName>
    <definedName name="住宅基础设施水平" localSheetId="35">'[2]比较法-住宅'!$B$116:$M$116</definedName>
    <definedName name="住宅基础设施水平" localSheetId="34">'[1]比较法-住宅'!$B$116:$M$116</definedName>
    <definedName name="住宅基础设施水平">'比较法-住宅'!$B$116:$M$116</definedName>
    <definedName name="住宅建筑结构" localSheetId="47">'[1]比较法-住宅'!$B$105:$M$105</definedName>
    <definedName name="住宅建筑结构" localSheetId="35">'[2]比较法-住宅'!$B$105:$M$105</definedName>
    <definedName name="住宅建筑结构" localSheetId="34">'[1]比较法-住宅'!$B$105:$M$105</definedName>
    <definedName name="住宅建筑结构">'比较法-住宅'!$B$105:$M$105</definedName>
    <definedName name="住宅建筑类型" localSheetId="47">'[1]比较法-住宅'!$B$100:$M$100</definedName>
    <definedName name="住宅建筑类型" localSheetId="35">'[2]比较法-住宅'!$B$100:$M$100</definedName>
    <definedName name="住宅建筑类型" localSheetId="34">'[1]比较法-住宅'!$B$100:$M$100</definedName>
    <definedName name="住宅建筑类型">'比较法-住宅'!$B$100:$M$100</definedName>
    <definedName name="住宅建筑品质" localSheetId="47">'[1]比较法-住宅'!$B$107:$M$107</definedName>
    <definedName name="住宅建筑品质" localSheetId="35">'[2]比较法-住宅'!$B$107:$M$107</definedName>
    <definedName name="住宅建筑品质" localSheetId="34">'[1]比较法-住宅'!$B$107:$M$107</definedName>
    <definedName name="住宅建筑品质">'比较法-住宅'!$B$107:$M$107</definedName>
    <definedName name="住宅交易情况" localSheetId="47">'[1]比较法-住宅'!$A$61:$M$61</definedName>
    <definedName name="住宅交易情况" localSheetId="35">'[2]比较法-住宅'!$A$61:$M$61</definedName>
    <definedName name="住宅交易情况" localSheetId="34">'[1]比较法-住宅'!$A$61:$M$61</definedName>
    <definedName name="住宅交易情况">'比较法-住宅'!$A$61:$M$61</definedName>
    <definedName name="住宅楼层" localSheetId="47">'[1]比较法-住宅'!$B$86:$M$86</definedName>
    <definedName name="住宅楼层" localSheetId="35">'[2]比较法-住宅'!$B$86:$M$86</definedName>
    <definedName name="住宅楼层" localSheetId="34">'[1]比较法-住宅'!$B$86:$M$86</definedName>
    <definedName name="住宅楼层">'比较法-住宅'!$B$86:$M$86</definedName>
    <definedName name="住宅内部装修" localSheetId="47">'[1]比较法-住宅'!$B$122:$M$122</definedName>
    <definedName name="住宅内部装修" localSheetId="35">'[2]比较法-住宅'!$B$122:$M$122</definedName>
    <definedName name="住宅内部装修" localSheetId="34">'[1]比较法-住宅'!$B$122:$M$122</definedName>
    <definedName name="住宅内部装修">'比较法-住宅'!$B$122:$M$122</definedName>
    <definedName name="住宅物业管理" localSheetId="47">'[1]比较法-住宅'!$B$114:$M$114</definedName>
    <definedName name="住宅物业管理" localSheetId="35">'[2]比较法-住宅'!$B$114:$M$114</definedName>
    <definedName name="住宅物业管理" localSheetId="34">'[1]比较法-住宅'!$B$114:$M$114</definedName>
    <definedName name="住宅物业管理">'比较法-住宅'!$B$114:$M$114</definedName>
    <definedName name="住宅用途" localSheetId="47">'[1]比较法-住宅'!$B$63:$M$63</definedName>
    <definedName name="住宅用途" localSheetId="35">'[2]比较法-住宅'!$B$63:$M$63</definedName>
    <definedName name="住宅用途" localSheetId="34">'[1]比较法-住宅'!$B$63:$M$63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35">[2]估价师及机构信息!$A$3:$A$24</definedName>
    <definedName name="注册房地产估价师" localSheetId="3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L8" i="69" l="1"/>
  <c r="J38" i="81" l="1"/>
  <c r="C5" i="82" l="1"/>
  <c r="E47" i="33" s="1"/>
  <c r="E33" i="33"/>
  <c r="E5" i="33"/>
  <c r="I5" i="83"/>
  <c r="I5" i="33"/>
  <c r="M4" i="83"/>
  <c r="E3" i="82"/>
  <c r="C3" i="82"/>
  <c r="B3" i="82"/>
  <c r="G5" i="33" s="1"/>
  <c r="D104" i="33" l="1"/>
  <c r="E104" i="33" s="1"/>
  <c r="F104" i="33" s="1"/>
  <c r="G104" i="33" s="1"/>
  <c r="H104" i="33" s="1"/>
  <c r="B35" i="1"/>
  <c r="B21" i="1"/>
  <c r="N6" i="1"/>
  <c r="Y6" i="1" s="1"/>
  <c r="N18" i="1"/>
  <c r="I13" i="3"/>
  <c r="D3" i="4"/>
  <c r="H40" i="81"/>
  <c r="C37" i="81"/>
  <c r="H29" i="81"/>
  <c r="E29" i="81" s="1"/>
  <c r="H28" i="81"/>
  <c r="H27" i="81"/>
  <c r="H26" i="81"/>
  <c r="E26" i="81"/>
  <c r="E25" i="81"/>
  <c r="F19" i="81"/>
  <c r="I17" i="81"/>
  <c r="F16" i="81"/>
  <c r="H15" i="81"/>
  <c r="E15" i="81"/>
  <c r="C15" i="81"/>
  <c r="H14" i="81"/>
  <c r="H12" i="81"/>
  <c r="I11" i="81"/>
  <c r="M10" i="81"/>
  <c r="P9" i="81"/>
  <c r="O10" i="81" s="1"/>
  <c r="H9" i="81"/>
  <c r="I7" i="81"/>
  <c r="M4" i="81"/>
  <c r="E24" i="81" l="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5" i="8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Y37" i="71" s="1"/>
  <c r="Z37" i="71" s="1"/>
  <c r="N37" i="71"/>
  <c r="D37" i="71"/>
  <c r="Q36" i="71"/>
  <c r="AB36" i="71"/>
  <c r="P36" i="71"/>
  <c r="O36" i="71"/>
  <c r="Y36" i="71" s="1"/>
  <c r="Z36" i="71" s="1"/>
  <c r="N36" i="71"/>
  <c r="Q35" i="71"/>
  <c r="AB35" i="71" s="1"/>
  <c r="P35" i="71"/>
  <c r="O35" i="71"/>
  <c r="Y35" i="71" s="1"/>
  <c r="Z35" i="71" s="1"/>
  <c r="N35" i="71"/>
  <c r="X32"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s="1"/>
  <c r="B36" i="71" s="1"/>
  <c r="S36" i="71" s="1"/>
  <c r="X33" i="71"/>
  <c r="B38" i="71"/>
  <c r="B39" i="71" s="1"/>
  <c r="B40" i="71" s="1"/>
  <c r="S40" i="71" s="1"/>
  <c r="X37" i="71"/>
  <c r="E38" i="71"/>
  <c r="E39" i="71"/>
  <c r="E40" i="71" s="1"/>
  <c r="U40" i="71" s="1"/>
  <c r="AA37" i="71"/>
  <c r="N68" i="71"/>
  <c r="E34" i="71"/>
  <c r="E35" i="71"/>
  <c r="E36" i="71" s="1"/>
  <c r="U36" i="71" s="1"/>
  <c r="AA33" i="71"/>
  <c r="C30" i="71"/>
  <c r="D30" i="71" s="1"/>
  <c r="AB29" i="71"/>
  <c r="AA30" i="71"/>
  <c r="AA31" i="71"/>
  <c r="AA32" i="71"/>
  <c r="X34" i="71"/>
  <c r="AA34" i="71"/>
  <c r="X35" i="71"/>
  <c r="AA35" i="71"/>
  <c r="X36" i="71"/>
  <c r="AA36" i="71"/>
  <c r="C38" i="71"/>
  <c r="C39" i="71" s="1"/>
  <c r="AB37" i="71"/>
  <c r="X38" i="71"/>
  <c r="AA38" i="71"/>
  <c r="F51" i="71"/>
  <c r="F52" i="71"/>
  <c r="V52" i="71" s="1"/>
  <c r="C28" i="71"/>
  <c r="Y25" i="71"/>
  <c r="Z25" i="71" s="1"/>
  <c r="Y26" i="71"/>
  <c r="Z26" i="71" s="1"/>
  <c r="Y28" i="71"/>
  <c r="Z28" i="71" s="1"/>
  <c r="X25" i="71"/>
  <c r="X27" i="71"/>
  <c r="C31" i="71"/>
  <c r="D31" i="71" s="1"/>
  <c r="D38" i="71"/>
  <c r="C51" i="71"/>
  <c r="D50" i="71"/>
  <c r="P28" i="71"/>
  <c r="E55" i="71"/>
  <c r="E56" i="71" s="1"/>
  <c r="U56" i="71" s="1"/>
  <c r="E59" i="71"/>
  <c r="E60" i="71"/>
  <c r="U60" i="71" s="1"/>
  <c r="U68" i="71"/>
  <c r="E67" i="71"/>
  <c r="Q28" i="71"/>
  <c r="AB25" i="71" s="1"/>
  <c r="C59" i="71"/>
  <c r="D58" i="71"/>
  <c r="N67" i="71"/>
  <c r="B66" i="71"/>
  <c r="N66" i="71" s="1"/>
  <c r="T68" i="71"/>
  <c r="O68" i="71"/>
  <c r="D68" i="71"/>
  <c r="C67" i="71"/>
  <c r="O67" i="71" s="1"/>
  <c r="Q68" i="71"/>
  <c r="C71" i="71"/>
  <c r="D71" i="71" s="1"/>
  <c r="E71" i="71"/>
  <c r="E70" i="71" s="1"/>
  <c r="D72" i="71"/>
  <c r="C75" i="71"/>
  <c r="E75" i="71"/>
  <c r="E74" i="71" s="1"/>
  <c r="D76" i="71"/>
  <c r="C79" i="71"/>
  <c r="D79" i="71" s="1"/>
  <c r="E79" i="71"/>
  <c r="E78" i="71" s="1"/>
  <c r="D80" i="71"/>
  <c r="C83" i="71"/>
  <c r="C87" i="71"/>
  <c r="C86" i="71" s="1"/>
  <c r="D86" i="71" s="1"/>
  <c r="T28" i="71"/>
  <c r="C27" i="71"/>
  <c r="F28" i="71"/>
  <c r="F27" i="71" s="1"/>
  <c r="F26" i="71" s="1"/>
  <c r="AB26" i="71"/>
  <c r="AB28" i="71"/>
  <c r="E28" i="71"/>
  <c r="E27" i="71"/>
  <c r="E26" i="71" s="1"/>
  <c r="AA3" i="71"/>
  <c r="AA25" i="71"/>
  <c r="AA26" i="71"/>
  <c r="AA27" i="71"/>
  <c r="AA28" i="71"/>
  <c r="D28" i="71"/>
  <c r="U28" i="71" s="1"/>
  <c r="C66" i="71"/>
  <c r="O66" i="71" s="1"/>
  <c r="D67" i="71"/>
  <c r="D83" i="71"/>
  <c r="C82" i="71"/>
  <c r="D82" i="71" s="1"/>
  <c r="D75" i="71"/>
  <c r="C74" i="71"/>
  <c r="D74" i="71" s="1"/>
  <c r="N65" i="71"/>
  <c r="D87" i="71"/>
  <c r="C78" i="71"/>
  <c r="D78" i="71" s="1"/>
  <c r="C70" i="71"/>
  <c r="D70" i="71" s="1"/>
  <c r="C60" i="71"/>
  <c r="D60" i="71" s="1"/>
  <c r="D59" i="71"/>
  <c r="P67" i="71"/>
  <c r="E66" i="71"/>
  <c r="P65" i="71" s="1"/>
  <c r="C52" i="71"/>
  <c r="D52" i="71" s="1"/>
  <c r="D51" i="71"/>
  <c r="C32" i="71"/>
  <c r="D32" i="71" s="1"/>
  <c r="C26" i="71"/>
  <c r="D26" i="71" s="1"/>
  <c r="D27" i="71"/>
  <c r="V28" i="71"/>
  <c r="P66" i="71"/>
  <c r="D66" i="71"/>
  <c r="T32" i="71"/>
  <c r="T52" i="71"/>
  <c r="T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E83" i="21"/>
  <c r="F83" i="21" s="1"/>
  <c r="H1" i="69"/>
  <c r="W25" i="40"/>
  <c r="U25" i="40"/>
  <c r="U29" i="39"/>
  <c r="W29" i="39"/>
  <c r="W18" i="36"/>
  <c r="AB21" i="37"/>
  <c r="U21" i="37"/>
  <c r="S21" i="37"/>
  <c r="S21" i="33"/>
  <c r="U18" i="35"/>
  <c r="AC18" i="35"/>
  <c r="J21" i="37"/>
  <c r="W21" i="37" s="1"/>
  <c r="J21" i="34"/>
  <c r="W21" i="34" s="1"/>
  <c r="J21" i="33"/>
  <c r="W21" i="33" s="1"/>
  <c r="H21" i="21"/>
  <c r="U21" i="21" s="1"/>
  <c r="F38" i="69"/>
  <c r="E37" i="69"/>
  <c r="F36" i="69"/>
  <c r="F35" i="69"/>
  <c r="F21" i="69"/>
  <c r="F40" i="69" s="1"/>
  <c r="F20" i="69"/>
  <c r="F39" i="69" s="1"/>
  <c r="E10" i="69"/>
  <c r="E9" i="69"/>
  <c r="AC21" i="34"/>
  <c r="G83"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J12" i="34" s="1"/>
  <c r="B130" i="33"/>
  <c r="J46" i="33" s="1"/>
  <c r="B128" i="33"/>
  <c r="B126" i="33"/>
  <c r="J44" i="33" s="1"/>
  <c r="B98" i="33"/>
  <c r="B96" i="33"/>
  <c r="B94" i="33"/>
  <c r="B74" i="33"/>
  <c r="F14" i="33" s="1"/>
  <c r="S14" i="33" s="1"/>
  <c r="B72" i="33"/>
  <c r="B70" i="33"/>
  <c r="J12" i="33" s="1"/>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s="1"/>
  <c r="D72" i="35"/>
  <c r="E72" i="35" s="1"/>
  <c r="F72" i="35" s="1"/>
  <c r="G72" i="35"/>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F26" i="33"/>
  <c r="AA26" i="33" s="1"/>
  <c r="S40" i="33"/>
  <c r="H39" i="37"/>
  <c r="AB39" i="37" s="1"/>
  <c r="S27" i="35"/>
  <c r="F11" i="40"/>
  <c r="AA11" i="40" s="1"/>
  <c r="H11" i="40"/>
  <c r="AB11" i="40" s="1"/>
  <c r="W8" i="40"/>
  <c r="AB39"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AC13" i="33" s="1"/>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J14" i="33"/>
  <c r="W14" i="33" s="1"/>
  <c r="H30" i="33"/>
  <c r="AB30" i="33" s="1"/>
  <c r="F30" i="33"/>
  <c r="J30" i="33"/>
  <c r="H44" i="33"/>
  <c r="AB44" i="33" s="1"/>
  <c r="F44" i="33"/>
  <c r="S44" i="33" s="1"/>
  <c r="F46" i="33"/>
  <c r="AA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A14" i="37"/>
  <c r="W13" i="36"/>
  <c r="AB46" i="34"/>
  <c r="AA14" i="34"/>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J42"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5" i="35"/>
  <c r="AA12" i="35"/>
  <c r="W23" i="35"/>
  <c r="AB28" i="37"/>
  <c r="U33" i="37"/>
  <c r="U39" i="37"/>
  <c r="W26" i="37"/>
  <c r="U26" i="37"/>
  <c r="AB13" i="34"/>
  <c r="AC36" i="34"/>
  <c r="AC31" i="33"/>
  <c r="AC45"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0" i="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3" i="3"/>
  <c r="AZ47" i="3"/>
  <c r="AZ55" i="3"/>
  <c r="AZ67" i="3"/>
  <c r="AZ71" i="3"/>
  <c r="AZ83" i="3"/>
  <c r="AZ168" i="3"/>
  <c r="AZ200" i="3"/>
  <c r="AZ85" i="3"/>
  <c r="AZ93" i="3"/>
  <c r="AZ101"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6" i="3"/>
  <c r="AZ162" i="3"/>
  <c r="AZ178" i="3"/>
  <c r="AZ194"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AZ352" i="3" s="1"/>
  <c r="G353" i="3"/>
  <c r="BA357" i="3"/>
  <c r="AZ357" i="3" s="1"/>
  <c r="BL358" i="3"/>
  <c r="AZ358" i="3" s="1"/>
  <c r="G359" i="3"/>
  <c r="BA361" i="3"/>
  <c r="AZ361" i="3"/>
  <c r="BL362" i="3"/>
  <c r="G363" i="3"/>
  <c r="BA365" i="3"/>
  <c r="AZ365" i="3"/>
  <c r="BL366" i="3"/>
  <c r="G367" i="3"/>
  <c r="BA369" i="3"/>
  <c r="AZ369" i="3" s="1"/>
  <c r="BL370" i="3"/>
  <c r="AZ370" i="3" s="1"/>
  <c r="G371" i="3"/>
  <c r="BA373" i="3"/>
  <c r="BL374" i="3"/>
  <c r="AZ374" i="3" s="1"/>
  <c r="G375" i="3"/>
  <c r="BA377" i="3"/>
  <c r="AZ377" i="3" s="1"/>
  <c r="AZ233" i="3"/>
  <c r="AZ237" i="3"/>
  <c r="AZ245" i="3"/>
  <c r="AZ257" i="3"/>
  <c r="AZ261" i="3"/>
  <c r="AZ265" i="3"/>
  <c r="BA379" i="3"/>
  <c r="AZ379" i="3" s="1"/>
  <c r="BL380" i="3"/>
  <c r="G381" i="3"/>
  <c r="BA383" i="3"/>
  <c r="AZ383" i="3" s="1"/>
  <c r="BL384" i="3"/>
  <c r="G385" i="3"/>
  <c r="BA387" i="3"/>
  <c r="AZ387" i="3" s="1"/>
  <c r="BL388" i="3"/>
  <c r="G389" i="3"/>
  <c r="BA391" i="3"/>
  <c r="AZ391" i="3" s="1"/>
  <c r="BL392" i="3"/>
  <c r="AZ392" i="3" s="1"/>
  <c r="G393" i="3"/>
  <c r="AZ263" i="3"/>
  <c r="AZ279" i="3"/>
  <c r="AZ283" i="3"/>
  <c r="AZ291" i="3"/>
  <c r="BO5" i="3"/>
  <c r="BM5" i="3"/>
  <c r="BJ5" i="3"/>
  <c r="BH5" i="3"/>
  <c r="BF5" i="3"/>
  <c r="BD5" i="3"/>
  <c r="AZ309" i="3"/>
  <c r="AZ325" i="3"/>
  <c r="AZ341" i="3"/>
  <c r="BQ5" i="3"/>
  <c r="AC5" i="3"/>
  <c r="AZ506" i="3"/>
  <c r="AZ496" i="3"/>
  <c r="G548" i="3"/>
  <c r="G538" i="3"/>
  <c r="G520" i="3"/>
  <c r="G502" i="3"/>
  <c r="BS5" i="3"/>
  <c r="BP5" i="3"/>
  <c r="BN5" i="3"/>
  <c r="G29" i="6" s="1"/>
  <c r="BK5" i="3"/>
  <c r="BI5" i="3"/>
  <c r="BG5" i="3"/>
  <c r="BE5" i="3"/>
  <c r="BC5" i="3"/>
  <c r="G17" i="3"/>
  <c r="BA17" i="3"/>
  <c r="BT5" i="3"/>
  <c r="AZ350" i="3"/>
  <c r="AZ356" i="3"/>
  <c r="BA15" i="3"/>
  <c r="BB5" i="3"/>
  <c r="BR5" i="3"/>
  <c r="AZ380" i="3"/>
  <c r="AZ388" i="3"/>
  <c r="AZ509" i="3"/>
  <c r="G509" i="3"/>
  <c r="BL493" i="3"/>
  <c r="AZ493" i="3" s="1"/>
  <c r="AZ491" i="3"/>
  <c r="AZ390" i="3"/>
  <c r="U36" i="40"/>
  <c r="F83" i="43"/>
  <c r="H85" i="43" s="1"/>
  <c r="F50" i="43"/>
  <c r="H54" i="43" s="1"/>
  <c r="F72" i="43"/>
  <c r="H75" i="43" s="1"/>
  <c r="U17" i="39"/>
  <c r="S14" i="35"/>
  <c r="U43" i="21"/>
  <c r="U35" i="21"/>
  <c r="AC35" i="21"/>
  <c r="G8" i="1"/>
  <c r="G10" i="1"/>
  <c r="W37" i="37"/>
  <c r="W44" i="34"/>
  <c r="AC44" i="34"/>
  <c r="S15" i="37"/>
  <c r="U13" i="37"/>
  <c r="U12" i="40"/>
  <c r="AA12" i="40"/>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86" i="3"/>
  <c r="C40" i="11"/>
  <c r="AZ223" i="3"/>
  <c r="AZ235" i="3"/>
  <c r="AZ240" i="3"/>
  <c r="AZ248" i="3"/>
  <c r="AZ259" i="3"/>
  <c r="AZ280" i="3"/>
  <c r="AZ288" i="3"/>
  <c r="AZ114" i="3"/>
  <c r="AZ133" i="3"/>
  <c r="AZ29" i="3"/>
  <c r="AZ31" i="3"/>
  <c r="AZ33" i="3"/>
  <c r="AZ37" i="3"/>
  <c r="AZ42" i="3"/>
  <c r="AZ45" i="3"/>
  <c r="AZ66" i="3"/>
  <c r="AZ69" i="3"/>
  <c r="AZ72" i="3"/>
  <c r="AZ74" i="3"/>
  <c r="AZ82" i="3"/>
  <c r="AZ86" i="3"/>
  <c r="AZ94"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12" i="3"/>
  <c r="AZ428" i="3"/>
  <c r="AA32" i="36"/>
  <c r="S32" i="36"/>
  <c r="AZ437" i="3"/>
  <c r="AA39" i="34"/>
  <c r="BL14" i="3"/>
  <c r="U30" i="33"/>
  <c r="AC13" i="34"/>
  <c r="AA47" i="34"/>
  <c r="W28" i="37"/>
  <c r="S19" i="39"/>
  <c r="F12" i="33"/>
  <c r="S12" i="33" s="1"/>
  <c r="H12" i="39"/>
  <c r="AB12" i="39" s="1"/>
  <c r="F39" i="40"/>
  <c r="AA39" i="40" s="1"/>
  <c r="BA14" i="3"/>
  <c r="AZ14" i="3"/>
  <c r="AZ367" i="3"/>
  <c r="AZ224" i="3"/>
  <c r="AZ238" i="3"/>
  <c r="AZ250" i="3"/>
  <c r="AZ281" i="3"/>
  <c r="AZ286" i="3"/>
  <c r="AZ157" i="3"/>
  <c r="AZ173" i="3"/>
  <c r="AZ189" i="3"/>
  <c r="AZ35" i="3"/>
  <c r="AZ41" i="3"/>
  <c r="B12" i="1"/>
  <c r="E12" i="1" s="1"/>
  <c r="B10" i="1"/>
  <c r="E10" i="1" s="1"/>
  <c r="AZ80" i="3"/>
  <c r="AZ84" i="3"/>
  <c r="AZ88" i="3"/>
  <c r="AZ107" i="3"/>
  <c r="AZ111" i="3"/>
  <c r="K12" i="1"/>
  <c r="M12" i="1" s="1"/>
  <c r="S13" i="1"/>
  <c r="AR13" i="1" s="1"/>
  <c r="R13" i="1"/>
  <c r="J51" i="67"/>
  <c r="C42" i="1"/>
  <c r="C24" i="12" s="1"/>
  <c r="AC34" i="33"/>
  <c r="B41" i="1"/>
  <c r="F30" i="11" s="1"/>
  <c r="C48" i="11" s="1"/>
  <c r="AB37" i="40"/>
  <c r="S35" i="40"/>
  <c r="AC36" i="40"/>
  <c r="W38" i="40"/>
  <c r="AA32" i="40"/>
  <c r="S17" i="40"/>
  <c r="S23" i="40"/>
  <c r="AC17" i="40"/>
  <c r="AC15" i="40"/>
  <c r="S30"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U26" i="36"/>
  <c r="S33" i="36"/>
  <c r="AA26" i="36"/>
  <c r="AA34" i="36"/>
  <c r="AC26" i="36"/>
  <c r="AA22" i="36"/>
  <c r="W14" i="36"/>
  <c r="AB14" i="36"/>
  <c r="U22" i="36"/>
  <c r="S16" i="36"/>
  <c r="AA25" i="36"/>
  <c r="S24" i="36"/>
  <c r="U24"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G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S32" i="33"/>
  <c r="AA29" i="33"/>
  <c r="AB29" i="33"/>
  <c r="W38" i="33"/>
  <c r="H41" i="33"/>
  <c r="U41" i="33" s="1"/>
  <c r="F121" i="33"/>
  <c r="G121" i="33"/>
  <c r="H121" i="33" s="1"/>
  <c r="I121" i="33" s="1"/>
  <c r="J121" i="33" s="1"/>
  <c r="K121" i="33" s="1"/>
  <c r="L121" i="33" s="1"/>
  <c r="M121" i="33" s="1"/>
  <c r="S42" i="33"/>
  <c r="J35" i="33"/>
  <c r="AC35" i="33" s="1"/>
  <c r="S37" i="33"/>
  <c r="AA37" i="33"/>
  <c r="J32" i="33"/>
  <c r="AC32" i="33" s="1"/>
  <c r="S46" i="33"/>
  <c r="W43" i="33"/>
  <c r="S43" i="33"/>
  <c r="H25" i="33"/>
  <c r="U25" i="33" s="1"/>
  <c r="F25" i="33"/>
  <c r="S25" i="33" s="1"/>
  <c r="J23" i="33"/>
  <c r="AC23" i="33" s="1"/>
  <c r="H23" i="33"/>
  <c r="U23" i="33" s="1"/>
  <c r="F19" i="33"/>
  <c r="S19" i="33" s="1"/>
  <c r="W19" i="33"/>
  <c r="J17" i="33"/>
  <c r="W17" i="33" s="1"/>
  <c r="W15" i="33"/>
  <c r="U9" i="33"/>
  <c r="J10" i="33"/>
  <c r="W10" i="33" s="1"/>
  <c r="H10" i="33"/>
  <c r="U10" i="33" s="1"/>
  <c r="W43" i="21"/>
  <c r="W36" i="21"/>
  <c r="W41" i="21"/>
  <c r="AB39" i="21"/>
  <c r="AA43" i="21"/>
  <c r="S39" i="21"/>
  <c r="AA38" i="21"/>
  <c r="AA36" i="21"/>
  <c r="AC40" i="21"/>
  <c r="J15" i="21"/>
  <c r="W15" i="21" s="1"/>
  <c r="F77" i="21"/>
  <c r="G77" i="21" s="1"/>
  <c r="F23" i="21"/>
  <c r="S23" i="21" s="1"/>
  <c r="E85" i="21"/>
  <c r="F85" i="21" s="1"/>
  <c r="AA14" i="21"/>
  <c r="D120" i="9"/>
  <c r="C18" i="9"/>
  <c r="D18" i="9"/>
  <c r="F34" i="67"/>
  <c r="F62" i="67" s="1"/>
  <c r="M20" i="67"/>
  <c r="F34" i="15"/>
  <c r="F62" i="15" s="1"/>
  <c r="G13" i="3"/>
  <c r="BA13" i="3"/>
  <c r="BL17" i="3"/>
  <c r="AZ17" i="3" s="1"/>
  <c r="BL13" i="3"/>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U38" i="33"/>
  <c r="U44" i="33"/>
  <c r="S30" i="33"/>
  <c r="AA30" i="33"/>
  <c r="AC14" i="33"/>
  <c r="AC30" i="33"/>
  <c r="W30" i="33"/>
  <c r="S31" i="33"/>
  <c r="AA31" i="33"/>
  <c r="W13" i="33"/>
  <c r="S11" i="33"/>
  <c r="U37" i="33"/>
  <c r="AC28" i="33"/>
  <c r="S28" i="33"/>
  <c r="S44" i="21"/>
  <c r="AB42" i="21"/>
  <c r="U28" i="21"/>
  <c r="S45" i="21"/>
  <c r="J101" i="2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J17" i="21"/>
  <c r="AC19" i="21"/>
  <c r="W39" i="21"/>
  <c r="AC14" i="21"/>
  <c r="W30" i="21"/>
  <c r="S46" i="21"/>
  <c r="H45" i="21"/>
  <c r="U45" i="21" s="1"/>
  <c r="F29" i="21"/>
  <c r="S29" i="21" s="1"/>
  <c r="F13" i="21"/>
  <c r="AA13" i="21" s="1"/>
  <c r="AC38" i="21"/>
  <c r="H32" i="21"/>
  <c r="H9" i="21"/>
  <c r="U9" i="21" s="1"/>
  <c r="J9" i="21"/>
  <c r="J32" i="21"/>
  <c r="W32" i="21" s="1"/>
  <c r="F32" i="21"/>
  <c r="AA31" i="21"/>
  <c r="U17" i="21"/>
  <c r="S1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S39" i="40"/>
  <c r="D68" i="9"/>
  <c r="J32" i="39"/>
  <c r="W32" i="39" s="1"/>
  <c r="H32" i="39"/>
  <c r="AB32" i="39" s="1"/>
  <c r="AA32" i="39"/>
  <c r="AB21" i="39"/>
  <c r="AA21" i="39"/>
  <c r="S17" i="37"/>
  <c r="J19" i="37"/>
  <c r="G75" i="37"/>
  <c r="AA19" i="37"/>
  <c r="J23" i="37"/>
  <c r="AC23" i="37" s="1"/>
  <c r="J10" i="37"/>
  <c r="W10" i="37" s="1"/>
  <c r="H11" i="37"/>
  <c r="AB11" i="37" s="1"/>
  <c r="H11" i="34"/>
  <c r="U11" i="34" s="1"/>
  <c r="J10" i="34"/>
  <c r="AC10" i="34" s="1"/>
  <c r="AB25" i="33"/>
  <c r="H87" i="33"/>
  <c r="I87" i="33" s="1"/>
  <c r="J87" i="33" s="1"/>
  <c r="K87" i="33" s="1"/>
  <c r="L87" i="33" s="1"/>
  <c r="M87" i="33" s="1"/>
  <c r="J25" i="33"/>
  <c r="AC25" i="33" s="1"/>
  <c r="F23" i="33"/>
  <c r="AA23" i="33" s="1"/>
  <c r="G85" i="33"/>
  <c r="H19" i="33"/>
  <c r="U19" i="33" s="1"/>
  <c r="G79" i="33"/>
  <c r="H17" i="33"/>
  <c r="AB17" i="33" s="1"/>
  <c r="F17" i="33"/>
  <c r="AC17" i="33"/>
  <c r="AA23" i="21"/>
  <c r="J23" i="21"/>
  <c r="G85" i="21"/>
  <c r="H23" i="21"/>
  <c r="S13" i="21"/>
  <c r="AP7" i="1"/>
  <c r="AB9" i="21"/>
  <c r="AA32" i="21"/>
  <c r="S32" i="21"/>
  <c r="W9" i="21"/>
  <c r="AC9" i="21"/>
  <c r="AB32" i="21"/>
  <c r="U32" i="21"/>
  <c r="A18" i="62"/>
  <c r="B64" i="72" s="1"/>
  <c r="U32" i="39"/>
  <c r="AC32" i="39"/>
  <c r="W19" i="37"/>
  <c r="AC19" i="37"/>
  <c r="W23" i="37"/>
  <c r="H63" i="37"/>
  <c r="I63" i="37" s="1"/>
  <c r="J63" i="37" s="1"/>
  <c r="K63" i="37" s="1"/>
  <c r="L63" i="37" s="1"/>
  <c r="M63" i="37" s="1"/>
  <c r="J11" i="37"/>
  <c r="AC11" i="37" s="1"/>
  <c r="H70" i="34"/>
  <c r="I70" i="34" s="1"/>
  <c r="J70" i="34" s="1"/>
  <c r="K70" i="34" s="1"/>
  <c r="L70" i="34" s="1"/>
  <c r="M70" i="34" s="1"/>
  <c r="J11" i="34"/>
  <c r="W11" i="34" s="1"/>
  <c r="AA17" i="33"/>
  <c r="S17" i="33"/>
  <c r="U23" i="21"/>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AO13" i="1"/>
  <c r="E9" i="76"/>
  <c r="D7" i="73"/>
  <c r="F37" i="67"/>
  <c r="D19" i="9"/>
  <c r="F6" i="73"/>
  <c r="E10" i="76"/>
  <c r="C76" i="67"/>
  <c r="B8" i="76"/>
  <c r="M8" i="15"/>
  <c r="F6" i="67"/>
  <c r="F9" i="15"/>
  <c r="F42" i="15"/>
  <c r="F6" i="15"/>
  <c r="F36" i="67"/>
  <c r="F26" i="67"/>
  <c r="M22" i="15"/>
  <c r="C19" i="9"/>
  <c r="B11" i="76"/>
  <c r="L47" i="67"/>
  <c r="F7" i="73"/>
  <c r="E2" i="68"/>
  <c r="F36" i="15"/>
  <c r="F13" i="15"/>
  <c r="M29" i="15"/>
  <c r="D35" i="9"/>
  <c r="M28" i="67"/>
  <c r="M9" i="67"/>
  <c r="M28" i="15"/>
  <c r="J15" i="67"/>
  <c r="F16" i="67"/>
  <c r="M22" i="67"/>
  <c r="F37" i="15"/>
  <c r="F42" i="67"/>
  <c r="F38" i="15"/>
  <c r="F40" i="15"/>
  <c r="J15" i="15"/>
  <c r="F4" i="73"/>
  <c r="C20" i="9"/>
  <c r="E13" i="76"/>
  <c r="L48" i="15"/>
  <c r="M24" i="67"/>
  <c r="E8" i="76"/>
  <c r="F20" i="31"/>
  <c r="F3" i="73"/>
  <c r="L47" i="15"/>
  <c r="F5" i="73"/>
  <c r="B13" i="76"/>
  <c r="M26" i="15"/>
  <c r="F26" i="15"/>
  <c r="E2" i="69"/>
  <c r="F40" i="67"/>
  <c r="F16" i="15"/>
  <c r="M6" i="67"/>
  <c r="C76" i="15"/>
  <c r="B9" i="76"/>
  <c r="L48" i="67"/>
  <c r="E11" i="76"/>
  <c r="M9" i="15"/>
  <c r="F7" i="15"/>
  <c r="D20" i="9"/>
  <c r="M6" i="15"/>
  <c r="M8" i="67"/>
  <c r="M23" i="67"/>
  <c r="M26" i="67"/>
  <c r="E12" i="76"/>
  <c r="M23" i="15"/>
  <c r="B7" i="76"/>
  <c r="F8" i="67"/>
  <c r="M24" i="15"/>
  <c r="F9" i="67"/>
  <c r="F13" i="67"/>
  <c r="E7" i="76"/>
  <c r="D34" i="9"/>
  <c r="B12" i="76"/>
  <c r="B10" i="76"/>
  <c r="F8" i="15"/>
  <c r="D3" i="73"/>
  <c r="F38" i="67"/>
  <c r="F43" i="15"/>
  <c r="D5" i="73"/>
  <c r="D4" i="73"/>
  <c r="W45" i="21" l="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S11" i="36"/>
  <c r="W31" i="34"/>
  <c r="AB30" i="21"/>
  <c r="BL586" i="3"/>
  <c r="AZ586" i="3" s="1"/>
  <c r="F9" i="33"/>
  <c r="AA9" i="33" s="1"/>
  <c r="J9" i="34"/>
  <c r="H9" i="34"/>
  <c r="J12" i="36"/>
  <c r="H12" i="36"/>
  <c r="F38" i="40"/>
  <c r="H38" i="40"/>
  <c r="F48" i="9"/>
  <c r="O52" i="9" s="1"/>
  <c r="H22" i="81"/>
  <c r="C22" i="81" s="1"/>
  <c r="AZ495" i="3"/>
  <c r="AZ513" i="3"/>
  <c r="AZ517" i="3"/>
  <c r="AZ567" i="3"/>
  <c r="AZ571" i="3"/>
  <c r="AZ575" i="3"/>
  <c r="AZ579" i="3"/>
  <c r="H25" i="37"/>
  <c r="F25" i="37"/>
  <c r="G582" i="3"/>
  <c r="G566" i="3"/>
  <c r="G552" i="3"/>
  <c r="BA551" i="3"/>
  <c r="AZ551" i="3" s="1"/>
  <c r="G551" i="3"/>
  <c r="BL550" i="3"/>
  <c r="BA550" i="3"/>
  <c r="BL548" i="3"/>
  <c r="AZ548" i="3" s="1"/>
  <c r="B14" i="74"/>
  <c r="C33" i="33"/>
  <c r="D33" i="43"/>
  <c r="D1" i="43" s="1"/>
  <c r="G14" i="3"/>
  <c r="G5" i="3" s="1"/>
  <c r="B3" i="3" s="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BA434" i="3"/>
  <c r="AZ434" i="3" s="1"/>
  <c r="BL434" i="3"/>
  <c r="G436" i="3"/>
  <c r="BL436" i="3"/>
  <c r="BA440" i="3"/>
  <c r="AZ440" i="3" s="1"/>
  <c r="BA441" i="3"/>
  <c r="AZ441" i="3" s="1"/>
  <c r="BA442" i="3"/>
  <c r="AZ442" i="3" s="1"/>
  <c r="BL442" i="3"/>
  <c r="G444" i="3"/>
  <c r="BL444" i="3"/>
  <c r="G446" i="3"/>
  <c r="BA447" i="3"/>
  <c r="AZ447" i="3" s="1"/>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AZ285" i="3"/>
  <c r="E19" i="6"/>
  <c r="K6" i="1" s="1"/>
  <c r="BL15" i="3"/>
  <c r="AZ15" i="3" s="1"/>
  <c r="G6" i="1"/>
  <c r="I24" i="43"/>
  <c r="AZ427" i="3"/>
  <c r="AZ436" i="3"/>
  <c r="AZ438" i="3"/>
  <c r="AZ239" i="3"/>
  <c r="BL244" i="3"/>
  <c r="AZ244" i="3" s="1"/>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AZ134" i="3"/>
  <c r="AZ145" i="3"/>
  <c r="AZ177" i="3"/>
  <c r="BA118" i="3"/>
  <c r="AZ118" i="3" s="1"/>
  <c r="BL119" i="3"/>
  <c r="AZ119" i="3" s="1"/>
  <c r="BA121" i="3"/>
  <c r="AZ121" i="3" s="1"/>
  <c r="BA125" i="3"/>
  <c r="AZ125" i="3" s="1"/>
  <c r="G128" i="3"/>
  <c r="BL130" i="3"/>
  <c r="AZ130" i="3" s="1"/>
  <c r="BA132" i="3"/>
  <c r="AZ132" i="3" s="1"/>
  <c r="G134" i="3"/>
  <c r="BL134" i="3"/>
  <c r="BA136" i="3"/>
  <c r="AZ136" i="3" s="1"/>
  <c r="BL137" i="3"/>
  <c r="AZ137" i="3" s="1"/>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G107" i="3"/>
  <c r="G108" i="3"/>
  <c r="BL108" i="3"/>
  <c r="B27" i="71"/>
  <c r="B26" i="71" s="1"/>
  <c r="S28" i="71"/>
  <c r="AZ193" i="3"/>
  <c r="AZ38" i="3"/>
  <c r="AZ56" i="3"/>
  <c r="AZ95" i="3"/>
  <c r="AZ100" i="3"/>
  <c r="C40" i="71"/>
  <c r="D39" i="71"/>
  <c r="C35" i="71"/>
  <c r="D34" i="71"/>
  <c r="D62" i="71"/>
  <c r="C63" i="71"/>
  <c r="E23" i="71"/>
  <c r="E22" i="71" s="1"/>
  <c r="E21" i="71" s="1"/>
  <c r="E20" i="71" s="1"/>
  <c r="E19" i="71" s="1"/>
  <c r="E18" i="71" s="1"/>
  <c r="E17" i="71" s="1"/>
  <c r="E16" i="71" s="1"/>
  <c r="V24" i="71"/>
  <c r="BL110" i="3"/>
  <c r="AZ110" i="3" s="1"/>
  <c r="F3" i="35"/>
  <c r="AC21" i="37"/>
  <c r="U21" i="34"/>
  <c r="C29" i="39"/>
  <c r="B68" i="43"/>
  <c r="B77" i="43"/>
  <c r="O65" i="71"/>
  <c r="AB27" i="71"/>
  <c r="X28" i="71"/>
  <c r="X26" i="71"/>
  <c r="Y27" i="71"/>
  <c r="Z27" i="71" s="1"/>
  <c r="AB33" i="71"/>
  <c r="Y33" i="71"/>
  <c r="Z33" i="71" s="1"/>
  <c r="X31" i="71"/>
  <c r="X30" i="71"/>
  <c r="B43" i="71"/>
  <c r="B44" i="71" s="1"/>
  <c r="S44" i="71" s="1"/>
  <c r="B47" i="71"/>
  <c r="B48" i="71" s="1"/>
  <c r="S48" i="71" s="1"/>
  <c r="S15" i="33"/>
  <c r="AC42"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B36" i="33"/>
  <c r="AA35" i="33"/>
  <c r="S41" i="33"/>
  <c r="S27" i="33"/>
  <c r="S26" i="33"/>
  <c r="AC11" i="33"/>
  <c r="U11" i="33"/>
  <c r="W8" i="33"/>
  <c r="U39" i="33"/>
  <c r="S39" i="33"/>
  <c r="W35" i="33"/>
  <c r="W32" i="33"/>
  <c r="AB26" i="33"/>
  <c r="W23" i="33"/>
  <c r="AB19" i="33"/>
  <c r="AA19" i="33"/>
  <c r="U17" i="33"/>
  <c r="AC44" i="33"/>
  <c r="W44" i="33"/>
  <c r="AC46" i="33"/>
  <c r="W46" i="33"/>
  <c r="AB45" i="33"/>
  <c r="H46" i="33"/>
  <c r="AB46" i="33" s="1"/>
  <c r="AC12" i="33"/>
  <c r="W12" i="33"/>
  <c r="AA13" i="33"/>
  <c r="H12" i="33"/>
  <c r="C21" i="68"/>
  <c r="C40" i="69"/>
  <c r="E19" i="11"/>
  <c r="F28" i="6"/>
  <c r="C28" i="67"/>
  <c r="W27" i="33"/>
  <c r="AC21" i="33"/>
  <c r="W39" i="33"/>
  <c r="U15" i="33"/>
  <c r="AB41" i="33"/>
  <c r="AB28" i="33"/>
  <c r="AB14" i="33"/>
  <c r="U42" i="33"/>
  <c r="AB21" i="33"/>
  <c r="AA25" i="33"/>
  <c r="AA14" i="33"/>
  <c r="AA44" i="33"/>
  <c r="D20" i="71"/>
  <c r="U20" i="71" s="1"/>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G28" i="6"/>
  <c r="F29" i="6"/>
  <c r="AA25" i="21"/>
  <c r="W47" i="34"/>
  <c r="W14" i="37"/>
  <c r="U14" i="40"/>
  <c r="U43" i="33"/>
  <c r="AA41" i="34"/>
  <c r="S44" i="34"/>
  <c r="W29" i="33"/>
  <c r="S45" i="33"/>
  <c r="AC30" i="34"/>
  <c r="U46" i="33"/>
  <c r="AA13" i="35"/>
  <c r="AA29" i="35"/>
  <c r="B73" i="43"/>
  <c r="B79" i="43"/>
  <c r="B76" i="43"/>
  <c r="B75" i="43"/>
  <c r="F9" i="34"/>
  <c r="AA9" i="34" s="1"/>
  <c r="F12" i="34"/>
  <c r="J12" i="35"/>
  <c r="H36" i="35"/>
  <c r="J36" i="35"/>
  <c r="J23" i="36"/>
  <c r="H23" i="36"/>
  <c r="F23" i="36"/>
  <c r="AZ399" i="3"/>
  <c r="AZ404" i="3"/>
  <c r="AZ411" i="3"/>
  <c r="AZ414" i="3"/>
  <c r="AZ421" i="3"/>
  <c r="AZ423" i="3"/>
  <c r="AZ430" i="3"/>
  <c r="J34" i="35"/>
  <c r="H34" i="35"/>
  <c r="F34" i="35"/>
  <c r="AZ425" i="3"/>
  <c r="AZ461" i="3"/>
  <c r="AZ463" i="3"/>
  <c r="AZ468" i="3"/>
  <c r="AZ470" i="3"/>
  <c r="AZ479" i="3"/>
  <c r="AZ485" i="3"/>
  <c r="AZ385" i="3"/>
  <c r="AZ210" i="3"/>
  <c r="AZ225" i="3"/>
  <c r="AZ255" i="3"/>
  <c r="AZ274" i="3"/>
  <c r="AZ277" i="3"/>
  <c r="AZ301" i="3"/>
  <c r="AZ435" i="3"/>
  <c r="AZ439" i="3"/>
  <c r="AZ444" i="3"/>
  <c r="AZ448" i="3"/>
  <c r="AZ452" i="3"/>
  <c r="AZ489" i="3"/>
  <c r="AZ231" i="3"/>
  <c r="AZ247" i="3"/>
  <c r="AZ264" i="3"/>
  <c r="AZ290" i="3"/>
  <c r="AZ293" i="3"/>
  <c r="AZ126" i="3"/>
  <c r="AZ129" i="3"/>
  <c r="AZ141" i="3"/>
  <c r="AZ205" i="3"/>
  <c r="AZ18" i="3"/>
  <c r="AZ23" i="3"/>
  <c r="AZ27" i="3"/>
  <c r="AZ48" i="3"/>
  <c r="AZ60" i="3"/>
  <c r="AZ64" i="3"/>
  <c r="AZ73"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C27" i="15"/>
  <c r="F65" i="15"/>
  <c r="G20" i="9"/>
  <c r="C103" i="9"/>
  <c r="N59" i="67"/>
  <c r="L59" i="67"/>
  <c r="L58" i="67"/>
  <c r="M59" i="67"/>
  <c r="B13" i="70"/>
  <c r="F68" i="67"/>
  <c r="F64" i="67"/>
  <c r="F68" i="15"/>
  <c r="C36" i="68"/>
  <c r="D9" i="68"/>
  <c r="D6" i="73"/>
  <c r="F7" i="67"/>
  <c r="F43" i="67"/>
  <c r="M29" i="67"/>
  <c r="C16" i="15"/>
  <c r="F27" i="69"/>
  <c r="C36" i="69"/>
  <c r="D9" i="69"/>
  <c r="G1" i="73"/>
  <c r="F71" i="67" l="1"/>
  <c r="M7" i="67"/>
  <c r="J6" i="67" s="1"/>
  <c r="C6" i="67"/>
  <c r="F50" i="67"/>
  <c r="F7" i="36"/>
  <c r="S7" i="36" s="1"/>
  <c r="J7" i="37"/>
  <c r="H7" i="36"/>
  <c r="AB7" i="36" s="1"/>
  <c r="T36" i="36" s="1"/>
  <c r="G36" i="36" s="1"/>
  <c r="E187" i="3"/>
  <c r="E192" i="3"/>
  <c r="E258" i="3"/>
  <c r="E241" i="3"/>
  <c r="E348" i="3"/>
  <c r="E378" i="3"/>
  <c r="E375" i="3"/>
  <c r="E504" i="3"/>
  <c r="E58" i="3"/>
  <c r="E110" i="3"/>
  <c r="E488" i="3"/>
  <c r="E462" i="3"/>
  <c r="E521" i="3"/>
  <c r="E98" i="3"/>
  <c r="E103" i="3"/>
  <c r="E160" i="3"/>
  <c r="E142" i="3"/>
  <c r="E200" i="3"/>
  <c r="E267" i="3"/>
  <c r="E249" i="3"/>
  <c r="E300" i="3"/>
  <c r="E371" i="3"/>
  <c r="E310" i="3"/>
  <c r="E492" i="3"/>
  <c r="E23" i="3"/>
  <c r="E24" i="3"/>
  <c r="E127" i="3"/>
  <c r="E250" i="3"/>
  <c r="E284" i="3"/>
  <c r="E341" i="3"/>
  <c r="Y6" i="3"/>
  <c r="E63" i="3"/>
  <c r="E154" i="3"/>
  <c r="E179" i="3"/>
  <c r="E323" i="3"/>
  <c r="E373" i="3"/>
  <c r="E21" i="3"/>
  <c r="E329" i="3"/>
  <c r="E16" i="3"/>
  <c r="E188" i="3"/>
  <c r="E116" i="3"/>
  <c r="E105" i="3"/>
  <c r="E393" i="3"/>
  <c r="E493" i="3"/>
  <c r="E564" i="3"/>
  <c r="E543" i="3"/>
  <c r="E486" i="3"/>
  <c r="E507" i="3"/>
  <c r="E422" i="3"/>
  <c r="E440" i="3"/>
  <c r="E490" i="3"/>
  <c r="E376" i="3"/>
  <c r="AH6" i="3"/>
  <c r="E497" i="3"/>
  <c r="J6" i="3"/>
  <c r="E498" i="3"/>
  <c r="E494" i="3"/>
  <c r="E483" i="3"/>
  <c r="E401" i="3"/>
  <c r="E420" i="3"/>
  <c r="E26" i="3"/>
  <c r="E40" i="3"/>
  <c r="E104" i="3"/>
  <c r="E25" i="3"/>
  <c r="E178" i="3"/>
  <c r="E198" i="3"/>
  <c r="E119" i="3"/>
  <c r="E139" i="3"/>
  <c r="E202" i="3"/>
  <c r="E242" i="3"/>
  <c r="E226" i="3"/>
  <c r="E243" i="3"/>
  <c r="E276" i="3"/>
  <c r="E332" i="3"/>
  <c r="E346" i="3"/>
  <c r="E391" i="3"/>
  <c r="E333" i="3"/>
  <c r="E356" i="3"/>
  <c r="E372" i="3"/>
  <c r="AL6" i="3"/>
  <c r="L6" i="3"/>
  <c r="E60" i="3"/>
  <c r="E75" i="3"/>
  <c r="E540" i="3"/>
  <c r="E428" i="3"/>
  <c r="E473" i="3"/>
  <c r="E482" i="3"/>
  <c r="E15" i="3"/>
  <c r="E412" i="3"/>
  <c r="E455" i="3"/>
  <c r="E18" i="3"/>
  <c r="E79" i="3"/>
  <c r="E96" i="3"/>
  <c r="E78" i="3"/>
  <c r="E129" i="3"/>
  <c r="E170" i="3"/>
  <c r="E190" i="3"/>
  <c r="E137" i="3"/>
  <c r="E174" i="3"/>
  <c r="E194" i="3"/>
  <c r="E220" i="3"/>
  <c r="E234" i="3"/>
  <c r="E275" i="3"/>
  <c r="E219" i="3"/>
  <c r="E235" i="3"/>
  <c r="E299" i="3"/>
  <c r="E324" i="3"/>
  <c r="E339" i="3"/>
  <c r="E383" i="3"/>
  <c r="E325" i="3"/>
  <c r="E342" i="3"/>
  <c r="E392" i="3"/>
  <c r="E522" i="3"/>
  <c r="AQ6" i="3"/>
  <c r="E35" i="3"/>
  <c r="E52" i="3"/>
  <c r="E36" i="3"/>
  <c r="E112" i="3"/>
  <c r="E49" i="3"/>
  <c r="E123" i="3"/>
  <c r="E206" i="3"/>
  <c r="E147" i="3"/>
  <c r="E232" i="3"/>
  <c r="E289" i="3"/>
  <c r="E251" i="3"/>
  <c r="E340" i="3"/>
  <c r="E370" i="3"/>
  <c r="AF6" i="3"/>
  <c r="AC6" i="3" s="1"/>
  <c r="E50" i="3"/>
  <c r="E102" i="3"/>
  <c r="E20" i="3"/>
  <c r="E80" i="3"/>
  <c r="E62" i="3"/>
  <c r="E113" i="3"/>
  <c r="E176" i="3"/>
  <c r="E158" i="3"/>
  <c r="E218" i="3"/>
  <c r="E287" i="3"/>
  <c r="E265" i="3"/>
  <c r="E308" i="3"/>
  <c r="E365" i="3"/>
  <c r="E326" i="3"/>
  <c r="E524" i="3"/>
  <c r="E22" i="3"/>
  <c r="E101" i="3"/>
  <c r="E205" i="3"/>
  <c r="E296" i="3"/>
  <c r="E197" i="3"/>
  <c r="E173" i="3"/>
  <c r="E369" i="3"/>
  <c r="E525" i="3"/>
  <c r="E534" i="3"/>
  <c r="T6" i="3"/>
  <c r="E405" i="3"/>
  <c r="E456" i="3"/>
  <c r="E469" i="3"/>
  <c r="E512" i="3"/>
  <c r="E408" i="3"/>
  <c r="E451" i="3"/>
  <c r="E360" i="3"/>
  <c r="E556" i="3"/>
  <c r="AP6" i="3"/>
  <c r="E500" i="3"/>
  <c r="E554" i="3"/>
  <c r="E517" i="3"/>
  <c r="E413" i="3"/>
  <c r="E435" i="3"/>
  <c r="E460" i="3"/>
  <c r="E491" i="3"/>
  <c r="E520" i="3"/>
  <c r="E417" i="3"/>
  <c r="E39" i="3"/>
  <c r="E90" i="3"/>
  <c r="E57" i="3"/>
  <c r="E131" i="3"/>
  <c r="E152" i="3"/>
  <c r="E132" i="3"/>
  <c r="E155" i="3"/>
  <c r="E240" i="3"/>
  <c r="E297" i="3"/>
  <c r="E292" i="3"/>
  <c r="E363" i="3"/>
  <c r="E349" i="3"/>
  <c r="E389" i="3"/>
  <c r="E544" i="3"/>
  <c r="E76" i="3"/>
  <c r="E59" i="3"/>
  <c r="E409" i="3"/>
  <c r="E484" i="3"/>
  <c r="E425" i="3"/>
  <c r="E467" i="3"/>
  <c r="E64" i="3"/>
  <c r="E46" i="3"/>
  <c r="E65" i="3"/>
  <c r="E138" i="3"/>
  <c r="E195" i="3"/>
  <c r="E163" i="3"/>
  <c r="E248" i="3"/>
  <c r="E266" i="3"/>
  <c r="E307" i="3"/>
  <c r="E386" i="3"/>
  <c r="E354" i="3"/>
  <c r="E584" i="3"/>
  <c r="E144" i="3"/>
  <c r="E184" i="3"/>
  <c r="E233" i="3"/>
  <c r="E355" i="3"/>
  <c r="E381" i="3"/>
  <c r="E51" i="3"/>
  <c r="E19" i="3"/>
  <c r="E81" i="3"/>
  <c r="E118" i="3"/>
  <c r="E283" i="3"/>
  <c r="E309" i="3"/>
  <c r="E513" i="3"/>
  <c r="E13" i="3"/>
  <c r="E539" i="3"/>
  <c r="E536" i="3"/>
  <c r="E148" i="3"/>
  <c r="E212" i="3"/>
  <c r="E199" i="3"/>
  <c r="E286" i="3"/>
  <c r="E575" i="3"/>
  <c r="E499" i="3"/>
  <c r="R6" i="3"/>
  <c r="E502" i="3"/>
  <c r="E442" i="3"/>
  <c r="E466" i="3"/>
  <c r="E541" i="3"/>
  <c r="E430" i="3"/>
  <c r="E449" i="3"/>
  <c r="E255" i="3"/>
  <c r="I3" i="6"/>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10" i="3"/>
  <c r="E165" i="3"/>
  <c r="E244" i="3"/>
  <c r="E149" i="3"/>
  <c r="E167" i="3"/>
  <c r="E141" i="3"/>
  <c r="E312" i="3"/>
  <c r="AD6" i="3"/>
  <c r="E542" i="3"/>
  <c r="E552" i="3"/>
  <c r="E421" i="3"/>
  <c r="E464" i="3"/>
  <c r="E487" i="3"/>
  <c r="E398" i="3"/>
  <c r="E416" i="3"/>
  <c r="E459" i="3"/>
  <c r="E37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D63" i="71"/>
  <c r="C64" i="71"/>
  <c r="E94" i="3"/>
  <c r="E86" i="3"/>
  <c r="E84" i="3"/>
  <c r="E82" i="3"/>
  <c r="E68" i="3"/>
  <c r="E66" i="3"/>
  <c r="E56" i="3"/>
  <c r="E47" i="3"/>
  <c r="E42" i="3"/>
  <c r="E37" i="3"/>
  <c r="E34" i="3"/>
  <c r="E281" i="3"/>
  <c r="AP6" i="1"/>
  <c r="E222" i="3"/>
  <c r="E364" i="3"/>
  <c r="E479" i="3"/>
  <c r="E470" i="3"/>
  <c r="E463" i="3"/>
  <c r="E452" i="3"/>
  <c r="AZ450" i="3"/>
  <c r="AZ402" i="3"/>
  <c r="AZ5" i="3" s="1"/>
  <c r="AZ550" i="3"/>
  <c r="E582" i="3"/>
  <c r="U25" i="37"/>
  <c r="AB25" i="37"/>
  <c r="AB38" i="40"/>
  <c r="U38" i="40"/>
  <c r="U12" i="36"/>
  <c r="AB12" i="36"/>
  <c r="U9" i="34"/>
  <c r="AB9" i="34"/>
  <c r="BL5" i="3"/>
  <c r="F30" i="6"/>
  <c r="C36" i="71"/>
  <c r="D35" i="71"/>
  <c r="T40" i="71"/>
  <c r="D40" i="71"/>
  <c r="E108" i="3"/>
  <c r="E100" i="3"/>
  <c r="E95" i="3"/>
  <c r="E87" i="3"/>
  <c r="E83" i="3"/>
  <c r="E67" i="3"/>
  <c r="E48" i="3"/>
  <c r="E43" i="3"/>
  <c r="E41" i="3"/>
  <c r="E38" i="3"/>
  <c r="E33" i="3"/>
  <c r="E140" i="3"/>
  <c r="E115" i="3"/>
  <c r="E264" i="3"/>
  <c r="E259" i="3"/>
  <c r="E225" i="3"/>
  <c r="E223" i="3"/>
  <c r="E209" i="3"/>
  <c r="E446" i="3"/>
  <c r="E436" i="3"/>
  <c r="E427" i="3"/>
  <c r="E419" i="3"/>
  <c r="J33" i="33"/>
  <c r="F33" i="33"/>
  <c r="H33" i="33"/>
  <c r="AA25" i="37"/>
  <c r="S25" i="37"/>
  <c r="AA38" i="40"/>
  <c r="S38" i="40"/>
  <c r="W12" i="36"/>
  <c r="AC12" i="36"/>
  <c r="BA5" i="3"/>
  <c r="C18" i="71"/>
  <c r="D19" i="71"/>
  <c r="AB32" i="33"/>
  <c r="U32" i="33"/>
  <c r="AB27" i="33"/>
  <c r="S36" i="33"/>
  <c r="U12" i="33"/>
  <c r="AB12" i="33"/>
  <c r="E26" i="43"/>
  <c r="D26" i="43" s="1"/>
  <c r="C25" i="43" s="1"/>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B15" i="71"/>
  <c r="B14" i="71" s="1"/>
  <c r="B13" i="71" s="1"/>
  <c r="B12" i="71" s="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16" i="6"/>
  <c r="H6" i="3"/>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S10" i="39"/>
  <c r="AA10" i="39"/>
  <c r="H7" i="33"/>
  <c r="J7" i="33"/>
  <c r="D65" i="40"/>
  <c r="E63" i="40"/>
  <c r="F48" i="35"/>
  <c r="AA7" i="36"/>
  <c r="R36" i="36" s="1"/>
  <c r="AC7" i="37"/>
  <c r="V42" i="37" s="1"/>
  <c r="I42" i="37" s="1"/>
  <c r="W7" i="37"/>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C16" i="67"/>
  <c r="AE6" i="1"/>
  <c r="E3" i="6" l="1"/>
  <c r="I3" i="81" s="1"/>
  <c r="C11" i="81" s="1"/>
  <c r="AY6" i="3"/>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Q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F41" i="67"/>
  <c r="M27" i="67"/>
  <c r="F41" i="15"/>
  <c r="P36" i="43" l="1"/>
  <c r="C16" i="71"/>
  <c r="D17" i="71"/>
  <c r="V48" i="33"/>
  <c r="I48" i="33" s="1"/>
  <c r="D3" i="34"/>
  <c r="D14" i="12"/>
  <c r="E6" i="6"/>
  <c r="O36" i="43"/>
  <c r="N36" i="43"/>
  <c r="F69" i="67"/>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C66" i="67"/>
  <c r="C60" i="67"/>
  <c r="D10" i="68"/>
  <c r="C17" i="15"/>
  <c r="D10" i="69"/>
  <c r="C17" i="67"/>
  <c r="C14" i="67"/>
  <c r="D16" i="71" l="1"/>
  <c r="U16" i="71" s="1"/>
  <c r="C15" i="71"/>
  <c r="T16"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C4" i="52"/>
  <c r="B45" i="72" s="1"/>
  <c r="A10" i="51"/>
  <c r="B9" i="72" s="1"/>
  <c r="A7" i="51"/>
  <c r="B7" i="72" s="1"/>
  <c r="R25" i="6"/>
  <c r="R12" i="1" s="1"/>
  <c r="C10" i="68"/>
  <c r="D19" i="68"/>
  <c r="B2" i="43"/>
  <c r="B3" i="43" s="1"/>
  <c r="H69" i="39"/>
  <c r="I67" i="39"/>
  <c r="G65" i="40"/>
  <c r="H63" i="40"/>
  <c r="C43" i="37"/>
  <c r="C42" i="37"/>
  <c r="I48" i="35"/>
  <c r="C48" i="33"/>
  <c r="C49" i="33"/>
  <c r="D36" i="81" s="1"/>
  <c r="J8" i="81" s="1"/>
  <c r="H58" i="21"/>
  <c r="E47" i="37"/>
  <c r="F47" i="37" s="1"/>
  <c r="E46" i="37"/>
  <c r="F46" i="37" s="1"/>
  <c r="I47" i="37"/>
  <c r="J47" i="37" s="1"/>
  <c r="E53" i="33"/>
  <c r="F53" i="33" s="1"/>
  <c r="E52" i="33"/>
  <c r="F52" i="33" s="1"/>
  <c r="C33" i="15"/>
  <c r="C22" i="11"/>
  <c r="C31" i="11" s="1"/>
  <c r="C33" i="67"/>
  <c r="J19" i="67"/>
  <c r="B6" i="76"/>
  <c r="C14" i="15"/>
  <c r="E6" i="76"/>
  <c r="D15" i="71" l="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D21" i="9" l="1"/>
  <c r="C21" i="9"/>
  <c r="G21" i="9"/>
  <c r="D14" i="71"/>
  <c r="C13" i="71"/>
  <c r="C8" i="68"/>
  <c r="C5" i="68" s="1"/>
  <c r="C23" i="68" s="1"/>
  <c r="C18" i="12"/>
  <c r="C21" i="12" s="1"/>
  <c r="J7" i="2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3" i="71" l="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C25" i="68"/>
  <c r="C22" i="68" s="1"/>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11" i="71" l="1"/>
  <c r="D12" i="71"/>
  <c r="U12" i="71" s="1"/>
  <c r="T12" i="71"/>
  <c r="C31" i="68"/>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10" i="71" l="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L51" i="67"/>
  <c r="D10" i="71" l="1"/>
  <c r="C9" i="71"/>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9" i="71" l="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L51" i="15"/>
  <c r="D2" i="35"/>
  <c r="C7" i="71" l="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6" i="1"/>
  <c r="AO10" i="1"/>
  <c r="AO8" i="1"/>
  <c r="AO11" i="1"/>
  <c r="AO7" i="1"/>
  <c r="C6" i="71" l="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33" i="69"/>
  <c r="C39" i="69" s="1"/>
  <c r="C43" i="69" s="1"/>
  <c r="C14" i="81"/>
  <c r="C20" i="81" s="1"/>
  <c r="C19" i="81"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57" i="69" s="1"/>
  <c r="C56" i="69" s="1"/>
  <c r="C39" i="11"/>
  <c r="C43" i="11" s="1"/>
  <c r="C23" i="81"/>
  <c r="C39" i="68" l="1"/>
  <c r="C43" i="68" s="1"/>
  <c r="C41" i="68" s="1"/>
  <c r="C7" i="81"/>
  <c r="C28" i="81" s="1"/>
  <c r="C27" i="81"/>
  <c r="C41" i="11"/>
  <c r="C3" i="81"/>
  <c r="B2" i="69"/>
  <c r="C46" i="11"/>
  <c r="C45" i="11" s="1"/>
  <c r="B3" i="69"/>
  <c r="K7" i="69" l="1"/>
  <c r="K8" i="69" s="1"/>
  <c r="J39" i="81"/>
  <c r="J40" i="81" s="1"/>
  <c r="C46" i="68"/>
  <c r="C45" i="68" s="1"/>
  <c r="C49" i="11"/>
  <c r="C51" i="11" s="1"/>
  <c r="C52" i="11" s="1"/>
  <c r="B2" i="11" s="1"/>
  <c r="B3" i="11" s="1"/>
  <c r="C49" i="68"/>
  <c r="C51" i="68" s="1"/>
  <c r="C52" i="68" s="1"/>
  <c r="B2" i="68" s="1"/>
  <c r="B3" i="68" s="1"/>
  <c r="C4" i="81"/>
  <c r="J3" i="81"/>
  <c r="J4" i="81" s="1"/>
  <c r="C24" i="81"/>
  <c r="C57" i="68" l="1"/>
  <c r="C56" i="68" s="1"/>
  <c r="C30" i="81"/>
  <c r="C31" i="81" s="1"/>
  <c r="D37" i="81" s="1"/>
  <c r="C56" i="11"/>
  <c r="C57" i="11" s="1"/>
  <c r="G37" i="81" l="1"/>
  <c r="J9" i="81"/>
  <c r="D38" i="81"/>
  <c r="E10" i="74" s="1"/>
  <c r="B10" i="74" s="1"/>
  <c r="D14" i="74" s="1"/>
  <c r="G14" i="74" s="1"/>
  <c r="B6" i="74" s="1"/>
  <c r="D6" i="74" s="1"/>
  <c r="F14" i="74" l="1"/>
  <c r="E14" i="74"/>
  <c r="B5" i="74"/>
  <c r="D5" i="74" s="1"/>
  <c r="J10" i="81"/>
  <c r="E39" i="81"/>
  <c r="E40" i="81" s="1"/>
  <c r="C39" i="81"/>
  <c r="C40" i="81" s="1"/>
  <c r="H4" i="52"/>
  <c r="C104" i="9"/>
  <c r="D52" i="9"/>
  <c r="D53" i="9"/>
  <c r="C105" i="9"/>
  <c r="I4" i="52"/>
  <c r="P57" i="9"/>
  <c r="N58" i="9"/>
  <c r="E97" i="9"/>
  <c r="B49" i="72"/>
  <c r="B30" i="72"/>
  <c r="B53" i="72"/>
  <c r="D13" i="53"/>
  <c r="D14" i="53"/>
  <c r="B32" i="72"/>
  <c r="N61" i="9"/>
  <c r="N59" i="9"/>
  <c r="N60" i="9"/>
  <c r="B21" i="72"/>
  <c r="C81" i="9"/>
  <c r="M54" i="9"/>
  <c r="C5" i="74"/>
  <c r="H102" i="9"/>
  <c r="D7" i="53"/>
  <c r="F5" i="52"/>
  <c r="D8" i="52"/>
  <c r="N57" i="9"/>
  <c r="C6" i="74"/>
  <c r="F119" i="9"/>
  <c r="M55" i="9"/>
  <c r="D122" i="9"/>
  <c r="D123" i="9"/>
  <c r="D9" i="52"/>
  <c r="M48" i="9"/>
  <c r="D119" i="9"/>
  <c r="D5" i="52"/>
  <c r="D54" i="9"/>
  <c r="D59" i="9"/>
  <c r="C67" i="9"/>
  <c r="C68" i="9"/>
  <c r="C97" i="9"/>
  <c r="D58" i="9"/>
  <c r="D56" i="9"/>
  <c r="B52" i="72"/>
  <c r="B20" i="72"/>
  <c r="E4" i="52"/>
  <c r="B48" i="72"/>
  <c r="G4" i="52"/>
  <c r="E81" i="9"/>
  <c r="H107" i="9"/>
  <c r="H108" i="9"/>
  <c r="D15" i="53"/>
  <c r="B31" i="72"/>
  <c r="C64" i="9"/>
  <c r="C63" i="9"/>
  <c r="D5" i="53"/>
  <c r="D6" i="53"/>
  <c r="B22" i="72"/>
  <c r="H119" i="9"/>
  <c r="H5" i="52"/>
  <c r="C93" i="9"/>
  <c r="C86" i="9"/>
  <c r="G118" i="9"/>
  <c r="F118" i="9"/>
  <c r="F4" i="52"/>
  <c r="B51" i="72"/>
  <c r="E118" i="9"/>
  <c r="D118" i="9"/>
  <c r="D4" i="52"/>
  <c r="B47" i="72"/>
  <c r="C78" i="9"/>
  <c r="C73" i="9"/>
  <c r="C85" i="9"/>
  <c r="C95" i="9"/>
  <c r="C96" i="9"/>
  <c r="E96" i="9"/>
  <c r="D55" i="9"/>
  <c r="M53"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<sst xmlns="http://schemas.openxmlformats.org/spreadsheetml/2006/main" count="8111" uniqueCount="3603">
  <si>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</si>
  <si>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</si>
  <si>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</si>
  <si>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</si>
  <si>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</si>
  <si>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</si>
  <si>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</si>
  <si>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</si>
  <si>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</si>
  <si>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</si>
  <si>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</si>
  <si>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</si>
  <si>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</si>
  <si>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</si>
  <si>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</si>
  <si>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</si>
  <si>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</si>
  <si>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</si>
  <si>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</si>
  <si>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</si>
  <si>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</si>
  <si>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</si>
  <si>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</si>
  <si>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</si>
  <si>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</si>
  <si>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</si>
  <si>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</si>
  <si>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</si>
  <si>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</si>
  <si>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</si>
  <si>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</si>
  <si>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</si>
  <si>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</si>
  <si>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</si>
  <si>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</si>
  <si>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</si>
  <si>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</si>
  <si>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</si>
  <si>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</si>
  <si>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</si>
  <si>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</si>
  <si>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</si>
  <si>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</si>
  <si>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</si>
  <si>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</si>
  <si>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</si>
  <si>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</si>
  <si>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</si>
  <si>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</si>
  <si>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</si>
  <si>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</si>
  <si>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</si>
  <si>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</si>
  <si>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</si>
  <si>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</si>
  <si>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</si>
  <si>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</si>
  <si>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</si>
  <si>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</si>
  <si>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</si>
  <si>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</si>
  <si>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</si>
  <si>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</si>
  <si>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</si>
  <si>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</si>
  <si>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</si>
  <si>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</si>
  <si>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</si>
  <si>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</si>
  <si>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</si>
  <si>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</si>
  <si>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</si>
  <si>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</si>
  <si>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</si>
  <si>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</si>
  <si>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</si>
  <si>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</si>
  <si>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</si>
  <si>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</si>
  <si>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</si>
  <si>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</si>
  <si>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</si>
  <si>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</si>
  <si>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</si>
  <si>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</si>
  <si>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</si>
  <si>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</si>
  <si>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</si>
  <si>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</si>
  <si>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</si>
  <si>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</si>
  <si>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</si>
  <si>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</si>
  <si>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</si>
  <si>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</si>
  <si>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</si>
  <si>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</si>
  <si>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</si>
  <si>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</si>
  <si>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</si>
  <si>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</si>
  <si>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</si>
  <si>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</si>
  <si>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</si>
  <si>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</si>
  <si>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</si>
  <si>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</si>
  <si>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</si>
  <si>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</si>
  <si>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</si>
  <si>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</si>
  <si>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</si>
  <si>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</si>
  <si>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</si>
  <si>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</si>
  <si>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</si>
  <si>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</si>
  <si>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</si>
  <si>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</si>
  <si>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</si>
  <si>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</si>
  <si>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</si>
  <si>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</si>
  <si>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</si>
  <si>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</si>
  <si>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</si>
  <si>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</si>
  <si>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</si>
  <si>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</si>
  <si>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</si>
  <si>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</si>
  <si>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</si>
  <si>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</si>
  <si>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</si>
  <si>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</si>
  <si>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</si>
  <si>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</si>
  <si>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</si>
  <si>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</si>
  <si>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</si>
  <si>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</si>
  <si>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</si>
  <si>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</si>
  <si>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</si>
  <si>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</si>
  <si>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</si>
  <si>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</si>
  <si>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</si>
  <si>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</si>
  <si>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</si>
  <si>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</si>
  <si>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</si>
  <si>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</si>
  <si>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</si>
  <si>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</si>
  <si>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</si>
  <si>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</si>
  <si>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</si>
  <si>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</si>
  <si>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</si>
  <si>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</si>
  <si>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</si>
  <si>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</si>
  <si>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</si>
  <si>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</si>
  <si>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</si>
  <si>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</si>
  <si>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</si>
  <si>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</si>
  <si>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</si>
  <si>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</si>
  <si>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</si>
  <si>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</si>
  <si>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</si>
  <si>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</si>
  <si>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</si>
  <si>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</si>
  <si>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</si>
  <si>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</si>
  <si>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</si>
  <si>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</si>
  <si>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</si>
  <si>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</si>
  <si>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</si>
  <si>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</si>
  <si>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</si>
  <si>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</si>
  <si>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</si>
  <si>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</si>
  <si>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</si>
  <si>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</si>
  <si>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</si>
  <si>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</si>
  <si>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</si>
  <si>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</si>
  <si>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</si>
  <si>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</si>
  <si>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</si>
  <si>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</si>
  <si>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</si>
  <si>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</si>
  <si>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</si>
  <si>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</si>
  <si>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</si>
  <si>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</si>
  <si>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</si>
  <si>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</si>
  <si>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</si>
  <si>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</si>
  <si>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</si>
  <si>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</si>
  <si>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</si>
  <si>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</si>
  <si>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</si>
  <si>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</si>
  <si>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</si>
  <si>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</si>
  <si>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</si>
  <si>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</si>
  <si>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</si>
  <si>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</si>
  <si>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</si>
  <si>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</si>
  <si>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</si>
  <si>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</si>
  <si>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</si>
  <si>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</si>
  <si>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</si>
  <si>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</si>
  <si>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</si>
  <si>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</si>
  <si>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</si>
  <si>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</si>
  <si>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</si>
  <si>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</si>
  <si>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</si>
  <si>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</si>
  <si>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</si>
  <si>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</si>
  <si>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</si>
  <si>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</si>
  <si>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</si>
  <si>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</si>
  <si>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</si>
  <si>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</si>
  <si>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</si>
  <si>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</si>
  <si>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</si>
  <si>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</si>
  <si>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</si>
  <si>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</si>
  <si>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</si>
  <si>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</si>
  <si>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</si>
  <si>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</si>
  <si>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</si>
  <si>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</si>
  <si>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</si>
  <si>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</si>
  <si>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</si>
  <si>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</si>
  <si>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</si>
  <si>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</si>
  <si>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</si>
  <si>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</si>
  <si>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</si>
  <si>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</si>
  <si>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</si>
  <si>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</si>
  <si>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</si>
  <si>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</si>
  <si>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</si>
  <si>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</si>
  <si>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</si>
  <si>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</si>
  <si>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</si>
  <si>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</si>
  <si>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</si>
  <si>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</si>
  <si>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</si>
  <si>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</si>
  <si>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</si>
  <si>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</si>
  <si>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</si>
  <si>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</si>
  <si>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</si>
  <si>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</si>
  <si>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</si>
  <si>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</si>
  <si>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</si>
  <si>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</si>
  <si>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</si>
  <si>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</si>
  <si>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</si>
  <si>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</si>
  <si>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</si>
  <si>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</si>
  <si>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</si>
  <si>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</si>
  <si>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</si>
  <si>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</si>
  <si>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</si>
  <si>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</si>
  <si>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</si>
  <si>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</si>
  <si>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</si>
  <si>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</si>
  <si>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</si>
  <si>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</si>
  <si>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</si>
  <si>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</si>
  <si>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</si>
  <si>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</si>
  <si>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</si>
  <si>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</si>
  <si>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</si>
  <si>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</si>
  <si>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</si>
  <si>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</si>
  <si>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</si>
  <si>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</si>
  <si>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</si>
  <si>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</si>
  <si>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</si>
  <si>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</si>
  <si>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</si>
  <si>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</si>
  <si>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</si>
  <si>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</si>
  <si>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</si>
  <si>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</si>
  <si>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</si>
  <si>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</si>
  <si>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</si>
  <si>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</si>
  <si>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</si>
  <si>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</si>
  <si>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</si>
  <si>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</si>
  <si>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</si>
  <si>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</si>
  <si>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</si>
  <si>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</si>
  <si>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</si>
  <si>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</si>
  <si>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</si>
  <si>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</si>
  <si>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</si>
  <si>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</si>
  <si>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</si>
  <si>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</si>
  <si>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</si>
  <si>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</si>
  <si>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</si>
  <si>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</si>
  <si>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</si>
  <si>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</si>
  <si>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</si>
  <si>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</si>
  <si>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</si>
  <si>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</si>
  <si>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</si>
  <si>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</si>
  <si>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</si>
  <si>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</si>
  <si>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</si>
  <si>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</si>
  <si>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</si>
  <si>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</si>
  <si>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</si>
  <si>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</si>
  <si>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</si>
  <si>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</si>
  <si>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</si>
  <si>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</si>
  <si>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</si>
  <si>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</si>
  <si>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</si>
  <si>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</si>
  <si>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</si>
  <si>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</si>
  <si>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</si>
  <si>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</si>
  <si>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</si>
  <si>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</si>
  <si>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</si>
  <si>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</si>
  <si>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</si>
  <si>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</si>
  <si>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</si>
  <si>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</si>
  <si>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</si>
  <si>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</si>
  <si>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</si>
  <si>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</si>
  <si>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</si>
  <si>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</si>
  <si>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</si>
  <si>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</si>
  <si>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</si>
  <si>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</si>
  <si>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</si>
  <si>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</si>
  <si>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</si>
  <si>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</si>
  <si>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</si>
  <si>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</si>
  <si>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</si>
  <si>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</si>
  <si>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</si>
  <si>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</si>
  <si>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</si>
  <si>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</si>
  <si>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</si>
  <si>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</si>
  <si>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</si>
  <si>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</si>
  <si>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</si>
  <si>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</si>
  <si>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</si>
  <si>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</si>
  <si>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</si>
  <si>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</si>
  <si>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</si>
  <si>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</si>
  <si>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</si>
  <si>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</si>
  <si>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</si>
  <si>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</si>
  <si>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</si>
  <si>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</si>
  <si>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</si>
  <si>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</si>
  <si>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</si>
  <si>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</si>
  <si>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</si>
  <si>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</si>
  <si>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</si>
  <si>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</si>
  <si>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</si>
  <si>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</si>
  <si>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</si>
  <si>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</si>
  <si>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</si>
  <si>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</si>
  <si>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</si>
  <si>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</si>
  <si>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</si>
  <si>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</si>
  <si>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</si>
  <si>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</si>
  <si>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</si>
  <si>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</si>
  <si>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</si>
  <si>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</si>
  <si>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</si>
  <si>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</si>
  <si>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</si>
  <si>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</si>
  <si>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</si>
  <si>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</si>
  <si>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</si>
  <si>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</si>
  <si>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</si>
  <si>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</si>
  <si>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</si>
  <si>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</si>
  <si>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</si>
  <si>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</si>
  <si>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</si>
  <si>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</si>
  <si>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</si>
  <si>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</si>
  <si>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</si>
  <si>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</si>
  <si>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</si>
  <si>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</si>
  <si>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</si>
  <si>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</si>
  <si>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</si>
  <si>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</si>
  <si>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</si>
  <si>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</si>
  <si>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</si>
  <si>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</si>
  <si>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</si>
  <si>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</si>
  <si>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</si>
  <si>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</si>
  <si>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</si>
  <si>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</si>
  <si>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</si>
  <si>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</si>
  <si>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</si>
  <si>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</si>
  <si>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</si>
  <si>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</si>
  <si>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</si>
  <si>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</si>
  <si>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</si>
  <si>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</si>
  <si>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</si>
  <si>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</si>
  <si>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</si>
  <si>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</si>
  <si>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</si>
  <si>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</si>
  <si>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</si>
  <si>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</si>
  <si>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</si>
  <si>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</si>
  <si>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</si>
  <si>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</si>
  <si>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</si>
  <si>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</si>
  <si>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</si>
  <si>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</si>
  <si>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</si>
  <si>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</si>
  <si>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</si>
  <si>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</si>
  <si>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</si>
  <si>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</si>
  <si>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</si>
  <si>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</si>
  <si>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</si>
  <si>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</si>
  <si>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</si>
  <si>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</si>
  <si>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</si>
  <si>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</si>
  <si>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</si>
  <si>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</si>
  <si>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</si>
  <si>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</si>
  <si>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</si>
  <si>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</si>
  <si>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</si>
  <si>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</si>
  <si>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</si>
  <si>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</si>
  <si>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</si>
  <si>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</si>
  <si>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</si>
  <si>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</si>
  <si>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</si>
  <si>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</si>
  <si>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</si>
  <si>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</si>
  <si>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</si>
  <si>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</si>
  <si>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</si>
  <si>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</si>
  <si>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</si>
  <si>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</si>
  <si>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</si>
  <si>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</si>
  <si>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</si>
  <si>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</si>
  <si>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</si>
  <si>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</si>
  <si>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</si>
  <si>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</si>
  <si>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</si>
  <si>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</si>
  <si>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</si>
  <si>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</si>
  <si>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</si>
  <si>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</si>
  <si>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</si>
  <si>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</si>
  <si>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</si>
  <si>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</si>
  <si>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</si>
  <si>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</si>
  <si>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</si>
  <si>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</si>
  <si>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</si>
  <si>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</si>
  <si>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</si>
  <si>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</si>
  <si>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</si>
  <si>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</si>
  <si>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</si>
  <si>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</si>
  <si>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</si>
  <si>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</si>
  <si>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</si>
  <si>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</si>
  <si>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</si>
  <si>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</si>
  <si>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</si>
  <si>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</si>
  <si>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</si>
  <si>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</si>
  <si>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</si>
  <si>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</si>
  <si>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</si>
  <si>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</si>
  <si>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</si>
  <si>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</si>
  <si>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</si>
  <si>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</si>
  <si>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</si>
  <si>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</si>
  <si>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</si>
  <si>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</si>
  <si>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</si>
  <si>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</si>
  <si>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</si>
  <si>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</si>
  <si>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</si>
  <si>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</si>
  <si>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</si>
  <si>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</si>
  <si>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</si>
  <si>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</si>
  <si>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</si>
  <si>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</si>
  <si>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</si>
  <si>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</si>
  <si>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</si>
  <si>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</si>
  <si>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</si>
  <si>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</si>
  <si>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</si>
  <si>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</si>
  <si>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</si>
  <si>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</si>
  <si>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</si>
  <si>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</si>
  <si>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</si>
  <si>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</si>
  <si>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</si>
  <si>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</si>
  <si>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</si>
  <si>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</si>
  <si>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</si>
  <si>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</si>
  <si>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</si>
  <si>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</si>
  <si>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</si>
  <si>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</si>
  <si>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</si>
  <si>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</si>
  <si>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</si>
  <si>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</si>
  <si>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</si>
  <si>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</si>
  <si>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</si>
  <si>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</si>
  <si>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</si>
  <si>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</si>
  <si>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</si>
  <si>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</si>
  <si>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</si>
  <si>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</si>
  <si>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</si>
  <si>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</si>
  <si>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</si>
  <si>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</si>
  <si>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</si>
  <si>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</si>
  <si>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</si>
  <si>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</si>
  <si>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</si>
  <si>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</si>
  <si>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</si>
  <si>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</si>
  <si>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</si>
  <si>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</si>
  <si>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</si>
  <si>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</si>
  <si>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</si>
  <si>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</si>
  <si>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</si>
  <si>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</si>
  <si>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</si>
  <si>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</si>
  <si>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</si>
  <si>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</si>
  <si>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</si>
  <si>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</si>
  <si>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</si>
  <si>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</si>
  <si>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</si>
  <si>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</si>
  <si>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</si>
  <si>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</si>
  <si>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</si>
  <si>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</si>
  <si>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</si>
  <si>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</si>
  <si>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</si>
  <si>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</si>
  <si>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</si>
  <si>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</si>
  <si>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</si>
  <si>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</si>
  <si>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</si>
  <si>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</si>
  <si>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</si>
  <si>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</si>
  <si>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</si>
  <si>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</si>
  <si>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</si>
  <si>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</si>
  <si>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</si>
  <si>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</si>
  <si>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</si>
  <si>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</si>
  <si>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</si>
  <si>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</si>
  <si>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</si>
  <si>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</si>
  <si>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</si>
  <si>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</si>
  <si>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</si>
  <si>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</si>
  <si>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</si>
  <si>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</si>
  <si>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</si>
  <si>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</si>
  <si>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</si>
  <si>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</si>
  <si>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</si>
  <si>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</si>
  <si>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</si>
  <si>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</si>
  <si>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</si>
  <si>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</si>
  <si>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</si>
  <si>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</si>
  <si>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</si>
  <si>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</si>
  <si>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</si>
  <si>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</si>
  <si>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</si>
  <si>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</si>
  <si>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</si>
  <si>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</si>
  <si>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</si>
  <si>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</si>
  <si>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</si>
  <si>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</si>
  <si>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</si>
  <si>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</si>
  <si>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</si>
  <si>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</si>
  <si>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</si>
  <si>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</si>
  <si>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</si>
  <si>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</si>
  <si>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</si>
  <si>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</si>
  <si>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</si>
  <si>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</si>
  <si>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</si>
  <si>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</si>
  <si>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</si>
  <si>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</si>
  <si>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</si>
  <si>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</si>
  <si>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</si>
  <si>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</si>
  <si>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</si>
  <si>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</si>
  <si>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</si>
  <si>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</si>
  <si>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</si>
  <si>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</si>
  <si>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</si>
  <si>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</si>
  <si>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</si>
  <si>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</si>
  <si>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</si>
  <si>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</si>
  <si>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</si>
  <si>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</si>
  <si>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</si>
  <si>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</si>
  <si>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</si>
  <si>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</si>
  <si>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</si>
  <si>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</si>
  <si>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</si>
  <si>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</si>
  <si>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</si>
  <si>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</si>
  <si>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</si>
  <si>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</si>
  <si>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</si>
  <si>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</si>
  <si>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</si>
  <si>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</si>
  <si>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</si>
  <si>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</si>
  <si>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</si>
  <si>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</si>
  <si>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</si>
  <si>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</si>
  <si>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</si>
  <si>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</si>
  <si>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</si>
  <si>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</si>
  <si>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</si>
  <si>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</si>
  <si>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</si>
  <si>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</si>
  <si>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</si>
  <si>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</si>
  <si>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</si>
  <si>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</si>
  <si>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</si>
  <si>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</si>
  <si>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</si>
  <si>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</si>
  <si>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</si>
  <si>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</si>
  <si>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</si>
  <si>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</si>
  <si>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</si>
  <si>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</si>
  <si>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</si>
  <si>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</si>
  <si>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</si>
  <si>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</si>
  <si>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</si>
  <si>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</si>
  <si>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</si>
  <si>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</si>
  <si>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</si>
  <si>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</si>
  <si>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</si>
  <si>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</si>
  <si>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</si>
  <si>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</si>
  <si>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</si>
  <si>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</si>
  <si>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</si>
  <si>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</si>
  <si>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</si>
  <si>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</si>
  <si>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</si>
  <si>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</si>
  <si>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</si>
  <si>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</si>
  <si>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</si>
  <si>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</si>
  <si>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</si>
  <si>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</si>
  <si>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</si>
  <si>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</si>
  <si>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</si>
  <si>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</si>
  <si>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</si>
  <si>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</si>
  <si>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</si>
  <si>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</si>
  <si>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</si>
  <si>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</si>
  <si>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</si>
  <si>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</si>
  <si>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</si>
  <si>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</si>
  <si>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</si>
  <si>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</si>
  <si>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</si>
  <si>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</si>
  <si>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</si>
  <si>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</si>
  <si>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</si>
  <si>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</si>
  <si>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</si>
  <si>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</si>
  <si>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</si>
  <si>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</si>
  <si>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</si>
  <si>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</si>
  <si>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</si>
  <si>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</si>
  <si>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</si>
  <si>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</si>
  <si>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</si>
  <si>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</si>
  <si>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</si>
  <si>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</si>
  <si>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</si>
  <si>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</si>
  <si>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</si>
  <si>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</si>
  <si>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</si>
  <si>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</si>
  <si>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</si>
  <si>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</si>
  <si>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</si>
  <si>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</si>
  <si>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</si>
  <si>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</si>
  <si>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</si>
  <si>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</si>
  <si>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</si>
  <si>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</si>
  <si>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</si>
  <si>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</si>
  <si>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</si>
  <si>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</si>
  <si>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</si>
  <si>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</si>
  <si>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</si>
  <si>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</si>
  <si>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</si>
  <si>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</si>
  <si>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</si>
  <si>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</si>
  <si>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</si>
  <si>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</si>
  <si>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</si>
  <si>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</si>
  <si>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</si>
  <si>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</si>
  <si>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</si>
  <si>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</si>
  <si>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</si>
  <si>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</si>
  <si>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</si>
  <si>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</si>
  <si>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</si>
  <si>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</si>
  <si>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</si>
  <si>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</si>
  <si>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</si>
  <si>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</si>
  <si>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</si>
  <si>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</si>
  <si>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</si>
  <si>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</si>
  <si>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</si>
  <si>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</si>
  <si>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</si>
  <si>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</si>
  <si>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</si>
  <si>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</si>
  <si>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</si>
  <si>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</si>
  <si>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</si>
  <si>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</si>
  <si>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</si>
  <si>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</si>
  <si>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</si>
  <si>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</si>
  <si>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</si>
  <si>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</si>
  <si>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</si>
  <si>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</si>
  <si>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</si>
  <si>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</si>
  <si>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</si>
  <si>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</si>
  <si>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</si>
  <si>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</si>
  <si>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</si>
  <si>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</si>
  <si>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</si>
  <si>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</si>
  <si>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</si>
  <si>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</si>
  <si>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</si>
  <si>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</si>
  <si>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</si>
  <si>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</si>
  <si>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</si>
  <si>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</si>
  <si>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</si>
  <si>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</si>
  <si>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</si>
  <si>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</si>
  <si>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</si>
  <si>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</si>
  <si>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</si>
  <si>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</si>
  <si>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</si>
  <si>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</si>
  <si>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</si>
  <si>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</si>
  <si>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</si>
  <si>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</si>
  <si>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</si>
  <si>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</si>
  <si>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</si>
  <si>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</si>
  <si>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</si>
  <si>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</si>
  <si>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</si>
  <si>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</si>
  <si>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</si>
  <si>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</si>
  <si>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</si>
  <si>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</si>
  <si>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</si>
  <si>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</si>
  <si>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</si>
  <si>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</si>
  <si>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</si>
  <si>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</si>
  <si>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</si>
  <si>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</si>
  <si>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</si>
  <si>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</si>
  <si>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</si>
  <si>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</si>
  <si>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</si>
  <si>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</si>
  <si>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</si>
  <si>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</si>
  <si>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</si>
  <si>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</si>
  <si>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</si>
  <si>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</si>
  <si>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</si>
  <si>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</si>
  <si>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</si>
  <si>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</si>
  <si>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</si>
  <si>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</si>
  <si>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</si>
  <si>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</si>
  <si>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</si>
  <si>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</si>
  <si>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</si>
  <si>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</si>
  <si>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</si>
  <si>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</si>
  <si>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</si>
  <si>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</si>
  <si>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</si>
  <si>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</si>
  <si>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</si>
  <si>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</si>
  <si>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</si>
  <si>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</si>
  <si>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</si>
  <si>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</si>
  <si>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</si>
  <si>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</si>
  <si>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</si>
  <si>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</si>
  <si>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</si>
  <si>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</si>
  <si>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</si>
  <si>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</si>
  <si>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</si>
  <si>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</si>
  <si>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</si>
  <si>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</si>
  <si>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</si>
  <si>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</si>
  <si>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</si>
  <si>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</si>
  <si>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</si>
  <si>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</si>
  <si>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</si>
  <si>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</si>
  <si>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</si>
  <si>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</si>
  <si>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</si>
  <si>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</si>
  <si>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</si>
  <si>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</si>
  <si>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</si>
  <si>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</si>
  <si>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</si>
  <si>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</si>
  <si>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</si>
  <si>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</si>
  <si>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</si>
  <si>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</si>
  <si>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</si>
  <si>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</si>
  <si>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</si>
  <si>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</si>
  <si>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</si>
  <si>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</si>
  <si>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</si>
  <si>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</si>
  <si>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</si>
  <si>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</si>
  <si>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</si>
  <si>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</si>
  <si>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</si>
  <si>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</si>
  <si>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</si>
  <si>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</si>
  <si>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</si>
  <si>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</si>
  <si>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</si>
  <si>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</si>
  <si>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</si>
  <si>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</si>
  <si>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</si>
  <si>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</si>
  <si>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</si>
  <si>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</si>
  <si>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</si>
  <si>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</si>
  <si>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</si>
  <si>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</si>
  <si>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</si>
  <si>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</si>
  <si>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</si>
  <si>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</si>
  <si>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</si>
  <si>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</si>
  <si>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</si>
  <si>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</si>
  <si>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</si>
  <si>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</si>
  <si>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</si>
  <si>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</si>
  <si>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</si>
  <si>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</si>
  <si>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</si>
  <si>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</si>
  <si>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</si>
  <si>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</si>
  <si>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</si>
  <si>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</si>
  <si>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</si>
  <si>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</si>
  <si>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</si>
  <si>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</si>
  <si>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</si>
  <si>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</si>
  <si>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</si>
  <si>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</si>
  <si>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</si>
  <si>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</si>
  <si>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</si>
  <si>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</si>
  <si>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</si>
  <si>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</si>
  <si>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</si>
  <si>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</si>
  <si>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</si>
  <si>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</si>
  <si>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</si>
  <si>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</si>
  <si>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</si>
  <si>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</si>
  <si>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</si>
  <si>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</si>
  <si>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</si>
  <si>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</si>
  <si>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</si>
  <si>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</si>
  <si>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</si>
  <si>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</si>
  <si>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</si>
  <si>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</si>
  <si>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</si>
  <si>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</si>
  <si>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</si>
  <si>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</si>
  <si>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</si>
  <si>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</si>
  <si>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</si>
  <si>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</si>
  <si>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</si>
  <si>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</si>
  <si>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</si>
  <si>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</si>
  <si>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</si>
  <si>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</si>
  <si>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</si>
  <si>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</si>
  <si>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</si>
  <si>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</si>
  <si>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</si>
  <si>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</si>
  <si>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</si>
  <si>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</si>
  <si>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</si>
  <si>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</si>
  <si>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</si>
  <si>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</si>
  <si>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</si>
  <si>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</si>
  <si>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</si>
  <si>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</si>
  <si>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</si>
  <si>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</si>
  <si>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</si>
  <si>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</si>
  <si>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</si>
  <si>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</si>
  <si>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</si>
  <si>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</si>
  <si>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</si>
  <si>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</si>
  <si>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</si>
  <si>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</si>
  <si>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</si>
  <si>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</si>
  <si>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</si>
  <si>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</si>
  <si>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</si>
  <si>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</si>
  <si>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</si>
  <si>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</si>
  <si>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</si>
  <si>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</si>
  <si>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</si>
  <si>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</si>
  <si>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</si>
  <si>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</si>
  <si>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</si>
  <si>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</si>
  <si>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</si>
  <si>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</si>
  <si>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</si>
  <si>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</si>
  <si>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</si>
  <si>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</si>
  <si>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</si>
  <si>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</si>
  <si>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</si>
  <si>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</si>
  <si>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</si>
  <si>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</si>
  <si>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</si>
  <si>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</si>
  <si>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</si>
  <si>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</si>
  <si>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</si>
  <si>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</si>
  <si>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</si>
  <si>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</si>
  <si>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</si>
  <si>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</si>
  <si>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</si>
  <si>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</si>
  <si>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</si>
  <si>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</si>
  <si>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</si>
  <si>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</si>
  <si>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</si>
  <si>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</si>
  <si>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</si>
  <si>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</si>
  <si>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</si>
  <si>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</si>
  <si>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</si>
  <si>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</si>
  <si>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</si>
  <si>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</si>
  <si>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</si>
  <si>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</si>
  <si>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</si>
  <si>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</si>
  <si>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</si>
  <si>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</si>
  <si>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</si>
  <si>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</si>
  <si>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</si>
  <si>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</si>
  <si>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</si>
  <si>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</si>
  <si>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</si>
  <si>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</si>
  <si>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</si>
  <si>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</si>
  <si>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</si>
  <si>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</si>
  <si>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</si>
  <si>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</si>
  <si>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</si>
  <si>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</si>
  <si>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</si>
  <si>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</si>
  <si>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</si>
  <si>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</si>
  <si>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</si>
  <si>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</si>
  <si>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</si>
  <si>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</si>
  <si>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</si>
  <si>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</si>
  <si>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</si>
  <si>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</si>
  <si>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</si>
  <si>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</si>
  <si>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</si>
  <si>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</si>
  <si>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</si>
  <si>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</si>
  <si>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</si>
  <si>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</si>
  <si>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</si>
  <si>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</si>
  <si>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</si>
  <si>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</si>
  <si>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</si>
  <si>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</si>
  <si>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</si>
  <si>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</si>
  <si>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</si>
  <si>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</si>
  <si>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</si>
  <si>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</si>
  <si>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</si>
  <si>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</si>
  <si>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</si>
  <si>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</si>
  <si>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</si>
  <si>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</si>
  <si>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</si>
  <si>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</si>
  <si>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</si>
  <si>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</si>
  <si>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</si>
  <si>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</si>
  <si>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</si>
  <si>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</si>
  <si>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</si>
  <si>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</si>
  <si>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</si>
  <si>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</si>
  <si>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</si>
  <si>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</si>
  <si>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</si>
  <si>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</si>
  <si>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</si>
  <si>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</si>
  <si>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</si>
  <si>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</si>
  <si>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</si>
  <si>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</si>
  <si>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</si>
  <si>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</si>
  <si>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</si>
  <si>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</si>
  <si>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</si>
  <si>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</si>
  <si>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</si>
  <si>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</si>
  <si>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</si>
  <si>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</si>
  <si>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</si>
  <si>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</si>
  <si>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</si>
  <si>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</si>
  <si>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</si>
  <si>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</si>
  <si>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</si>
  <si>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</si>
  <si>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</si>
  <si>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</si>
  <si>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</si>
  <si>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</si>
  <si>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</si>
  <si>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</si>
  <si>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</si>
  <si>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</si>
  <si>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</si>
  <si>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</si>
  <si>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</si>
  <si>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</si>
  <si>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</si>
  <si>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</si>
  <si>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</si>
  <si>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</si>
  <si>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</si>
  <si>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</si>
  <si>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</si>
  <si>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</si>
  <si>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</si>
  <si>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</si>
  <si>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</si>
  <si>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</si>
  <si>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</si>
  <si>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</si>
  <si>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</si>
  <si>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</si>
  <si>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</si>
  <si>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</si>
  <si>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</si>
  <si>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</si>
  <si>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</si>
  <si>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</si>
  <si>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</si>
  <si>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</si>
  <si>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</si>
  <si>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</si>
  <si>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</si>
  <si>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</si>
  <si>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</si>
  <si>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</si>
  <si>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</si>
  <si>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</si>
  <si>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</si>
  <si>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</si>
  <si>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</si>
  <si>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</si>
  <si>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</si>
  <si>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</si>
  <si>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</si>
  <si>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</si>
  <si>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</si>
  <si>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</si>
  <si>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</si>
  <si>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</si>
  <si>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</si>
  <si>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</si>
  <si>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</si>
  <si>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</si>
  <si>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</si>
  <si>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</si>
  <si>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</si>
  <si>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</si>
  <si>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</si>
  <si>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</si>
  <si>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</si>
  <si>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</si>
  <si>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</si>
  <si>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</si>
  <si>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</si>
  <si>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</si>
  <si>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</si>
  <si>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</si>
  <si>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</si>
  <si>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</si>
  <si>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</si>
  <si>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</si>
  <si>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</si>
  <si>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</si>
  <si>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</si>
  <si>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</si>
  <si>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</si>
  <si>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</si>
  <si>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</si>
  <si>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</si>
  <si>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</si>
  <si>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</si>
  <si>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</si>
  <si>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</si>
  <si>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</si>
  <si>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</si>
  <si>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</si>
  <si>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</si>
  <si>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</si>
  <si>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</si>
  <si>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</si>
  <si>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</si>
  <si>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</si>
  <si>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</si>
  <si>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</si>
  <si>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</si>
  <si>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</si>
  <si>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</si>
  <si>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</si>
  <si>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</si>
  <si>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</si>
  <si>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</si>
  <si>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</si>
  <si>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</si>
  <si>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</si>
  <si>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</si>
  <si>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</si>
  <si>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</si>
  <si>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</si>
  <si>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</si>
  <si>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</si>
  <si>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</si>
  <si>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</si>
  <si>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</si>
  <si>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</si>
  <si>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</si>
  <si>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</si>
  <si>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</si>
  <si>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</si>
  <si>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</si>
  <si>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</si>
  <si>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</si>
  <si>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</si>
  <si>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</si>
  <si>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</si>
  <si>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</si>
  <si>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</si>
  <si>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</si>
  <si>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</si>
  <si>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</si>
  <si>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</si>
  <si>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</si>
  <si>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</si>
  <si>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</si>
  <si>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</si>
  <si>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</si>
  <si>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</si>
  <si>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</si>
  <si>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</si>
  <si>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</si>
  <si>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</si>
  <si>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</si>
  <si>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</si>
  <si>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</si>
  <si>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</si>
  <si>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</si>
  <si>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</si>
  <si>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</si>
  <si>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</si>
  <si>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</si>
  <si>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</si>
  <si>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</si>
  <si>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</si>
  <si>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</si>
  <si>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</si>
  <si>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</si>
  <si>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</si>
  <si>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</si>
  <si>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</si>
  <si>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</si>
  <si>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</si>
  <si>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</si>
  <si>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</si>
  <si>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</si>
  <si>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</si>
  <si>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</si>
  <si>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</si>
  <si>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</si>
  <si>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</si>
  <si>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</si>
  <si>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</si>
  <si>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</si>
  <si>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</si>
  <si>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</si>
  <si>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</si>
  <si>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</si>
  <si>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</si>
  <si>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</si>
  <si>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</si>
  <si>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</si>
  <si>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</si>
  <si>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</si>
  <si>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</si>
  <si>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</si>
  <si>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</si>
  <si>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</si>
  <si>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</si>
  <si>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</si>
  <si>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</si>
  <si>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</si>
  <si>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</si>
  <si>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</si>
  <si>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</si>
  <si>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</si>
  <si>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</si>
  <si>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</si>
  <si>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</si>
  <si>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</si>
  <si>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</si>
  <si>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</si>
  <si>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</si>
  <si>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</si>
  <si>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</si>
  <si>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</si>
  <si>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</si>
  <si>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</si>
  <si>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</si>
  <si>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</si>
  <si>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</si>
  <si>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</si>
  <si>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</si>
  <si>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</si>
  <si>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</si>
  <si>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</si>
  <si>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</si>
  <si>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</si>
  <si>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</si>
  <si>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</si>
  <si>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</si>
  <si>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</si>
  <si>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</si>
  <si>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</si>
  <si>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</si>
  <si>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</si>
  <si>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</si>
  <si>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</si>
  <si>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</si>
  <si>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</si>
  <si>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</si>
  <si>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</si>
  <si>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</si>
  <si>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</si>
  <si>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</si>
  <si>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</si>
  <si>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</si>
  <si>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</si>
  <si>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</si>
  <si>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</si>
  <si>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</si>
  <si>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</si>
  <si>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</si>
  <si>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</si>
  <si>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</si>
  <si>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</si>
  <si>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</si>
  <si>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</si>
  <si>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</si>
  <si>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</si>
  <si>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</si>
  <si>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</si>
  <si>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</si>
  <si>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</si>
  <si>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</si>
  <si>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</si>
  <si>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</si>
  <si>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</si>
  <si>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</si>
  <si>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</si>
  <si>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</si>
  <si>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</si>
  <si>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</si>
  <si>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</si>
  <si>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</si>
  <si>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</si>
  <si>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</si>
  <si>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</si>
  <si>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</si>
  <si>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</si>
  <si>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</si>
  <si>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</si>
  <si>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</si>
  <si>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</si>
  <si>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</si>
  <si>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</si>
  <si>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</si>
  <si>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</si>
  <si>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</si>
  <si>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</si>
  <si>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</si>
  <si>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</si>
  <si>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</si>
  <si>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</si>
  <si>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</si>
  <si>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</si>
  <si>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</si>
  <si>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</si>
  <si>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</si>
  <si>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</si>
  <si>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</si>
  <si>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</si>
  <si>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</si>
  <si>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</si>
  <si>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</si>
  <si>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</si>
  <si>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</si>
  <si>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</si>
  <si>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</si>
  <si>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</si>
  <si>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</si>
  <si>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</si>
  <si>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</si>
  <si>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</si>
  <si>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</si>
  <si>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</si>
  <si>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</si>
  <si>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</si>
  <si>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</si>
  <si>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</si>
  <si>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</si>
  <si>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</si>
  <si>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</si>
  <si>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</si>
  <si>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</si>
  <si>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</si>
  <si>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</si>
  <si>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</si>
  <si>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</si>
  <si>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</si>
  <si>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</si>
  <si>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</si>
  <si>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</si>
  <si>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</si>
  <si>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</si>
  <si>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</si>
  <si>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</si>
  <si>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</si>
  <si>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</si>
  <si>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</si>
  <si>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</si>
  <si>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</si>
  <si>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</si>
  <si>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</si>
  <si>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</si>
  <si>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</si>
  <si>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</si>
  <si>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</si>
  <si>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</si>
  <si>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</si>
  <si>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</si>
  <si>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</si>
  <si>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</si>
  <si>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</si>
  <si>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</si>
  <si>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</si>
  <si>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</si>
  <si>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</si>
  <si>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</si>
  <si>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</si>
  <si>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</si>
  <si>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</si>
  <si>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</si>
  <si>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</si>
  <si>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</si>
  <si>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</si>
  <si>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</si>
  <si>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</si>
  <si>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</si>
  <si>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</si>
  <si>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</si>
  <si>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</si>
  <si>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</si>
  <si>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</si>
  <si>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</si>
  <si>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</si>
  <si>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</si>
  <si>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</si>
  <si>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</si>
  <si>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</si>
  <si>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</si>
  <si>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</si>
  <si>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</si>
  <si>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</si>
  <si>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</si>
  <si>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</si>
  <si>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</si>
  <si>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</si>
  <si>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</si>
  <si>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</si>
  <si>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</si>
  <si>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</si>
  <si>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</si>
  <si>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</si>
  <si>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</si>
  <si>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</si>
  <si>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</si>
  <si>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</si>
  <si>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</si>
  <si>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</si>
  <si>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</si>
  <si>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</si>
  <si>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</si>
  <si>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</si>
  <si>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</si>
  <si>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</si>
  <si>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</si>
  <si>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</si>
  <si>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</si>
  <si>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</si>
  <si>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</si>
  <si>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</si>
  <si>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</si>
  <si>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</si>
  <si>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</si>
  <si>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</si>
  <si>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</si>
  <si>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</si>
  <si>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</si>
  <si>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</si>
  <si>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</si>
  <si>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</si>
  <si>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</si>
  <si>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</si>
  <si>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</si>
  <si>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</si>
  <si>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</si>
  <si>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</si>
  <si>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</si>
  <si>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</si>
  <si>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</si>
  <si>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</si>
  <si>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</si>
  <si>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</si>
  <si>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</si>
  <si>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</si>
  <si>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</si>
  <si>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</si>
  <si>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</si>
  <si>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</si>
  <si>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</si>
  <si>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</si>
  <si>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</si>
  <si>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</si>
  <si>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</si>
  <si>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</si>
  <si>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</si>
  <si>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</si>
  <si>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</si>
  <si>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</si>
  <si>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</si>
  <si>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</si>
  <si>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</si>
  <si>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</si>
  <si>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</si>
  <si>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</si>
  <si>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</si>
  <si>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</si>
  <si>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</si>
  <si>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</si>
  <si>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</si>
  <si>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</si>
  <si>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</si>
  <si>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</si>
  <si>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</si>
  <si>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</si>
  <si>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</si>
  <si>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</si>
  <si>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</si>
  <si>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</si>
  <si>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</si>
  <si>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</si>
  <si>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</si>
  <si>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</si>
  <si>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</si>
  <si>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</si>
  <si>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</si>
  <si>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</si>
  <si>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</si>
  <si>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</si>
  <si>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</si>
  <si>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</si>
  <si>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</si>
  <si>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</si>
  <si>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</si>
  <si>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</si>
  <si>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</si>
  <si>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</si>
  <si>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</si>
  <si>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</si>
  <si>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</si>
  <si>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</si>
  <si>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</si>
  <si>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</si>
  <si>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</si>
  <si>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</si>
  <si>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</si>
  <si>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</si>
  <si>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</si>
  <si>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</si>
  <si>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</si>
  <si>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</si>
  <si>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</si>
  <si>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</si>
  <si>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</si>
  <si>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</si>
  <si>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</si>
  <si>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</si>
  <si>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</si>
  <si>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</si>
  <si>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</si>
  <si>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</si>
  <si>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</si>
  <si>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</si>
  <si>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</si>
  <si>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</si>
  <si>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</si>
  <si>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</si>
  <si>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</si>
  <si>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</si>
  <si>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</si>
  <si>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</si>
  <si>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</si>
  <si>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</si>
  <si>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</si>
  <si>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</si>
  <si>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</si>
  <si>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</si>
  <si>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</si>
  <si>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</si>
  <si>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</si>
  <si>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</si>
  <si>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</si>
  <si>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</si>
  <si>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</si>
  <si>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</si>
  <si>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</si>
  <si>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</si>
  <si>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</si>
  <si>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</si>
  <si>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</si>
  <si>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</si>
  <si>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</si>
  <si>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</si>
  <si>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</si>
  <si>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</si>
  <si>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</si>
  <si>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</si>
  <si>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</si>
  <si>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</si>
  <si>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</si>
  <si>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</si>
  <si>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</si>
  <si>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</si>
  <si>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</si>
  <si>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</si>
  <si>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</si>
  <si>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</si>
  <si>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</si>
  <si>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</si>
  <si>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</si>
  <si>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</si>
  <si>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</si>
  <si>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</si>
  <si>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</si>
  <si>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</si>
  <si>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</si>
  <si>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</si>
  <si>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</si>
  <si>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</si>
  <si>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</si>
  <si>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</si>
  <si>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</si>
  <si>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</si>
  <si>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</si>
  <si>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</si>
  <si>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</si>
  <si>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</si>
  <si>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</si>
  <si>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</si>
  <si>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</si>
  <si>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</si>
  <si>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</si>
  <si>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</si>
  <si>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</si>
  <si>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</si>
  <si>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</si>
  <si>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</si>
  <si>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</si>
  <si>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</si>
  <si>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</si>
  <si>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</si>
  <si>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</si>
  <si>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</si>
  <si>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</si>
  <si>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</si>
  <si>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</si>
  <si>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</si>
  <si>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</si>
  <si>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</si>
  <si>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</si>
  <si>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</si>
  <si>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</si>
  <si>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</si>
  <si>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</si>
  <si>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</si>
  <si>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</si>
  <si>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</si>
  <si>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</si>
  <si>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</si>
  <si>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</si>
  <si>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</si>
  <si>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</si>
  <si>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</si>
  <si>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</si>
  <si>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</si>
  <si>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</si>
  <si>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</si>
  <si>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</si>
  <si>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</si>
  <si>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</si>
  <si>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</si>
  <si>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</si>
  <si>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</si>
  <si>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</si>
  <si>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</si>
  <si>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</si>
  <si>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</si>
  <si>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</si>
  <si>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</si>
  <si>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</si>
  <si>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</si>
  <si>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</si>
  <si>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</si>
  <si>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</si>
  <si>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</si>
  <si>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</si>
  <si>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</si>
  <si>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</si>
  <si>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</si>
  <si>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</si>
  <si>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</si>
  <si>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</si>
  <si>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</si>
  <si>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</si>
  <si>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</si>
  <si>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</si>
  <si>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</si>
  <si>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</si>
  <si>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</si>
  <si>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</si>
  <si>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</si>
  <si>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</si>
  <si>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</si>
  <si>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</si>
  <si>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</si>
  <si>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</si>
  <si>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</si>
  <si>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</si>
  <si>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</si>
  <si>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</si>
  <si>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</si>
  <si>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</si>
  <si>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</si>
  <si>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</si>
  <si>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</si>
  <si>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</si>
  <si>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</si>
  <si>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</si>
  <si>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</si>
  <si>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</si>
  <si>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</si>
  <si>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</si>
  <si>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</si>
  <si>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</si>
  <si>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</si>
  <si>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</si>
  <si>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</si>
  <si>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</si>
  <si>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</si>
  <si>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</si>
  <si>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</si>
  <si>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</si>
  <si>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</si>
  <si>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</si>
  <si>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</si>
  <si>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</si>
  <si>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</si>
  <si>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</si>
  <si>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</si>
  <si>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</si>
  <si>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</si>
  <si>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</si>
  <si>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</si>
  <si>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</si>
  <si>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</si>
  <si>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</si>
  <si>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</si>
  <si>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</si>
  <si>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</si>
  <si>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</si>
  <si>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</si>
  <si>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</si>
  <si>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</si>
  <si>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</si>
  <si>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</si>
  <si>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</si>
  <si>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</si>
  <si>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</si>
  <si>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</si>
  <si>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</si>
  <si>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</si>
  <si>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</si>
  <si>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</si>
  <si>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</si>
  <si>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</si>
  <si>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</si>
  <si>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</si>
  <si>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</si>
  <si>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</si>
  <si>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</si>
  <si>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</si>
  <si>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</si>
  <si>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</si>
  <si>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</si>
  <si>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</si>
  <si>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</si>
  <si>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</si>
  <si>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</si>
  <si>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</si>
  <si>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</si>
  <si>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</si>
  <si>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</si>
  <si>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</si>
  <si>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</si>
  <si>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</si>
  <si>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</si>
  <si>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</si>
  <si>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</si>
  <si>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</si>
  <si>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</si>
  <si>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</si>
  <si>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</si>
  <si>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</si>
  <si>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</si>
  <si>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</si>
  <si>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</si>
  <si>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</si>
  <si>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</si>
  <si>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</si>
  <si>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</si>
  <si>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</si>
  <si>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</si>
  <si>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</si>
  <si>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</si>
  <si>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</si>
  <si>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</si>
  <si>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</si>
  <si>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</si>
  <si>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</si>
  <si>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</si>
  <si>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</si>
  <si>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</si>
  <si>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</si>
  <si>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</si>
  <si>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</si>
  <si>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</si>
  <si>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</si>
  <si>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</si>
  <si>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</si>
  <si>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</si>
  <si>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</si>
  <si>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</si>
  <si>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</si>
  <si>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</si>
  <si>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</si>
  <si>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</si>
  <si>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</si>
  <si>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</si>
  <si>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</si>
  <si>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</si>
  <si>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</si>
  <si>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</si>
  <si>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</si>
  <si>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</si>
  <si>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</si>
  <si>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</si>
  <si>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</si>
  <si>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</si>
  <si>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</si>
  <si>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</si>
  <si>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</si>
  <si>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</si>
  <si>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</si>
  <si>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</si>
  <si>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</si>
  <si>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</si>
  <si>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</si>
  <si>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</si>
  <si>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</si>
  <si>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</si>
  <si>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</si>
  <si>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</si>
  <si>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</si>
  <si>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</si>
  <si>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</si>
  <si>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</si>
  <si>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</si>
  <si>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</si>
  <si>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</si>
  <si>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</si>
  <si>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</si>
  <si>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</si>
  <si>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</si>
  <si>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</si>
  <si>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</si>
  <si>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</si>
  <si>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</si>
  <si>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</si>
  <si>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</si>
  <si>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</si>
  <si>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</si>
  <si>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</si>
  <si>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</si>
  <si>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</si>
  <si>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</si>
  <si>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</si>
  <si>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</si>
  <si>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</si>
  <si>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</si>
  <si>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</si>
  <si>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</si>
  <si>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</si>
  <si>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</si>
  <si>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</si>
  <si>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</si>
  <si>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</si>
  <si>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</si>
  <si>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</si>
  <si>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</si>
  <si>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</si>
  <si>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</si>
  <si>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</si>
  <si>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</si>
  <si>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</si>
  <si>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</si>
  <si>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</si>
  <si>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</si>
  <si>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</si>
  <si>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</si>
  <si>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</si>
  <si>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</si>
  <si>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</si>
  <si>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</si>
  <si>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</si>
  <si>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</si>
  <si>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</si>
  <si>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</si>
  <si>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</si>
  <si>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</si>
  <si>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</si>
  <si>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</si>
  <si>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</si>
  <si>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</si>
  <si>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</si>
  <si>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</si>
  <si>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</si>
  <si>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</si>
  <si>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</si>
  <si>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</si>
  <si>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</si>
  <si>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</si>
  <si>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</si>
  <si>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</si>
  <si>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</si>
  <si>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</si>
  <si>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</si>
  <si>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</si>
  <si>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</si>
  <si>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</si>
  <si>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</si>
  <si>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</si>
  <si>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</si>
  <si>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</si>
  <si>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</si>
  <si>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</si>
  <si>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</si>
  <si>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</si>
  <si>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</si>
  <si>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</si>
  <si>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</si>
  <si>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</si>
  <si>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</si>
  <si>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</si>
  <si>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</si>
  <si>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</si>
  <si>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</si>
  <si>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</si>
  <si>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</si>
  <si>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</si>
  <si>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</si>
  <si>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</si>
  <si>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</si>
  <si>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</si>
  <si>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</si>
  <si>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</si>
  <si>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</si>
  <si>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</si>
  <si>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</si>
  <si>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</si>
  <si>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</si>
  <si>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</si>
  <si>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</si>
  <si>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</si>
  <si>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</si>
  <si>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</si>
  <si>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</si>
  <si>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</si>
  <si>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</si>
  <si>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</si>
  <si>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</si>
  <si>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</si>
  <si>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</si>
  <si>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</si>
  <si>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</si>
  <si>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</si>
  <si>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</si>
  <si>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</si>
  <si>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</si>
  <si>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</si>
  <si>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</si>
  <si>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</si>
  <si>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</si>
  <si>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</si>
  <si>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</si>
  <si>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</si>
  <si>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</si>
  <si>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</si>
  <si>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</si>
  <si>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</si>
  <si>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</si>
  <si>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</si>
  <si>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</si>
  <si>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</si>
  <si>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</si>
  <si>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</si>
  <si>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</si>
  <si>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</si>
  <si>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</si>
  <si>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</si>
  <si>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</si>
  <si>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</si>
  <si>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</si>
  <si>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</si>
  <si>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</si>
  <si>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</si>
  <si>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</si>
  <si>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</si>
  <si>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</si>
  <si>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</si>
  <si>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</si>
  <si>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</si>
  <si>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</si>
  <si>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</si>
  <si>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</si>
  <si>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</si>
  <si>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</si>
  <si>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</si>
  <si>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</si>
  <si>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</si>
  <si>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</si>
  <si>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</si>
  <si>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</si>
  <si>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</si>
  <si>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</si>
  <si>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</si>
  <si>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</si>
  <si>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</si>
  <si>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</si>
  <si>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</si>
  <si>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</si>
  <si>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</si>
  <si>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</si>
  <si>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</si>
  <si>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</si>
  <si>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</si>
  <si>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</si>
  <si>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</si>
  <si>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</si>
  <si>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</si>
  <si>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</si>
  <si>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</si>
  <si>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</si>
  <si>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</si>
  <si>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</si>
  <si>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</si>
  <si>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</si>
  <si>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</si>
  <si>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</si>
  <si>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</si>
  <si>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</si>
  <si>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</si>
  <si>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</si>
  <si>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</si>
  <si>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</si>
  <si>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</si>
  <si>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</si>
  <si>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</si>
  <si>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</si>
  <si>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</si>
  <si>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</si>
  <si>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</si>
  <si>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</si>
  <si>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</si>
  <si>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</si>
  <si>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</si>
  <si>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</si>
  <si>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</si>
  <si>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</si>
  <si>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</si>
  <si>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</si>
  <si>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</si>
  <si>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</si>
  <si>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</si>
  <si>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</si>
  <si>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</si>
  <si>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</si>
  <si>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</si>
  <si>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</si>
  <si>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</si>
  <si>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</si>
  <si>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</si>
  <si>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</si>
  <si>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</si>
  <si>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</si>
  <si>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</si>
  <si>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</si>
  <si>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</si>
  <si>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</si>
  <si>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</si>
  <si>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</si>
  <si>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</si>
  <si>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</si>
  <si>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</si>
  <si>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</si>
  <si>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</si>
  <si>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</si>
  <si>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</si>
  <si>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</si>
  <si>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</si>
  <si>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</si>
  <si>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</si>
  <si>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</si>
  <si>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</si>
  <si>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</si>
  <si>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</si>
  <si>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</si>
  <si>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</si>
  <si>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</si>
  <si>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</si>
  <si>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</si>
  <si>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</si>
  <si>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</si>
  <si>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</si>
  <si>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</si>
  <si>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</si>
  <si>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</si>
  <si>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</si>
  <si>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</si>
  <si>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</si>
  <si>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</si>
  <si>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</si>
  <si>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</si>
  <si>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</si>
  <si>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</si>
  <si>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</si>
  <si>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</si>
  <si>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</si>
  <si>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</si>
  <si>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</si>
  <si>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</si>
  <si>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</si>
  <si>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</si>
  <si>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</si>
  <si>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</si>
  <si>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</si>
  <si>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</si>
  <si>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</si>
  <si>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</si>
  <si>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</si>
  <si>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</si>
  <si>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</si>
  <si>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</si>
  <si>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</si>
  <si>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</si>
  <si>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</si>
  <si>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</si>
  <si>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</si>
  <si>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</si>
  <si>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</si>
  <si>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</si>
  <si>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</si>
  <si>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</si>
  <si>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</si>
  <si>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</si>
  <si>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</si>
  <si>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</si>
  <si>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</si>
  <si>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</si>
  <si>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</si>
  <si>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</si>
  <si>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</si>
  <si>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</si>
  <si>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</si>
  <si>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</si>
  <si>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</si>
  <si>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</si>
  <si>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</si>
  <si>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</si>
  <si>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</si>
  <si>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</si>
  <si>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</si>
  <si>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</si>
  <si>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</si>
  <si>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</si>
  <si>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</si>
  <si>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</si>
  <si>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</si>
  <si>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</si>
  <si>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</si>
  <si>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</si>
  <si>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</si>
  <si>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</si>
  <si>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</si>
  <si>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</si>
  <si>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</si>
  <si>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</si>
  <si>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</si>
  <si>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</si>
  <si>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</si>
  <si>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</si>
  <si>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</si>
  <si>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</si>
  <si>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</si>
  <si>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</si>
  <si>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</si>
  <si>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</si>
  <si>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</si>
  <si>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</si>
  <si>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</si>
  <si>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</si>
  <si>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</si>
  <si>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</si>
  <si>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</si>
  <si>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</si>
  <si>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</si>
  <si>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</si>
  <si>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</si>
  <si>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</si>
  <si>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</si>
  <si>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</si>
  <si>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</si>
  <si>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</si>
  <si>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</si>
  <si>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</si>
  <si>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</si>
  <si>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</si>
  <si>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</si>
  <si>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</si>
  <si>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</si>
  <si>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</si>
  <si>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</si>
  <si>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</si>
  <si>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</si>
  <si>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</si>
  <si>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</si>
  <si>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</si>
  <si>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</si>
  <si>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</si>
  <si>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</si>
  <si>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</si>
  <si>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</si>
  <si>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</si>
  <si>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</si>
  <si>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</si>
  <si>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</si>
  <si>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</si>
  <si>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</si>
  <si>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</si>
  <si>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</si>
  <si>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</si>
  <si>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</si>
  <si>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</si>
  <si>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</si>
  <si>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</si>
  <si>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</si>
  <si>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</si>
  <si>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</si>
  <si>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</si>
  <si>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</si>
  <si>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</si>
  <si>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</si>
  <si>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</si>
  <si>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</si>
  <si>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</si>
  <si>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</si>
  <si>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</si>
  <si>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</si>
  <si>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</si>
  <si>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</si>
  <si>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</si>
  <si>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</si>
  <si>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</si>
  <si>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</si>
  <si>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</si>
  <si>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</si>
  <si>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</si>
  <si>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</si>
  <si>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</si>
  <si>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</si>
  <si>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</si>
  <si>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</si>
  <si>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</si>
  <si>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</si>
  <si>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</si>
  <si>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</si>
  <si>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</si>
  <si>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</si>
  <si>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</si>
  <si>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</si>
  <si>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</si>
  <si>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</si>
  <si>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</si>
  <si>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</si>
  <si>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</si>
  <si>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</si>
  <si>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</si>
  <si>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</si>
  <si>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</si>
  <si>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</si>
  <si>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</si>
  <si>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</si>
  <si>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</si>
  <si>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</si>
  <si>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</si>
  <si>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</si>
  <si>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</si>
  <si>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</si>
  <si>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</si>
  <si>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</si>
  <si>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</si>
  <si>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</si>
  <si>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</si>
  <si>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</si>
  <si>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</si>
  <si>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</si>
  <si>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</si>
  <si>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</si>
  <si>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</si>
  <si>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</si>
  <si>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</si>
  <si>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</si>
  <si>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</si>
  <si>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</si>
  <si>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</si>
  <si>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</si>
  <si>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</si>
  <si>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</si>
  <si>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</si>
  <si>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</si>
  <si>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</si>
  <si>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</si>
  <si>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</si>
  <si>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</si>
  <si>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</si>
  <si>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</si>
  <si>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</si>
  <si>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</si>
  <si>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</si>
  <si>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</si>
  <si>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</si>
  <si>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</si>
  <si>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</si>
  <si>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</si>
  <si>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</si>
  <si>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</si>
  <si>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</si>
  <si>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</si>
  <si>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</si>
  <si>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</si>
  <si>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</si>
  <si>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</si>
  <si>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</si>
  <si>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</si>
  <si>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</si>
  <si>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</si>
  <si>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</si>
  <si>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</si>
  <si>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</si>
  <si>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</si>
  <si>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</si>
  <si>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</si>
  <si>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</si>
  <si>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</si>
  <si>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</si>
  <si>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</si>
  <si>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</si>
  <si>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</si>
  <si>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</si>
  <si>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</si>
  <si>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</si>
  <si>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</si>
  <si>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</si>
  <si>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</si>
  <si>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</si>
  <si>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</si>
  <si>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</si>
  <si>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</si>
  <si>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</si>
  <si>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</si>
  <si>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</si>
  <si>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</si>
  <si>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</si>
  <si>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</si>
  <si>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</si>
  <si>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</si>
  <si>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</si>
  <si>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</si>
  <si>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</si>
  <si>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</si>
  <si>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</si>
  <si>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</si>
  <si>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</si>
  <si>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</si>
  <si>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</si>
  <si>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</si>
  <si>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</si>
  <si>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</si>
  <si>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</si>
  <si>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</si>
  <si>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</si>
  <si>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</si>
  <si>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</si>
  <si>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</si>
  <si>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</si>
  <si>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</si>
  <si>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</si>
  <si>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</si>
  <si>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</si>
  <si>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</si>
  <si>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</si>
  <si>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</si>
  <si>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</si>
  <si>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</si>
  <si>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</si>
  <si>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</si>
  <si>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</si>
  <si>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</si>
  <si>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</si>
  <si>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</si>
  <si>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</si>
  <si>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</si>
  <si>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</si>
  <si>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</si>
  <si>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</si>
  <si>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</si>
  <si>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</si>
  <si>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</si>
  <si>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</si>
  <si>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</si>
  <si>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</si>
  <si>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</si>
  <si>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</si>
  <si>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</si>
  <si>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</si>
  <si>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</si>
  <si>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</si>
  <si>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</si>
  <si>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</si>
  <si>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</si>
  <si>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</si>
  <si>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</si>
  <si>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</si>
  <si>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</si>
  <si>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</si>
  <si>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</si>
  <si>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</si>
  <si>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</si>
  <si>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</si>
  <si>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</si>
  <si>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</si>
  <si>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</si>
  <si>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</si>
  <si>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</si>
  <si>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</si>
  <si>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</si>
  <si>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</si>
  <si>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</si>
  <si>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</si>
  <si>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</si>
  <si>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</si>
  <si>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</si>
  <si>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</si>
  <si>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</si>
  <si>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</si>
  <si>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</si>
  <si>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</si>
  <si>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</si>
  <si>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</si>
  <si>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</si>
  <si>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</si>
  <si>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</si>
  <si>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</si>
  <si>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</si>
  <si>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</si>
  <si>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</si>
  <si>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</si>
  <si>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</si>
  <si>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</si>
  <si>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</si>
  <si>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</si>
  <si>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</si>
  <si>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</si>
  <si>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</si>
  <si>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</si>
  <si>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</si>
  <si>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</si>
  <si>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</si>
  <si>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</si>
  <si>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</si>
  <si>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</si>
  <si>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</si>
  <si>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</si>
  <si>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</si>
  <si>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</si>
  <si>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</si>
  <si>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</si>
  <si>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</si>
  <si>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</si>
  <si>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</si>
  <si>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</si>
  <si>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</si>
  <si>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</si>
  <si>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</si>
  <si>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</si>
  <si>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</si>
  <si>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</si>
  <si>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</si>
  <si>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</si>
  <si>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</si>
  <si>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</si>
  <si>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</si>
  <si>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</si>
  <si>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</si>
  <si>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</si>
  <si>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</si>
  <si>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</si>
  <si>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</si>
  <si>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</si>
  <si>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</si>
  <si>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</si>
  <si>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</si>
  <si>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</si>
  <si>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</si>
  <si>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</si>
  <si>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</si>
  <si>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</si>
  <si>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</si>
  <si>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</si>
  <si>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</si>
  <si>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</si>
  <si>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</si>
  <si>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</si>
  <si>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</si>
  <si>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</si>
  <si>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</si>
  <si>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</si>
  <si>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</si>
  <si>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</si>
  <si>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</si>
  <si>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</si>
  <si>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</si>
  <si>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</si>
  <si>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</si>
  <si>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</si>
  <si>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</si>
  <si>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</si>
  <si>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</si>
  <si>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</si>
  <si>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</si>
  <si>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</si>
  <si>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</si>
  <si>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</si>
  <si>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</si>
  <si>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</si>
  <si>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</si>
  <si>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</si>
  <si>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</si>
  <si>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</si>
  <si>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</si>
  <si>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</si>
  <si>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</si>
  <si>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</si>
  <si>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</si>
  <si>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</si>
  <si>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</si>
  <si>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</si>
  <si>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</si>
  <si>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</si>
  <si>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</si>
  <si>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</si>
  <si>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</si>
  <si>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</si>
  <si>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</si>
  <si>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</si>
  <si>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</si>
  <si>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</si>
  <si>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</si>
  <si>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</si>
  <si>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</si>
  <si>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</si>
  <si>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</si>
  <si>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</si>
  <si>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</si>
  <si>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</si>
  <si>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</si>
  <si>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</si>
  <si>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</si>
  <si>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</si>
  <si>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</si>
  <si>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</si>
  <si>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</si>
  <si>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</si>
  <si>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</si>
  <si>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</si>
  <si>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</si>
  <si>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</si>
  <si>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</si>
  <si>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</si>
  <si>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</si>
  <si>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</si>
  <si>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</si>
  <si>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</si>
  <si>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</si>
  <si>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</si>
  <si>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</si>
  <si>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</si>
  <si>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</si>
  <si>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</si>
  <si>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</si>
  <si>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</si>
  <si>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</si>
  <si>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</si>
  <si>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</si>
  <si>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</si>
  <si>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</si>
  <si>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</si>
  <si>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</si>
  <si>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</si>
  <si>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</si>
  <si>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</si>
  <si>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</si>
  <si>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</si>
  <si>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</si>
  <si>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</si>
  <si>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</si>
  <si>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</si>
  <si>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</si>
  <si>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</si>
  <si>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</si>
  <si>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</si>
  <si>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</si>
  <si>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</si>
  <si>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</si>
  <si>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</si>
  <si>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</si>
  <si>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</si>
  <si>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</si>
  <si>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</si>
  <si>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</si>
  <si>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</si>
  <si>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</si>
  <si>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</si>
  <si>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</si>
  <si>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</si>
  <si>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</si>
  <si>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</si>
  <si>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</si>
  <si>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</si>
  <si>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</si>
  <si>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</si>
  <si>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</si>
  <si>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</si>
  <si>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</si>
  <si>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</si>
  <si>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</si>
  <si>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</si>
  <si>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</si>
  <si>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</si>
  <si>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</si>
  <si>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</si>
  <si>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</si>
  <si>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</si>
  <si>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</si>
  <si>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</si>
  <si>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</si>
  <si>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</si>
  <si>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</si>
  <si>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</si>
  <si>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</si>
  <si>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</si>
  <si>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</si>
  <si>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</si>
  <si>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</si>
  <si>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</si>
  <si>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</si>
  <si>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</si>
  <si>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</si>
  <si>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</si>
  <si>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</si>
  <si>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</si>
  <si>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</si>
  <si>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</si>
  <si>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</si>
  <si>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</si>
  <si>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</si>
  <si>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</si>
  <si>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</si>
  <si>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</si>
  <si>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</si>
  <si>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</si>
  <si>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</si>
  <si>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</si>
  <si>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</si>
  <si>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</si>
  <si>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</si>
  <si>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</si>
  <si>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</si>
  <si>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</si>
  <si>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</si>
  <si>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</si>
  <si>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</si>
  <si>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</si>
  <si>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</si>
  <si>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</si>
  <si>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</si>
  <si>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</si>
  <si>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</si>
  <si>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</si>
  <si>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</si>
  <si>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</si>
  <si>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</si>
  <si>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</si>
  <si>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</si>
  <si>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</si>
  <si>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</si>
  <si>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</si>
  <si>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</si>
  <si>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</si>
  <si>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</si>
  <si>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</si>
  <si>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</si>
  <si>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</si>
  <si>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</si>
  <si>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</si>
  <si>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</si>
  <si>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</si>
  <si>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</si>
  <si>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</si>
  <si>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</si>
  <si>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</si>
  <si>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</si>
  <si>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</si>
  <si>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</si>
  <si>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</si>
  <si>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</si>
  <si>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</si>
  <si>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</si>
  <si>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</si>
  <si>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</si>
  <si>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</si>
  <si>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</si>
  <si>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</si>
  <si>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</si>
  <si>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</si>
  <si>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</si>
  <si>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</si>
  <si>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</si>
  <si>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</si>
  <si>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</si>
  <si>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</si>
  <si>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</si>
  <si>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</si>
  <si>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</si>
  <si>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</si>
  <si>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</si>
  <si>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</si>
  <si>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</si>
  <si>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</si>
  <si>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</si>
  <si>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</si>
  <si>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</si>
  <si>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</si>
  <si>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</si>
  <si>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</si>
  <si>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</si>
  <si>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</si>
  <si>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</si>
  <si>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</si>
  <si>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</si>
  <si>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</si>
  <si>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</si>
  <si>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</si>
  <si>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</si>
  <si>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</si>
  <si>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</si>
  <si>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</si>
  <si>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</si>
  <si>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</si>
  <si>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</si>
  <si>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</si>
  <si>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</si>
  <si>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</si>
  <si>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</si>
  <si>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</si>
  <si>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</si>
  <si>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</si>
  <si>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</si>
  <si>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</si>
  <si>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</si>
  <si>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</si>
  <si>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</si>
  <si>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</si>
  <si>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</si>
  <si>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</si>
  <si>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</si>
  <si>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</si>
  <si>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</si>
  <si>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</si>
  <si>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</si>
  <si>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</si>
  <si>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</si>
  <si>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</si>
  <si>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</si>
  <si>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</si>
  <si>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</si>
  <si>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</si>
  <si>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</si>
  <si>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</si>
  <si>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</si>
  <si>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</si>
  <si>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</si>
  <si>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</si>
  <si>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</si>
  <si>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</si>
  <si>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</si>
  <si>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</si>
  <si>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</si>
  <si>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</si>
  <si>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</si>
  <si>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</si>
  <si>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</si>
  <si>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</si>
  <si>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</si>
  <si>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</si>
  <si>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</si>
  <si>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</si>
  <si>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</si>
  <si>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</si>
  <si>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</si>
  <si>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</si>
  <si>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</si>
  <si>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</si>
  <si>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</si>
  <si>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</si>
  <si>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</si>
  <si>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</si>
  <si>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</si>
  <si>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</si>
  <si>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</si>
  <si>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</si>
  <si>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</si>
  <si>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</si>
  <si>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</si>
  <si>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</si>
  <si>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</si>
  <si>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</si>
  <si>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</si>
  <si>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</si>
  <si>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</si>
  <si>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</si>
  <si>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</si>
  <si>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</si>
  <si>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</si>
  <si>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</si>
  <si>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</si>
  <si>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</si>
  <si>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</si>
  <si>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</si>
  <si>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</si>
  <si>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</si>
  <si>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</si>
  <si>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</si>
  <si>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</si>
  <si>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</si>
  <si>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</si>
  <si>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</si>
  <si>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</si>
  <si>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</si>
  <si>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</si>
  <si>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</si>
  <si>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</si>
  <si>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</si>
  <si>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</si>
  <si>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</si>
  <si>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</si>
  <si>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</si>
  <si>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</si>
  <si>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</si>
  <si>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</si>
  <si>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</si>
  <si>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</si>
  <si>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</si>
  <si>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</si>
  <si>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</si>
  <si>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</si>
  <si>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</si>
  <si>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</si>
  <si>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</si>
  <si>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</si>
  <si>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</si>
  <si>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</si>
  <si>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</si>
  <si>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</si>
  <si>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</si>
  <si>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</si>
  <si>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</si>
  <si>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</si>
  <si>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</si>
  <si>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</si>
  <si>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</si>
  <si>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</si>
  <si>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</si>
  <si>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</si>
  <si>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</si>
  <si>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</si>
  <si>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</si>
  <si>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</si>
  <si>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</si>
  <si>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</si>
  <si>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</si>
  <si>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</si>
  <si>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</si>
  <si>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</si>
  <si>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</si>
  <si>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</si>
  <si>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</si>
  <si>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</si>
  <si>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</si>
  <si>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</si>
  <si>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</si>
  <si>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</si>
  <si>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</si>
  <si>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</si>
  <si>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</si>
  <si>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</si>
  <si>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</si>
  <si>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</si>
  <si>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</si>
  <si>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</si>
  <si>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</si>
  <si>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</si>
  <si>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</si>
  <si>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</si>
  <si>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</si>
  <si>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</si>
  <si>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</si>
  <si>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</si>
  <si>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</si>
  <si>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</si>
  <si>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</si>
  <si>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</si>
  <si>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</si>
  <si>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</si>
  <si>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</si>
  <si>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</si>
  <si>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</si>
  <si>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</si>
  <si>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</si>
  <si>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</si>
  <si>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</si>
  <si>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</si>
  <si>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</si>
  <si>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</si>
  <si>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</si>
  <si>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</si>
  <si>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</si>
  <si>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</si>
  <si>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</si>
  <si>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</si>
  <si>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</si>
  <si>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</si>
  <si>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</si>
  <si>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</si>
  <si>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</si>
  <si>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</si>
  <si>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</si>
  <si>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</si>
  <si>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</si>
  <si>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</si>
  <si>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</si>
  <si>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</si>
  <si>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</si>
  <si>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</si>
  <si>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</si>
  <si>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</si>
  <si>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</si>
  <si>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</si>
  <si>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</si>
  <si>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</si>
  <si>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</si>
  <si>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</si>
  <si>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</si>
  <si>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</si>
  <si>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</si>
  <si>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</si>
  <si>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</si>
  <si>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</si>
  <si>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</si>
  <si>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</si>
  <si>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</si>
  <si>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</si>
  <si>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</si>
  <si>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</si>
  <si>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</si>
  <si>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</si>
  <si>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</si>
  <si>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</si>
  <si>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</si>
  <si>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</si>
  <si>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</si>
  <si>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</si>
  <si>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</si>
  <si>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</si>
  <si>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</si>
  <si>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</si>
  <si>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</si>
  <si>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</si>
  <si>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</si>
  <si>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</si>
  <si>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</si>
  <si>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</si>
  <si>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</si>
  <si>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</si>
  <si>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</si>
  <si>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</si>
  <si>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</si>
  <si>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</si>
  <si>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</si>
  <si>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</si>
  <si>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</si>
  <si>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</si>
  <si>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</si>
  <si>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</si>
  <si>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</si>
  <si>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</si>
  <si>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</si>
  <si>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</si>
  <si>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</si>
  <si>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</si>
  <si>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</si>
  <si>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</si>
  <si>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</si>
  <si>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</si>
  <si>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</si>
  <si>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</si>
  <si>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</si>
  <si>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</si>
  <si>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</si>
  <si>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</si>
  <si>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</si>
  <si>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</si>
  <si>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</si>
  <si>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</si>
  <si>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</si>
  <si>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</si>
  <si>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</si>
  <si>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</si>
  <si>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</si>
  <si>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</si>
  <si>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</si>
  <si>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</si>
  <si>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</si>
  <si>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</si>
  <si>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</si>
  <si>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</si>
  <si>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</si>
  <si>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</si>
  <si>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</si>
  <si>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</si>
  <si>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</si>
  <si>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</si>
  <si>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</si>
  <si>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</si>
  <si>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</si>
  <si>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</si>
  <si>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</si>
  <si>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</si>
  <si>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</si>
  <si>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</si>
  <si>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</si>
  <si>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</si>
  <si>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</si>
  <si>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</si>
  <si>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</si>
  <si>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</si>
  <si>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</si>
  <si>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</si>
  <si>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</si>
  <si>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</si>
  <si>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</si>
  <si>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</si>
  <si>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</si>
  <si>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</si>
  <si>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</si>
  <si>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</si>
  <si>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</si>
  <si>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</si>
  <si>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</si>
  <si>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</si>
  <si>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</si>
  <si>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</si>
  <si>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</si>
  <si>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</si>
  <si>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</si>
  <si>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</si>
  <si>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</si>
  <si>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</si>
  <si>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</si>
  <si>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</si>
  <si>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</si>
  <si>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</si>
  <si>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</si>
  <si>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</si>
  <si>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</si>
  <si>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</si>
  <si>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</si>
  <si>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</si>
  <si>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</si>
  <si>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</si>
  <si>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</si>
  <si>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</si>
  <si>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</si>
  <si>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</si>
  <si>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</si>
  <si>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</si>
  <si>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</si>
  <si>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</si>
  <si>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</si>
  <si>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</si>
  <si>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</si>
  <si>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</si>
  <si>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</si>
  <si>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</si>
  <si>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</si>
  <si>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</si>
  <si>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</si>
  <si>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</si>
  <si>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</si>
  <si>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</si>
  <si>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</si>
  <si>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</si>
  <si>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</si>
  <si>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</si>
  <si>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</si>
  <si>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</si>
  <si>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</si>
  <si>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</si>
  <si>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</si>
  <si>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</si>
  <si>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</si>
  <si>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</si>
  <si>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</si>
  <si>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</si>
  <si>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</si>
  <si>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</si>
  <si>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</si>
  <si>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</si>
  <si>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</si>
  <si>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</si>
  <si>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</si>
  <si>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</si>
  <si>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</si>
  <si>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</si>
  <si>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</si>
  <si>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</si>
  <si>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</si>
  <si>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</si>
  <si>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</si>
  <si>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</si>
  <si>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</si>
  <si>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</si>
  <si>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</si>
  <si>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</si>
  <si>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</si>
  <si>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</si>
  <si>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</si>
  <si>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</si>
  <si>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</si>
  <si>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</si>
  <si>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</si>
  <si>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</si>
  <si>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</si>
  <si>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</si>
  <si>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</si>
  <si>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</si>
  <si>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</si>
  <si>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</si>
  <si>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</si>
  <si>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</si>
  <si>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</si>
  <si>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</si>
  <si>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</si>
  <si>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</si>
  <si>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</si>
  <si>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</si>
  <si>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</si>
  <si>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</si>
  <si>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</si>
  <si>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</si>
  <si>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</si>
  <si>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</si>
  <si>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</si>
  <si>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</si>
  <si>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</si>
  <si>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</si>
  <si>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</si>
  <si>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</si>
  <si>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</si>
  <si>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</si>
  <si>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</si>
  <si>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</si>
  <si>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</si>
  <si>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</si>
  <si>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</si>
  <si>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</si>
  <si>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</si>
  <si>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</si>
  <si>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</si>
  <si>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</si>
  <si>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</si>
  <si>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</si>
  <si>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挂牌</t>
  </si>
  <si>
    <t>较好</t>
  </si>
  <si>
    <t>七通</t>
  </si>
  <si>
    <t>单面临街</t>
  </si>
  <si>
    <t>较好</t>
    <rPh sb="0" eb="1">
      <t>yi ban</t>
    </rPh>
    <phoneticPr fontId="31" type="noConversion"/>
  </si>
  <si>
    <t>1层</t>
  </si>
  <si>
    <t>住宅配套</t>
  </si>
  <si>
    <t>钢混</t>
  </si>
  <si>
    <t>精装修</t>
  </si>
  <si>
    <t>五通</t>
  </si>
  <si>
    <t>标准层高</t>
  </si>
  <si>
    <t>较适宜</t>
  </si>
  <si>
    <t>普通装修</t>
  </si>
  <si>
    <t>核定资产</t>
  </si>
  <si>
    <t>房地产市场价值</t>
  </si>
  <si>
    <t>北京市</t>
  </si>
  <si>
    <t>企业</t>
  </si>
  <si>
    <t>划拨</t>
  </si>
  <si>
    <t>办公项目</t>
  </si>
  <si>
    <t>通路</t>
  </si>
  <si>
    <t>通电</t>
  </si>
  <si>
    <t>通讯</t>
  </si>
  <si>
    <t>通上水</t>
  </si>
  <si>
    <t>通下水</t>
  </si>
  <si>
    <t>地上</t>
  </si>
  <si>
    <t>是</t>
  </si>
  <si>
    <t>1层</t>
    <phoneticPr fontId="3" type="noConversion"/>
  </si>
  <si>
    <t>公共服务</t>
  </si>
  <si>
    <t>建成</t>
    <phoneticPr fontId="3" type="noConversion"/>
  </si>
  <si>
    <t>直线</t>
    <phoneticPr fontId="3" type="noConversion"/>
  </si>
  <si>
    <t>成新度</t>
  </si>
  <si>
    <t>利息：取LPR加浮动点数</t>
  </si>
  <si>
    <t>较好</t>
    <phoneticPr fontId="3" type="noConversion"/>
  </si>
  <si>
    <t>一般</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</si>
  <si>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</si>
  <si>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</si>
  <si>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</si>
  <si>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</si>
  <si>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</si>
  <si>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</si>
  <si>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</si>
  <si>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</si>
  <si>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</si>
  <si>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</si>
  <si>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</si>
  <si>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</si>
  <si>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</si>
  <si>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</si>
  <si>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</si>
  <si>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</si>
  <si>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</si>
  <si>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</si>
  <si>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</si>
  <si>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</si>
  <si>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</si>
  <si>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</si>
  <si>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</si>
  <si>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</si>
  <si>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</si>
  <si>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</si>
  <si>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</si>
  <si>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</si>
  <si>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</si>
  <si>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</si>
  <si>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</si>
  <si>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</si>
  <si>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</si>
  <si>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</si>
  <si>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</si>
  <si>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非标层高</t>
  </si>
  <si>
    <t>毛坯</t>
  </si>
  <si>
    <t>商务金融用地</t>
  </si>
  <si>
    <t>租金</t>
    <phoneticPr fontId="134" type="noConversion"/>
  </si>
  <si>
    <t>类型</t>
    <phoneticPr fontId="134" type="noConversion"/>
  </si>
  <si>
    <t>面积</t>
    <phoneticPr fontId="134" type="noConversion"/>
  </si>
  <si>
    <t>装修</t>
    <phoneticPr fontId="134" type="noConversion"/>
  </si>
  <si>
    <t>丽都水岸</t>
    <phoneticPr fontId="134" type="noConversion"/>
  </si>
  <si>
    <t>住宅配套</t>
    <phoneticPr fontId="134" type="noConversion"/>
  </si>
  <si>
    <t>普通装修</t>
    <phoneticPr fontId="134" type="noConversion"/>
  </si>
  <si>
    <t>住宅配套</t>
    <phoneticPr fontId="134" type="noConversion"/>
  </si>
  <si>
    <t>普通装修</t>
    <phoneticPr fontId="134" type="noConversion"/>
  </si>
  <si>
    <t>燕莎后</t>
    <phoneticPr fontId="134" type="noConversion"/>
  </si>
  <si>
    <t>面积</t>
    <phoneticPr fontId="134" type="noConversion"/>
  </si>
  <si>
    <t>时间</t>
    <phoneticPr fontId="134" type="noConversion"/>
  </si>
  <si>
    <t>金额</t>
    <phoneticPr fontId="134" type="noConversion"/>
  </si>
  <si>
    <t>装修</t>
    <phoneticPr fontId="134" type="noConversion"/>
  </si>
  <si>
    <t>阳光上东</t>
    <phoneticPr fontId="134" type="noConversion"/>
  </si>
  <si>
    <t>毛坯</t>
    <phoneticPr fontId="134" type="noConversion"/>
  </si>
  <si>
    <t>丽都壹号</t>
    <phoneticPr fontId="134" type="noConversion"/>
  </si>
  <si>
    <t>酒仙桥六街坊</t>
    <phoneticPr fontId="134" type="noConversion"/>
  </si>
  <si>
    <t>普通装修</t>
    <phoneticPr fontId="134" type="noConversion"/>
  </si>
  <si>
    <t>单套模式</t>
  </si>
  <si>
    <t>租金</t>
  </si>
  <si>
    <t>丽都壹号</t>
    <phoneticPr fontId="134" type="noConversion"/>
  </si>
  <si>
    <t>毛坯</t>
    <phoneticPr fontId="134" type="noConversion"/>
  </si>
  <si>
    <t>现房</t>
  </si>
  <si>
    <t>项目局部</t>
  </si>
  <si>
    <t>平整</t>
  </si>
  <si>
    <t>押一</t>
  </si>
  <si>
    <t>非生产用房</t>
  </si>
  <si>
    <t>收益法 (元)</t>
  </si>
  <si>
    <t>直接资本化</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</si>
</sst>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u/>
      <sz val="11"/>
      <color theme="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284" fillId="0" borderId="0" applyNumberFormat="0" applyFill="0" applyBorder="0" applyAlignment="0" applyProtection="0">
      <alignment vertical="center"/>
    </xf>
  </cellStyleXfs>
  <cellXfs count="39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6" fillId="0" borderId="0" xfId="10" applyNumberFormat="1" applyFont="1" applyFill="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pplyFill="1">
      <alignment vertical="center"/>
    </xf>
    <xf numFmtId="0" fontId="95" fillId="0" borderId="0" xfId="10" applyFont="1" applyFill="1">
      <alignment vertical="center"/>
    </xf>
    <xf numFmtId="0" fontId="284" fillId="0" borderId="0" xfId="53" applyFill="1">
      <alignment vertical="center"/>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54">
    <cellStyle name="百分比" xfId="17" builtinId="5"/>
    <cellStyle name="百分比 2" xfId="14"/>
    <cellStyle name="常规" xfId="0" builtinId="0"/>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超链接" xfId="53"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457200</xdr:colOff>
      <xdr:row>0</xdr:row>
      <xdr:rowOff>0</xdr:rowOff>
    </xdr:from>
    <xdr:to>
      <xdr:col>26</xdr:col>
      <xdr:colOff>75403</xdr:colOff>
      <xdr:row>35</xdr:row>
      <xdr:rowOff>46869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277600" y="0"/>
          <a:ext cx="6380953" cy="6047619"/>
        </a:xfrm>
        <a:prstGeom prst="rect">
          <a:avLst/>
        </a:prstGeom>
      </xdr:spPr>
    </xdr:pic>
    <xdr:clientData/>
  </xdr:twoCellAnchor>
  <xdr:twoCellAnchor editAs="oneCell">
    <xdr:from>
      <xdr:col>8</xdr:col>
      <xdr:colOff>553454</xdr:colOff>
      <xdr:row>0</xdr:row>
      <xdr:rowOff>0</xdr:rowOff>
    </xdr:from>
    <xdr:to>
      <xdr:col>16</xdr:col>
      <xdr:colOff>637381</xdr:colOff>
      <xdr:row>32</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5963654" y="0"/>
          <a:ext cx="5494127" cy="5543550"/>
        </a:xfrm>
        <a:prstGeom prst="rect">
          <a:avLst/>
        </a:prstGeom>
      </xdr:spPr>
    </xdr:pic>
    <xdr:clientData/>
  </xdr:twoCellAnchor>
  <xdr:twoCellAnchor editAs="oneCell">
    <xdr:from>
      <xdr:col>0</xdr:col>
      <xdr:colOff>0</xdr:colOff>
      <xdr:row>34</xdr:row>
      <xdr:rowOff>123825</xdr:rowOff>
    </xdr:from>
    <xdr:to>
      <xdr:col>10</xdr:col>
      <xdr:colOff>484870</xdr:colOff>
      <xdr:row>75</xdr:row>
      <xdr:rowOff>8661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953125"/>
          <a:ext cx="7247620" cy="6914286"/>
        </a:xfrm>
        <a:prstGeom prst="rect">
          <a:avLst/>
        </a:prstGeom>
      </xdr:spPr>
    </xdr:pic>
    <xdr:clientData/>
  </xdr:twoCellAnchor>
  <xdr:twoCellAnchor editAs="oneCell">
    <xdr:from>
      <xdr:col>0</xdr:col>
      <xdr:colOff>85725</xdr:colOff>
      <xdr:row>6</xdr:row>
      <xdr:rowOff>66675</xdr:rowOff>
    </xdr:from>
    <xdr:to>
      <xdr:col>4</xdr:col>
      <xdr:colOff>380625</xdr:colOff>
      <xdr:row>36</xdr:row>
      <xdr:rowOff>132699</xdr:rowOff>
    </xdr:to>
    <xdr:pic>
      <xdr:nvPicPr>
        <xdr:cNvPr id="5" name="图片 4"/>
        <xdr:cNvPicPr>
          <a:picLocks noChangeAspect="1"/>
        </xdr:cNvPicPr>
      </xdr:nvPicPr>
      <xdr:blipFill>
        <a:blip xmlns:r="http://schemas.openxmlformats.org/officeDocument/2006/relationships" r:embed="rId4"/>
        <a:stretch>
          <a:fillRect/>
        </a:stretch>
      </xdr:blipFill>
      <xdr:spPr>
        <a:xfrm>
          <a:off x="85725" y="1095375"/>
          <a:ext cx="3000000" cy="5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256805</xdr:colOff>
      <xdr:row>4</xdr:row>
      <xdr:rowOff>123746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2961905" cy="638096"/>
        </a:xfrm>
        <a:prstGeom prst="rect">
          <a:avLst/>
        </a:prstGeom>
      </xdr:spPr>
    </xdr:pic>
    <xdr:clientData/>
  </xdr:twoCellAnchor>
  <xdr:twoCellAnchor editAs="oneCell">
    <xdr:from>
      <xdr:col>0</xdr:col>
      <xdr:colOff>0</xdr:colOff>
      <xdr:row>5</xdr:row>
      <xdr:rowOff>119063</xdr:rowOff>
    </xdr:from>
    <xdr:to>
      <xdr:col>16</xdr:col>
      <xdr:colOff>203395</xdr:colOff>
      <xdr:row>11</xdr:row>
      <xdr:rowOff>114174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52501"/>
          <a:ext cx="11180958" cy="995236"/>
        </a:xfrm>
        <a:prstGeom prst="rect">
          <a:avLst/>
        </a:prstGeom>
      </xdr:spPr>
    </xdr:pic>
    <xdr:clientData/>
  </xdr:twoCellAnchor>
  <xdr:twoCellAnchor editAs="oneCell">
    <xdr:from>
      <xdr:col>0</xdr:col>
      <xdr:colOff>0</xdr:colOff>
      <xdr:row>11</xdr:row>
      <xdr:rowOff>0</xdr:rowOff>
    </xdr:from>
    <xdr:to>
      <xdr:col>16</xdr:col>
      <xdr:colOff>222443</xdr:colOff>
      <xdr:row>14</xdr:row>
      <xdr:rowOff>47556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85950"/>
          <a:ext cx="11166668" cy="561906"/>
        </a:xfrm>
        <a:prstGeom prst="rect">
          <a:avLst/>
        </a:prstGeom>
      </xdr:spPr>
    </xdr:pic>
    <xdr:clientData/>
  </xdr:twoCellAnchor>
  <xdr:twoCellAnchor editAs="oneCell">
    <xdr:from>
      <xdr:col>0</xdr:col>
      <xdr:colOff>0</xdr:colOff>
      <xdr:row>14</xdr:row>
      <xdr:rowOff>0</xdr:rowOff>
    </xdr:from>
    <xdr:to>
      <xdr:col>16</xdr:col>
      <xdr:colOff>270062</xdr:colOff>
      <xdr:row>17</xdr:row>
      <xdr:rowOff>66601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0300"/>
          <a:ext cx="11214287" cy="580951"/>
        </a:xfrm>
        <a:prstGeom prst="rect">
          <a:avLst/>
        </a:prstGeom>
      </xdr:spPr>
    </xdr:pic>
    <xdr:clientData/>
  </xdr:twoCellAnchor>
  <xdr:twoCellAnchor editAs="oneCell">
    <xdr:from>
      <xdr:col>0</xdr:col>
      <xdr:colOff>0</xdr:colOff>
      <xdr:row>18</xdr:row>
      <xdr:rowOff>0</xdr:rowOff>
    </xdr:from>
    <xdr:to>
      <xdr:col>16</xdr:col>
      <xdr:colOff>108157</xdr:colOff>
      <xdr:row>26</xdr:row>
      <xdr:rowOff>133162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086100"/>
          <a:ext cx="11052382" cy="1504762"/>
        </a:xfrm>
        <a:prstGeom prst="rect">
          <a:avLst/>
        </a:prstGeom>
      </xdr:spPr>
    </xdr:pic>
    <xdr:clientData/>
  </xdr:twoCellAnchor>
  <xdr:twoCellAnchor editAs="oneCell">
    <xdr:from>
      <xdr:col>0</xdr:col>
      <xdr:colOff>0</xdr:colOff>
      <xdr:row>27</xdr:row>
      <xdr:rowOff>0</xdr:rowOff>
    </xdr:from>
    <xdr:to>
      <xdr:col>3</xdr:col>
      <xdr:colOff>152128</xdr:colOff>
      <xdr:row>31</xdr:row>
      <xdr:rowOff>47533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629150"/>
          <a:ext cx="2180953" cy="733333"/>
        </a:xfrm>
        <a:prstGeom prst="rect">
          <a:avLst/>
        </a:prstGeom>
      </xdr:spPr>
    </xdr:pic>
    <xdr:clientData/>
  </xdr:twoCellAnchor>
  <xdr:twoCellAnchor editAs="oneCell">
    <xdr:from>
      <xdr:col>0</xdr:col>
      <xdr:colOff>0</xdr:colOff>
      <xdr:row>32</xdr:row>
      <xdr:rowOff>0</xdr:rowOff>
    </xdr:from>
    <xdr:to>
      <xdr:col>16</xdr:col>
      <xdr:colOff>70062</xdr:colOff>
      <xdr:row>53</xdr:row>
      <xdr:rowOff>104311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5486400"/>
          <a:ext cx="11014287" cy="3704761"/>
        </a:xfrm>
        <a:prstGeom prst="rect">
          <a:avLst/>
        </a:prstGeom>
      </xdr:spPr>
    </xdr:pic>
    <xdr:clientData/>
  </xdr:twoCellAnchor>
  <xdr:twoCellAnchor editAs="oneCell">
    <xdr:from>
      <xdr:col>0</xdr:col>
      <xdr:colOff>0</xdr:colOff>
      <xdr:row>55</xdr:row>
      <xdr:rowOff>0</xdr:rowOff>
    </xdr:from>
    <xdr:to>
      <xdr:col>10</xdr:col>
      <xdr:colOff>108665</xdr:colOff>
      <xdr:row>89</xdr:row>
      <xdr:rowOff>75462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429750"/>
          <a:ext cx="6995240" cy="5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cell r="G4">
            <v>150</v>
          </cell>
          <cell r="M4">
            <v>9.1</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估价对象为北京市房地产，为所有。根据《国有土地使用证》[]，估价对象（分摊）出让国有建设用地使用权面积为0平方米，建筑面积为359.87平方米。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估价对象为北京市房地产,属开发建设的办公项目，该项目尚在开发建设中。根据《国有土地使用证》[]，估价对象（分摊）出让国有建设用地使用权面积为0平方米，规划建筑面积为359.87平方米。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2023年4月7日（评估专业人员实地查勘之日）</v>
      </c>
    </row>
    <row r="13" spans="1:2" s="1203" customFormat="1">
      <c r="A13" s="1201" t="s">
        <v>529</v>
      </c>
      <c r="B13" s="1202" t="str">
        <f>'预评函-1'!A18</f>
        <v>本次估价的“房地产价值”是指在正常市场情况下，在价值时点2023年4月7日，估价对象规划用途为，土地取得方式为划拨，假定未设立法定优先受偿款下的房地产市场价值。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359.87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1554" t="s">
        <v>385</v>
      </c>
      <c r="C54" s="1551" t="s">
        <v>583</v>
      </c>
    </row>
    <row r="55" spans="1:4">
      <c r="A55" s="3589"/>
      <c r="B55" s="1554" t="s">
        <v>386</v>
      </c>
      <c r="C55" s="1551" t="s">
        <v>584</v>
      </c>
    </row>
    <row r="56" spans="1:4">
      <c r="A56" s="3589"/>
      <c r="B56" s="1554" t="s">
        <v>387</v>
      </c>
      <c r="C56" s="1551" t="s">
        <v>588</v>
      </c>
    </row>
    <row r="57" spans="1:4">
      <c r="A57" s="35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90" t="s">
        <v>2579</v>
      </c>
      <c r="J2" s="3590"/>
      <c r="K2" s="3590"/>
      <c r="L2" s="3590"/>
      <c r="M2" s="3590"/>
      <c r="N2" s="3590"/>
      <c r="O2" s="3590"/>
      <c r="P2" s="3590"/>
      <c r="Q2" s="3590"/>
      <c r="R2" s="3590"/>
    </row>
    <row r="3" spans="1:18">
      <c r="A3" s="3018" t="s">
        <v>2500</v>
      </c>
      <c r="B3" s="3019">
        <f>项目基本情况!D3</f>
        <v>45023</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3.7</v>
      </c>
      <c r="D5" s="3023">
        <f>IF(ISERROR(ROUND(POWER(1+E5,A5-C5)*(POWER(1+E5,C5)-1)/(POWER(1+E5,A5)-1),3)),0,ROUND(POWER(1+E5,A5-C5)*(POWER(1+E5,C5)-1)/(POWER(1+E5,A5)-1),4))</f>
        <v>0.1706</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13.71</v>
      </c>
      <c r="D6" s="3023">
        <f>IF(ISERROR(ROUND(POWER(1+E6,A6-C6)*(POWER(1+E6,C6)-1)/(POWER(1+E6,A6)-1),3)),0,ROUND(POWER(1+E6,A6-C6)*(POWER(1+E6,C6)-1)/(POWER(1+E6,A6)-1),4))</f>
        <v>0.48399999999999999</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33.72</v>
      </c>
      <c r="D7" s="3023">
        <f>IF(ISERROR(ROUND(POWER(1+E7,A7-C7)*(POWER(1+E7,C7)-1)/(POWER(1+E7,A7)-1),3)),0,ROUND(POWER(1+E7,A7-C7)*(POWER(1+E7,C7)-1)/(POWER(1+E7,A7)-1),4))</f>
        <v>0.78390000000000004</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38" sqref="F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99" t="str">
        <f>IF(B10="北京市","北京市",C10)&amp;F10&amp;IF(结果表!G1="在建","出让国有建设用地使用权及在建建筑物",IF(结果表!G1="土地","出让国有建设用地使用权",))&amp;B9&amp;"预评估"</f>
        <v>北京市房地产市场价值预评估</v>
      </c>
      <c r="C1" s="3600"/>
      <c r="D1" s="3600"/>
      <c r="E1" s="3600"/>
      <c r="F1" s="3600"/>
      <c r="G1" s="3600"/>
      <c r="H1" s="3600"/>
      <c r="I1" s="3601"/>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3528">
        <v>45023</v>
      </c>
      <c r="C3" s="2374" t="s">
        <v>2171</v>
      </c>
      <c r="D3" s="2373">
        <f>B3</f>
        <v>45023</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3514</v>
      </c>
      <c r="C8" s="2390"/>
      <c r="D8" s="3602" t="s">
        <v>2177</v>
      </c>
      <c r="E8" s="2391"/>
      <c r="F8" s="2392"/>
      <c r="G8" s="2661"/>
      <c r="H8" s="2661"/>
      <c r="I8" s="2661"/>
      <c r="J8" s="2439"/>
      <c r="K8" s="2612"/>
      <c r="L8" s="2611"/>
      <c r="M8" s="2611"/>
      <c r="N8" s="2439"/>
      <c r="O8" s="2450"/>
      <c r="P8" s="2439"/>
      <c r="Q8" s="2439"/>
      <c r="R8" s="2439"/>
    </row>
    <row r="9" spans="1:30" ht="13.5" thickBot="1">
      <c r="A9" s="2393" t="s">
        <v>2178</v>
      </c>
      <c r="B9" s="2394" t="s">
        <v>3515</v>
      </c>
      <c r="C9" s="2395"/>
      <c r="D9" s="3603"/>
      <c r="E9" s="2394"/>
      <c r="F9" s="2396"/>
      <c r="G9" s="2663"/>
      <c r="H9" s="2663"/>
      <c r="I9" s="2663"/>
      <c r="J9" s="2439"/>
      <c r="K9" s="2614"/>
      <c r="L9" s="2611"/>
      <c r="M9" s="2611"/>
      <c r="N9" s="2439"/>
      <c r="O9" s="2450"/>
      <c r="P9" s="2439"/>
      <c r="Q9" s="2439"/>
      <c r="R9" s="2439"/>
    </row>
    <row r="10" spans="1:30" ht="13.5" thickTop="1">
      <c r="A10" s="2397" t="s">
        <v>2179</v>
      </c>
      <c r="B10" s="2398" t="s">
        <v>3516</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3517</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2575</v>
      </c>
      <c r="J12" s="3060"/>
      <c r="K12" s="2611"/>
      <c r="L12" s="2611"/>
      <c r="M12" s="2439"/>
      <c r="N12" s="2450"/>
      <c r="O12" s="2439"/>
      <c r="P12" s="2439"/>
      <c r="Q12" s="2439"/>
      <c r="AD12" s="1745"/>
    </row>
    <row r="13" spans="1:30">
      <c r="A13" s="3421" t="s">
        <v>3518</v>
      </c>
      <c r="B13" s="2407" t="s">
        <v>2190</v>
      </c>
      <c r="C13" s="856"/>
      <c r="D13" s="856"/>
      <c r="E13" s="856"/>
      <c r="F13" s="856"/>
      <c r="G13" s="856"/>
      <c r="H13" s="856"/>
      <c r="I13" s="856"/>
      <c r="J13" s="3060"/>
      <c r="K13" s="2611"/>
      <c r="L13" s="2611"/>
      <c r="M13" s="2439"/>
      <c r="N13" s="2450"/>
      <c r="O13" s="2439"/>
      <c r="P13" s="2439"/>
      <c r="Q13" s="2439"/>
      <c r="AD13" s="1745"/>
    </row>
    <row r="14" spans="1:30">
      <c r="A14" s="1081"/>
      <c r="B14" s="2407" t="s">
        <v>2191</v>
      </c>
      <c r="C14" s="2408"/>
      <c r="D14" s="2408"/>
      <c r="E14" s="2408"/>
      <c r="F14" s="2408"/>
      <c r="G14" s="2408"/>
      <c r="H14" s="2408"/>
      <c r="I14" s="2408">
        <v>50</v>
      </c>
      <c r="J14" s="3061"/>
      <c r="K14" s="2611"/>
      <c r="L14" s="2611"/>
      <c r="M14" s="2439"/>
      <c r="N14" s="2450"/>
      <c r="O14" s="2439"/>
      <c r="P14" s="2439"/>
      <c r="Q14" s="2439"/>
      <c r="AD14" s="1745"/>
    </row>
    <row r="15" spans="1:30">
      <c r="A15" s="320"/>
      <c r="B15" s="2409" t="s">
        <v>2192</v>
      </c>
      <c r="C15" s="2410">
        <f>IF(A13="出让",IF(C13="","",ROUNDDOWN(MIN((C13-$D$3)/365,C14),2)),C14)</f>
        <v>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0</v>
      </c>
      <c r="I15" s="2410">
        <f>IF(A13="出让",IF(I13="","",ROUNDDOWN(MIN((I13-$D$3)/365,I14),2)),I14)</f>
        <v>50</v>
      </c>
      <c r="J15" s="3062"/>
      <c r="K15" s="2451"/>
      <c r="L15" s="2451"/>
      <c r="M15" s="2507"/>
      <c r="N15" s="2451"/>
      <c r="O15" s="2507"/>
      <c r="P15" s="2439"/>
      <c r="Q15" s="2439"/>
      <c r="AD15" s="1745"/>
    </row>
    <row r="16" spans="1:30">
      <c r="A16" s="2400" t="s">
        <v>2193</v>
      </c>
      <c r="B16" s="3609"/>
      <c r="C16" s="3610"/>
      <c r="D16" s="3611"/>
      <c r="E16" s="2413" t="s">
        <v>2194</v>
      </c>
      <c r="F16" s="3612"/>
      <c r="G16" s="3613"/>
      <c r="H16" s="3613"/>
      <c r="I16" s="3614"/>
      <c r="J16" s="2439"/>
      <c r="K16" s="2615"/>
      <c r="L16" s="2451"/>
      <c r="M16" s="2451"/>
      <c r="N16" s="2507"/>
      <c r="O16" s="2451"/>
      <c r="P16" s="2507"/>
      <c r="Q16" s="2439"/>
      <c r="R16" s="2439"/>
    </row>
    <row r="17" spans="1:28">
      <c r="A17" s="313" t="s">
        <v>2195</v>
      </c>
      <c r="B17" s="302" t="s">
        <v>2196</v>
      </c>
      <c r="C17" s="8">
        <f>'数据-汇总表'!E3</f>
        <v>359.87</v>
      </c>
      <c r="D17" s="2322" t="s">
        <v>2197</v>
      </c>
      <c r="E17" s="3615" t="s">
        <v>2198</v>
      </c>
      <c r="F17" s="3616"/>
      <c r="G17" s="3616"/>
      <c r="H17" s="3616"/>
      <c r="I17" s="3617"/>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618" t="s">
        <v>2202</v>
      </c>
      <c r="F18" s="3619"/>
      <c r="G18" s="3619"/>
      <c r="H18" s="3619"/>
      <c r="I18" s="3620"/>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605" t="s">
        <v>2206</v>
      </c>
      <c r="C20" s="3606"/>
      <c r="D20" s="3607" t="s">
        <v>2207</v>
      </c>
      <c r="E20" s="3608"/>
      <c r="F20" s="2645" t="s">
        <v>1056</v>
      </c>
      <c r="G20" s="2662"/>
      <c r="H20" s="2662"/>
      <c r="I20" s="2662"/>
      <c r="J20" s="2439"/>
      <c r="K20" s="36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6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6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92" t="s">
        <v>2214</v>
      </c>
      <c r="B27" s="320" t="s">
        <v>2215</v>
      </c>
      <c r="C27" s="2416" t="s">
        <v>3519</v>
      </c>
      <c r="D27" s="2417"/>
      <c r="E27" s="2662"/>
      <c r="F27" s="2662"/>
      <c r="G27" s="2662"/>
      <c r="H27" s="2662"/>
      <c r="I27" s="2662"/>
      <c r="J27" s="2439"/>
      <c r="K27" s="2615"/>
      <c r="L27" s="2451"/>
      <c r="M27" s="2451"/>
      <c r="N27" s="2507"/>
      <c r="O27" s="2451"/>
      <c r="P27" s="2507"/>
      <c r="Q27" s="2439"/>
      <c r="R27" s="2439"/>
      <c r="S27" s="2439"/>
      <c r="T27" s="2439"/>
      <c r="U27" s="2439"/>
      <c r="V27" s="2439"/>
    </row>
    <row r="28" spans="1:28">
      <c r="A28" s="3592"/>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92"/>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93"/>
      <c r="B30" s="302" t="s">
        <v>2218</v>
      </c>
      <c r="C30" s="3594"/>
      <c r="D30" s="3595"/>
      <c r="E30" s="2662"/>
      <c r="F30" s="2662"/>
      <c r="G30" s="2662"/>
      <c r="H30" s="2662"/>
      <c r="I30" s="2662"/>
      <c r="J30" s="2439"/>
      <c r="K30" s="2614"/>
      <c r="L30" s="2611"/>
      <c r="M30" s="2611"/>
      <c r="N30" s="2439"/>
      <c r="O30" s="2450"/>
      <c r="P30" s="2439"/>
      <c r="Q30" s="2439"/>
      <c r="R30" s="2439"/>
      <c r="S30" s="2439"/>
      <c r="T30" s="2439"/>
      <c r="U30" s="2439"/>
      <c r="V30" s="2439"/>
    </row>
    <row r="31" spans="1:28">
      <c r="A31" s="3596"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97"/>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97"/>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t="s">
        <v>3520</v>
      </c>
      <c r="C34" s="2026" t="s">
        <v>3521</v>
      </c>
      <c r="D34" s="2026" t="s">
        <v>3522</v>
      </c>
      <c r="E34" s="2026" t="s">
        <v>3523</v>
      </c>
      <c r="F34" s="2026" t="s">
        <v>3524</v>
      </c>
      <c r="G34" s="2026"/>
      <c r="H34" s="2026"/>
      <c r="I34" s="2662"/>
      <c r="J34" s="2439"/>
      <c r="K34" s="2427">
        <f>COUNTIF(B34:H34,"——")</f>
        <v>0</v>
      </c>
      <c r="L34" s="323" t="s">
        <v>2221</v>
      </c>
      <c r="M34" s="323" t="s">
        <v>2222</v>
      </c>
      <c r="N34" s="323" t="s">
        <v>2223</v>
      </c>
      <c r="O34" s="323" t="s">
        <v>2224</v>
      </c>
      <c r="P34" s="323" t="s">
        <v>2225</v>
      </c>
      <c r="Q34" s="323" t="s">
        <v>2226</v>
      </c>
      <c r="R34" s="323" t="s">
        <v>2227</v>
      </c>
      <c r="S34" s="3591" t="s">
        <v>2228</v>
      </c>
      <c r="T34" s="2428" t="str">
        <f>NUMBERSTRING(7-K34,1)&amp;"通"</f>
        <v>七通</v>
      </c>
      <c r="U34" s="2439"/>
      <c r="V34" s="2439"/>
    </row>
    <row r="35" spans="1:30">
      <c r="A35" s="2429"/>
      <c r="B35" s="3598" t="s">
        <v>2229</v>
      </c>
      <c r="C35" s="3598"/>
      <c r="D35" s="3598"/>
      <c r="E35" s="3598"/>
      <c r="F35" s="664">
        <f>C10</f>
        <v>0</v>
      </c>
      <c r="G35" s="2662"/>
      <c r="H35" s="2662"/>
      <c r="I35" s="2662"/>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91"/>
      <c r="T35" s="329" t="str">
        <f>IF(T34="一通",L35,IF(T34="二通",M35,IF(T34="三通",N35,IF(T34="四通",O35,IF(T34="五通",P35,IF(T34="六通",Q35,R35))))))</f>
        <v>通路、通电、通讯、通上水、通下水、、</v>
      </c>
      <c r="U35" s="2439"/>
      <c r="V35" s="2439"/>
    </row>
    <row r="36" spans="1:30">
      <c r="A36" s="2430"/>
      <c r="B36" s="664" t="s">
        <v>2185</v>
      </c>
      <c r="C36" s="664" t="s">
        <v>2186</v>
      </c>
      <c r="D36" s="664" t="s">
        <v>2184</v>
      </c>
      <c r="E36" s="664" t="s">
        <v>2189</v>
      </c>
      <c r="F36" s="3063" t="s">
        <v>2578</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t="s">
        <v>303</v>
      </c>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t="s">
        <v>2954</v>
      </c>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359.87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359.87</v>
      </c>
      <c r="H5" s="13">
        <f t="shared" ref="H5:AT5" si="0">SUM(H13:H656)</f>
        <v>359.87</v>
      </c>
      <c r="I5" s="13">
        <f t="shared" si="0"/>
        <v>359.87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359.87</v>
      </c>
      <c r="BA5" s="15">
        <f t="shared" si="1"/>
        <v>359.87</v>
      </c>
      <c r="BB5" s="15">
        <f t="shared" si="1"/>
        <v>359.87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3525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3526</v>
      </c>
      <c r="E13" s="13">
        <f>IF($C$3="是",ROUND($A$3*G13/$B$3,2),ROUND($A$3*(G13-AT13)/$B$3,2))</f>
        <v>0</v>
      </c>
      <c r="F13" s="29"/>
      <c r="G13" s="30">
        <f>H13+AC13+AT13</f>
        <v>359.87</v>
      </c>
      <c r="H13" s="17">
        <f>SUMIF(I$12:AB$12,"总值",I13:AB13)</f>
        <v>359.87</v>
      </c>
      <c r="I13" s="1626">
        <f>180.08+179.79</f>
        <v>359.87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359.87</v>
      </c>
      <c r="BA13" s="13">
        <f>SUM(BB13:BK13)</f>
        <v>359.87</v>
      </c>
      <c r="BB13" s="13">
        <f>IF($D13="是",I13-J13,0)</f>
        <v>359.87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30" t="s">
        <v>1131</v>
      </c>
      <c r="B2" s="3630"/>
      <c r="C2" s="3630"/>
      <c r="D2" s="796" t="s">
        <v>1107</v>
      </c>
      <c r="E2" s="1639" t="s">
        <v>1108</v>
      </c>
      <c r="F2" s="2657"/>
      <c r="G2" s="2648"/>
      <c r="H2" s="2649"/>
      <c r="I2" s="2325" t="s">
        <v>1132</v>
      </c>
      <c r="J2" s="2657"/>
      <c r="K2" s="2657"/>
      <c r="L2" s="2657"/>
      <c r="M2" s="2657"/>
      <c r="N2" s="2659"/>
      <c r="O2" s="2657"/>
      <c r="P2" s="2657"/>
    </row>
    <row r="3" spans="1:16" ht="15.75" thickBot="1">
      <c r="A3" s="3631" t="s">
        <v>1105</v>
      </c>
      <c r="B3" s="3631"/>
      <c r="C3" s="3631"/>
      <c r="D3" s="43">
        <f>'数据-基础表'!AY6</f>
        <v>0</v>
      </c>
      <c r="E3" s="43">
        <f>'数据-基础表'!AZ5</f>
        <v>359.87</v>
      </c>
      <c r="F3" s="2657"/>
      <c r="G3" s="1145"/>
      <c r="H3" s="1026" t="s">
        <v>1106</v>
      </c>
      <c r="I3" s="855" t="e">
        <f>ROUND('数据-基础表'!B3/'数据-基础表'!A3,2)</f>
        <v>#DIV/0!</v>
      </c>
      <c r="J3" s="2657"/>
      <c r="K3" s="2657"/>
      <c r="L3" s="2657"/>
      <c r="M3" s="2657"/>
      <c r="N3" s="2659"/>
      <c r="O3" s="2657"/>
      <c r="P3" s="2657"/>
    </row>
    <row r="4" spans="1:16" ht="15">
      <c r="A4" s="3632"/>
      <c r="B4" s="3633"/>
      <c r="C4" s="363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635" t="s">
        <v>1110</v>
      </c>
      <c r="C5" s="3635"/>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635" t="s">
        <v>1111</v>
      </c>
      <c r="C6" s="3635"/>
      <c r="D6" s="45">
        <f>ROUND($D$3*E6/$E$3,2)</f>
        <v>0</v>
      </c>
      <c r="E6" s="46">
        <f>E3-E5</f>
        <v>359.87</v>
      </c>
      <c r="F6" s="2657"/>
      <c r="G6" s="2651" t="s">
        <v>1112</v>
      </c>
      <c r="H6" s="1146" t="s">
        <v>1113</v>
      </c>
      <c r="I6" s="2652" t="e">
        <f>ROUND(F31/D31,2)</f>
        <v>#DIV/0!</v>
      </c>
      <c r="J6" s="2657"/>
      <c r="K6" s="2657"/>
      <c r="L6" s="2657"/>
      <c r="M6" s="2657"/>
      <c r="N6" s="2657"/>
      <c r="O6" s="2657"/>
      <c r="P6" s="2657"/>
    </row>
    <row r="7" spans="1:16" ht="15.75" thickBot="1">
      <c r="A7" s="3627"/>
      <c r="B7" s="3628"/>
      <c r="C7" s="3629"/>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359.87</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359.87</v>
      </c>
      <c r="F16" s="2657"/>
      <c r="G16" s="2658"/>
      <c r="H16" s="1648" t="s">
        <v>1135</v>
      </c>
      <c r="I16" s="1649"/>
      <c r="J16" s="1139"/>
      <c r="K16" s="3624" t="s">
        <v>1135</v>
      </c>
      <c r="L16" s="3625"/>
      <c r="M16" s="3625"/>
      <c r="N16" s="3625"/>
      <c r="O16" s="3625"/>
      <c r="P16" s="3626"/>
    </row>
    <row r="17" spans="1:19" ht="15">
      <c r="A17" s="1650" t="s">
        <v>1136</v>
      </c>
      <c r="B17" s="1651" t="s">
        <v>1137</v>
      </c>
      <c r="C17" s="1652" t="s">
        <v>1138</v>
      </c>
      <c r="D17" s="1653" t="s">
        <v>1126</v>
      </c>
      <c r="E17" s="1654" t="s">
        <v>1127</v>
      </c>
      <c r="F17" s="1655"/>
      <c r="G17" s="1656"/>
      <c r="H17" s="1657" t="s">
        <v>1139</v>
      </c>
      <c r="I17" s="1658" t="s">
        <v>1124</v>
      </c>
      <c r="J17" s="1139"/>
      <c r="K17" s="3621" t="s">
        <v>1140</v>
      </c>
      <c r="L17" s="3622"/>
      <c r="M17" s="3623"/>
      <c r="N17" s="3621" t="s">
        <v>1141</v>
      </c>
      <c r="O17" s="3622"/>
      <c r="P17" s="36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3527</v>
      </c>
      <c r="D19" s="45">
        <f>ROUND($D$3*E19/$E$3,2)</f>
        <v>0</v>
      </c>
      <c r="E19" s="53">
        <f t="shared" ref="E19:E26" si="1">SUM(F19:G19)</f>
        <v>359.87</v>
      </c>
      <c r="F19" s="2793">
        <f>'数据-基础表'!I5</f>
        <v>359.87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359.87</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359.87</v>
      </c>
      <c r="F27" s="1140">
        <f>IF(SUM(F19:F26)=E8,SUM(F19:F26),"地上面积有误")</f>
        <v>359.87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359.87</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359.87</v>
      </c>
      <c r="F31" s="677">
        <f>F27+F30</f>
        <v>359.87</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30" sqref="J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3531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3528</v>
      </c>
      <c r="D6" s="858">
        <f>SUMIF(项目基本情况!C$12:I$12,C6,项目基本情况!C$14:I$14)</f>
        <v>50</v>
      </c>
      <c r="E6" s="857">
        <f>IF(B6="","",SUMIF(项目基本情况!C$12:I$12,C6,项目基本情况!C$13:I$13))</f>
        <v>0</v>
      </c>
      <c r="F6" s="64">
        <f>SUMIF(项目基本情况!C$12:I$12,C6,项目基本情况!C$15:I$15)</f>
        <v>50</v>
      </c>
      <c r="G6" s="65">
        <f>IF(ISERROR(ROUND(POWER(1+H6,D6-F6)*(POWER(1+H6,F6)-1)/(POWER(1+H6,D6)-1),3)),0,ROUND(POWER(1+H6,D6-F6)*(POWER(1+H6,F6)-1)/(POWER(1+H6,D6)-1),3))</f>
        <v>1</v>
      </c>
      <c r="H6" s="732">
        <v>0.04</v>
      </c>
      <c r="I6" s="732">
        <v>0.14000000000000001</v>
      </c>
      <c r="J6" s="66">
        <v>0.14000000000000001</v>
      </c>
      <c r="K6" s="1030">
        <f>SUMIF('数据-汇总表'!C$19:C$33,A6,'数据-汇总表'!E$19:E$33)</f>
        <v>359.87</v>
      </c>
      <c r="L6" s="733">
        <v>5000</v>
      </c>
      <c r="M6" s="67">
        <f t="shared" ref="M6:M14" si="0">ROUND(K6*L6/10000,0)</f>
        <v>180</v>
      </c>
      <c r="N6" s="731">
        <f>N18</f>
        <v>0.97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v>9.5</v>
      </c>
      <c r="V6" s="70">
        <v>0.03</v>
      </c>
      <c r="W6" s="70">
        <v>0.1</v>
      </c>
      <c r="X6" s="1040"/>
      <c r="Y6" s="71">
        <f>N6</f>
        <v>0.97</v>
      </c>
      <c r="Z6" s="72"/>
      <c r="AA6" s="66"/>
      <c r="AB6" s="66"/>
      <c r="AC6" s="1040"/>
      <c r="AD6" s="73"/>
      <c r="AE6" s="1041">
        <f ca="1">IF(AN6="",0,SUMIF(INDIRECT("'"&amp;AN6&amp;"'"&amp;"!E:E"),$AE$5,INDIRECT("'"&amp;AN6&amp;"'"&amp;"!F:F")))</f>
        <v>50</v>
      </c>
      <c r="AF6" s="1348"/>
      <c r="AG6" s="138">
        <f>IF(AF6="",0,AE6-AF6)</f>
        <v>0</v>
      </c>
      <c r="AH6" s="74"/>
      <c r="AI6" s="76">
        <v>365</v>
      </c>
      <c r="AJ6" s="77"/>
      <c r="AK6" s="78">
        <v>1.4999999999999999E-2</v>
      </c>
      <c r="AL6" s="79">
        <v>1.5E-3</v>
      </c>
      <c r="AM6" s="80">
        <v>0.01</v>
      </c>
      <c r="AN6" s="1715" t="s">
        <v>3601</v>
      </c>
      <c r="AO6" s="52">
        <f ca="1">SUMIF(INDIRECT("'"&amp;AN6&amp;"'"&amp;"!A:A"),"总价",INDIRECT("'"&amp;AN6&amp;"'"&amp;"!B:B"))</f>
        <v>797.40539999999999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0.04</v>
      </c>
      <c r="I16" s="91"/>
      <c r="J16" s="91"/>
      <c r="K16" s="92">
        <f>SUM(K6:K15)</f>
        <v>359.87</v>
      </c>
      <c r="L16" s="93">
        <f>ROUND(M16*10000/SUM(K6:K14),0)</f>
        <v>5002</v>
      </c>
      <c r="M16" s="93">
        <f>SUM(M6:M14)</f>
        <v>180</v>
      </c>
      <c r="N16" s="94">
        <f>ROUND(SUMPRODUCT(M6:M14,N6:N14)/M16,3)</f>
        <v>0.97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529" t="s">
        <v>3529</v>
      </c>
      <c r="N17" s="2669">
        <v>2021</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529" t="s">
        <v>3530</v>
      </c>
      <c r="N18" s="2669">
        <f>ROUND(1-(2023-N17)/60,2)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7.1974</v>
      </c>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3532</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636" t="s">
        <v>2282</v>
      </c>
      <c r="B1" s="3637"/>
      <c r="C1" s="3637"/>
      <c r="D1" s="3637"/>
      <c r="E1" s="3637"/>
      <c r="F1" s="3637"/>
      <c r="G1" s="36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530" t="s">
        <v>3533</v>
      </c>
      <c r="D3" s="2464"/>
      <c r="E3" s="2442" t="s">
        <v>2280</v>
      </c>
      <c r="F3" s="2465" t="s">
        <v>2253</v>
      </c>
      <c r="G3" s="2466" t="s">
        <v>2281</v>
      </c>
      <c r="H3" s="799"/>
      <c r="I3" s="799"/>
      <c r="J3" s="799"/>
      <c r="K3" s="799"/>
      <c r="L3" s="799"/>
      <c r="M3" s="799"/>
      <c r="N3" s="799"/>
      <c r="O3" s="799"/>
      <c r="P3" s="799"/>
      <c r="Q3" s="799"/>
      <c r="R3" s="799"/>
    </row>
    <row r="4" spans="1:29" ht="36">
      <c r="A4" s="2442"/>
      <c r="B4" s="323" t="s">
        <v>2254</v>
      </c>
      <c r="C4" s="3531" t="s">
        <v>3534</v>
      </c>
      <c r="D4" s="2464"/>
      <c r="E4" s="2467"/>
      <c r="F4" s="1373" t="s">
        <v>2255</v>
      </c>
      <c r="G4" s="2468" t="s">
        <v>2256</v>
      </c>
      <c r="H4" s="799"/>
      <c r="I4" s="799"/>
      <c r="J4" s="799"/>
      <c r="K4" s="799"/>
      <c r="L4" s="799"/>
      <c r="M4" s="799"/>
      <c r="N4" s="799"/>
      <c r="O4" s="799"/>
      <c r="P4" s="799"/>
      <c r="Q4" s="799"/>
      <c r="R4" s="799"/>
    </row>
    <row r="5" spans="1:29" ht="24">
      <c r="A5" s="2442"/>
      <c r="B5" s="323" t="s">
        <v>2257</v>
      </c>
      <c r="C5" s="3531" t="s">
        <v>3535</v>
      </c>
      <c r="D5" s="2464"/>
      <c r="E5" s="2467"/>
      <c r="F5" s="323" t="s">
        <v>2258</v>
      </c>
      <c r="G5" s="2468" t="s">
        <v>2259</v>
      </c>
      <c r="H5" s="799"/>
      <c r="I5" s="799"/>
      <c r="J5" s="799"/>
      <c r="K5" s="799"/>
      <c r="L5" s="799"/>
      <c r="M5" s="799"/>
      <c r="N5" s="799"/>
      <c r="O5" s="799"/>
      <c r="P5" s="799"/>
      <c r="Q5" s="799"/>
      <c r="R5" s="799"/>
    </row>
    <row r="6" spans="1:29">
      <c r="A6" s="2442"/>
      <c r="B6" s="323" t="s">
        <v>2260</v>
      </c>
      <c r="C6" s="3532" t="s">
        <v>3535</v>
      </c>
      <c r="D6" s="2464"/>
      <c r="E6" s="2467"/>
      <c r="F6" s="323" t="s">
        <v>2261</v>
      </c>
      <c r="G6" s="2468" t="s">
        <v>2262</v>
      </c>
      <c r="H6" s="799"/>
      <c r="I6" s="799"/>
      <c r="J6" s="799"/>
      <c r="K6" s="799"/>
      <c r="L6" s="799"/>
      <c r="M6" s="799"/>
      <c r="N6" s="799"/>
      <c r="O6" s="799"/>
      <c r="P6" s="799"/>
      <c r="Q6" s="799"/>
      <c r="R6" s="799"/>
    </row>
    <row r="7" spans="1:29" ht="24.75" thickBot="1">
      <c r="A7" s="2442"/>
      <c r="B7" s="323" t="s">
        <v>2258</v>
      </c>
      <c r="C7" s="3532" t="s">
        <v>3535</v>
      </c>
      <c r="D7" s="2469"/>
      <c r="E7" s="2470"/>
      <c r="F7" s="2471" t="s">
        <v>2263</v>
      </c>
      <c r="G7" s="2472" t="s">
        <v>2264</v>
      </c>
      <c r="H7" s="799"/>
      <c r="I7" s="799"/>
      <c r="J7" s="799"/>
      <c r="K7" s="799"/>
      <c r="L7" s="799"/>
      <c r="M7" s="799"/>
      <c r="N7" s="799"/>
      <c r="O7" s="799"/>
      <c r="P7" s="799"/>
      <c r="Q7" s="799"/>
      <c r="R7" s="799"/>
    </row>
    <row r="8" spans="1:29">
      <c r="A8" s="2442"/>
      <c r="B8" s="323" t="s">
        <v>2261</v>
      </c>
      <c r="C8" s="3532" t="s">
        <v>3536</v>
      </c>
      <c r="D8" s="2469"/>
      <c r="E8" s="2469"/>
      <c r="F8" s="2473"/>
      <c r="G8" s="2473"/>
      <c r="H8" s="799"/>
      <c r="I8" s="799"/>
      <c r="J8" s="799"/>
      <c r="K8" s="799"/>
      <c r="L8" s="799"/>
      <c r="M8" s="799"/>
      <c r="N8" s="799"/>
      <c r="O8" s="799"/>
      <c r="P8" s="799"/>
      <c r="Q8" s="799"/>
      <c r="R8" s="799"/>
    </row>
    <row r="9" spans="1:29">
      <c r="A9" s="2442"/>
      <c r="B9" s="323" t="s">
        <v>2265</v>
      </c>
      <c r="C9" s="3531" t="s">
        <v>3535</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一般</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8" sqref="D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359.87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45023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1033</v>
      </c>
      <c r="C5" s="2510">
        <f ca="1">IF(B5=D14,结果表!H102,ROUND(B5*10000/$B$1,0))</f>
        <v>0</v>
      </c>
      <c r="D5" s="2510" t="e">
        <f ca="1">ROUND(B5*10000/$B$2,0)</f>
        <v>#DIV/0!</v>
      </c>
      <c r="E5" s="2684"/>
      <c r="F5" s="2685"/>
      <c r="G5" s="2685"/>
      <c r="H5" s="2686"/>
      <c r="I5" s="2686"/>
      <c r="J5" s="2686"/>
      <c r="K5" s="2686"/>
    </row>
    <row r="6" spans="1:11" ht="16.5">
      <c r="A6" s="2510" t="s">
        <v>656</v>
      </c>
      <c r="B6" s="2510">
        <f ca="1">SUM(G14:G23)</f>
        <v>1033</v>
      </c>
      <c r="C6" s="2510">
        <f ca="1">IF(B6=G14,结果表!H108,ROUND(B6*10000/$B$1,0))</f>
        <v>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 ca="1">IF(E10="",0,ROUND(B1*(E10*365/G10)/10000,0))</f>
        <v>1033</v>
      </c>
      <c r="C10" s="2510" t="s">
        <v>3358</v>
      </c>
      <c r="D10" s="2510" t="s">
        <v>3359</v>
      </c>
      <c r="E10" s="3439">
        <f ca="1">'收益法倒推-商业'!D38</f>
        <v>8.26</v>
      </c>
      <c r="F10" s="3442" t="s">
        <v>3360</v>
      </c>
      <c r="G10" s="3548">
        <v>0.105</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359.87</v>
      </c>
      <c r="C14" s="2516"/>
      <c r="D14" s="2516">
        <f ca="1">B10</f>
        <v>1033</v>
      </c>
      <c r="E14" s="2516">
        <f ca="1">ROUND(D14*10000/B14,0)</f>
        <v>28705</v>
      </c>
      <c r="F14" s="2516" t="e">
        <f ca="1">ROUND(D14*10000/C14,0)</f>
        <v>#DIV/0!</v>
      </c>
      <c r="G14" s="2516">
        <f ca="1">D14</f>
        <v>1033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42" sqref="K4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3506</v>
      </c>
      <c r="D1" s="1747"/>
      <c r="E1" s="1747"/>
      <c r="F1" s="1749" t="s">
        <v>1263</v>
      </c>
      <c r="G1" s="1561" t="s">
        <v>3596</v>
      </c>
      <c r="H1" s="1750" t="str">
        <f>IF(G1="现房","——","估价对象范围")</f>
        <v>——</v>
      </c>
      <c r="I1" s="1751" t="s">
        <v>3597</v>
      </c>
    </row>
    <row r="2" spans="1:12" ht="21.75" customHeight="1" thickBot="1">
      <c r="A2" s="3672" t="str">
        <f>项目基本情况!S2</f>
        <v>北京市房地产</v>
      </c>
      <c r="B2" s="3673"/>
      <c r="C2" s="3673"/>
      <c r="D2" s="3673"/>
      <c r="E2" s="3673"/>
      <c r="F2" s="3673"/>
      <c r="G2" s="3673"/>
      <c r="H2" s="3673"/>
      <c r="I2" s="3674"/>
    </row>
    <row r="3" spans="1:12" ht="12.75">
      <c r="A3" s="3676" t="s">
        <v>1264</v>
      </c>
      <c r="B3" s="3677"/>
      <c r="C3" s="3677"/>
      <c r="D3" s="3677"/>
      <c r="E3" s="3677"/>
      <c r="F3" s="3677"/>
      <c r="G3" s="3677"/>
      <c r="H3" s="3677"/>
      <c r="I3" s="3677"/>
    </row>
    <row r="4" spans="1:12" ht="14.25">
      <c r="A4" s="1754" t="s">
        <v>1265</v>
      </c>
      <c r="B4" s="1755" t="s">
        <v>1266</v>
      </c>
      <c r="C4" s="1756"/>
      <c r="D4" s="1756"/>
      <c r="E4" s="3678" t="s">
        <v>1267</v>
      </c>
      <c r="F4" s="3679"/>
      <c r="G4" s="3679"/>
      <c r="H4" s="3679"/>
      <c r="I4" s="368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2" t="s">
        <v>1268</v>
      </c>
      <c r="B5" s="3639">
        <v>25</v>
      </c>
      <c r="C5" s="3655"/>
      <c r="D5" s="3675"/>
      <c r="E5" s="131" t="s">
        <v>1269</v>
      </c>
      <c r="F5" s="1757"/>
      <c r="G5" s="1757"/>
      <c r="H5" s="1757"/>
      <c r="I5" s="1373"/>
    </row>
    <row r="6" spans="1:12" ht="12.75">
      <c r="A6" s="3652"/>
      <c r="B6" s="3639"/>
      <c r="C6" s="3656"/>
      <c r="D6" s="3675"/>
      <c r="E6" s="131" t="s">
        <v>1270</v>
      </c>
      <c r="F6" s="1757"/>
      <c r="G6" s="1757"/>
      <c r="H6" s="1757"/>
      <c r="I6" s="1373"/>
    </row>
    <row r="7" spans="1:12" ht="12.75">
      <c r="A7" s="3652"/>
      <c r="B7" s="3639"/>
      <c r="C7" s="3657"/>
      <c r="D7" s="3675"/>
      <c r="E7" s="131" t="s">
        <v>1271</v>
      </c>
      <c r="F7" s="1757"/>
      <c r="G7" s="1757"/>
      <c r="H7" s="1757"/>
      <c r="I7" s="1373"/>
    </row>
    <row r="8" spans="1:12" ht="12.75">
      <c r="A8" s="3652" t="s">
        <v>1272</v>
      </c>
      <c r="B8" s="3639">
        <v>15</v>
      </c>
      <c r="C8" s="3655"/>
      <c r="D8" s="3675"/>
      <c r="E8" s="131" t="s">
        <v>1273</v>
      </c>
      <c r="F8" s="1757"/>
      <c r="G8" s="1757"/>
      <c r="H8" s="1757"/>
      <c r="I8" s="1373"/>
    </row>
    <row r="9" spans="1:12" ht="12.75">
      <c r="A9" s="3652"/>
      <c r="B9" s="3639"/>
      <c r="C9" s="3657"/>
      <c r="D9" s="3675"/>
      <c r="E9" s="131" t="s">
        <v>1274</v>
      </c>
      <c r="F9" s="1757"/>
      <c r="G9" s="1757"/>
      <c r="H9" s="1757"/>
      <c r="I9" s="1373"/>
    </row>
    <row r="10" spans="1:12" ht="12.75">
      <c r="A10" s="3652" t="s">
        <v>1275</v>
      </c>
      <c r="B10" s="3639">
        <v>15</v>
      </c>
      <c r="C10" s="3655"/>
      <c r="D10" s="3675"/>
      <c r="E10" s="131" t="s">
        <v>1276</v>
      </c>
      <c r="F10" s="1757"/>
      <c r="G10" s="1757"/>
      <c r="H10" s="1757"/>
      <c r="I10" s="1373"/>
    </row>
    <row r="11" spans="1:12" ht="12.75">
      <c r="A11" s="3652"/>
      <c r="B11" s="3639"/>
      <c r="C11" s="3657"/>
      <c r="D11" s="3675"/>
      <c r="E11" s="131" t="s">
        <v>1277</v>
      </c>
      <c r="F11" s="1757"/>
      <c r="G11" s="1757"/>
      <c r="H11" s="1757"/>
      <c r="I11" s="1373"/>
    </row>
    <row r="12" spans="1:12" ht="12.75">
      <c r="A12" s="3652" t="s">
        <v>1278</v>
      </c>
      <c r="B12" s="3639">
        <v>15</v>
      </c>
      <c r="C12" s="3655"/>
      <c r="D12" s="3675"/>
      <c r="E12" s="131" t="s">
        <v>1279</v>
      </c>
      <c r="F12" s="1757"/>
      <c r="G12" s="1757"/>
      <c r="H12" s="1757"/>
      <c r="I12" s="1373"/>
    </row>
    <row r="13" spans="1:12" ht="12.75">
      <c r="A13" s="3652"/>
      <c r="B13" s="3639"/>
      <c r="C13" s="3657"/>
      <c r="D13" s="3675"/>
      <c r="E13" s="131" t="s">
        <v>1280</v>
      </c>
      <c r="F13" s="1757"/>
      <c r="G13" s="1757"/>
      <c r="H13" s="1757"/>
      <c r="I13" s="1373"/>
    </row>
    <row r="14" spans="1:12" ht="12.75">
      <c r="A14" s="3652" t="s">
        <v>1281</v>
      </c>
      <c r="B14" s="3639">
        <v>30</v>
      </c>
      <c r="C14" s="3655"/>
      <c r="D14" s="3675"/>
      <c r="E14" s="131" t="s">
        <v>1282</v>
      </c>
      <c r="F14" s="1757"/>
      <c r="G14" s="1757"/>
      <c r="H14" s="1757"/>
      <c r="I14" s="1373"/>
    </row>
    <row r="15" spans="1:12" ht="12.75">
      <c r="A15" s="3652"/>
      <c r="B15" s="3639"/>
      <c r="C15" s="3656"/>
      <c r="D15" s="3675"/>
      <c r="E15" s="131" t="s">
        <v>1283</v>
      </c>
      <c r="F15" s="1757"/>
      <c r="G15" s="1757"/>
      <c r="H15" s="1757"/>
      <c r="I15" s="1373"/>
    </row>
    <row r="16" spans="1:12" ht="12.75">
      <c r="A16" s="3652"/>
      <c r="B16" s="3639"/>
      <c r="C16" s="3657"/>
      <c r="D16" s="3675"/>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2" t="s">
        <v>2131</v>
      </c>
      <c r="F18" s="3663"/>
      <c r="G18" s="3663"/>
      <c r="H18" s="3663"/>
      <c r="I18" s="3663"/>
      <c r="K18" s="302" t="s">
        <v>1289</v>
      </c>
      <c r="L18" s="302">
        <f>IF(C1="",'数据-汇总表'!E3,SUMIF(项目类型,C1,'数据-汇总表'!E17:E26)+SUMIF(项目类型,C1,'数据-汇总表'!I17:I26))</f>
        <v>359.87</v>
      </c>
      <c r="M18" s="302">
        <f>IF(C1="",'数据-汇总表'!E3,SUMIF(项目类型,C1,'数据-汇总表'!E17:E26))</f>
        <v>359.87</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46" t="s">
        <v>1299</v>
      </c>
      <c r="B24" s="1762" t="s">
        <v>1291</v>
      </c>
      <c r="C24" s="136">
        <f>IF(B30=0,0,D30)</f>
        <v>0</v>
      </c>
      <c r="D24" s="1769"/>
      <c r="E24" s="129"/>
      <c r="F24" s="129"/>
      <c r="G24" s="129"/>
      <c r="H24" s="129"/>
      <c r="I24" s="129"/>
    </row>
    <row r="25" spans="1:36" ht="14.25">
      <c r="A25" s="36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66" t="s">
        <v>1312</v>
      </c>
      <c r="B36" s="1787" t="s">
        <v>1313</v>
      </c>
      <c r="C36" s="145"/>
      <c r="D36" s="1788"/>
      <c r="E36" s="1789"/>
      <c r="F36" s="1790"/>
      <c r="G36" s="129"/>
      <c r="H36" s="129"/>
      <c r="I36" s="129"/>
    </row>
    <row r="37" spans="1:15" ht="15.75" thickBot="1">
      <c r="A37" s="3667"/>
      <c r="B37" s="1674" t="s">
        <v>1314</v>
      </c>
      <c r="C37" s="147"/>
      <c r="D37" s="1139"/>
      <c r="E37" s="1139"/>
      <c r="F37" s="1790"/>
      <c r="G37" s="129"/>
      <c r="H37" s="129"/>
      <c r="I37" s="129"/>
    </row>
    <row r="38" spans="1:15" ht="15.75" thickBot="1">
      <c r="A38" s="36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3" t="s">
        <v>1326</v>
      </c>
      <c r="B45" s="3644"/>
      <c r="C45" s="3645"/>
      <c r="D45" s="155" t="e">
        <f ca="1">ROUND(H101*F45,0)</f>
        <v>#REF!</v>
      </c>
      <c r="E45" s="156" t="s">
        <v>1327</v>
      </c>
      <c r="F45" s="157">
        <v>1</v>
      </c>
      <c r="G45" s="158" t="s">
        <v>1328</v>
      </c>
      <c r="H45" s="129"/>
      <c r="I45" s="129"/>
      <c r="J45" s="3721" t="s">
        <v>1329</v>
      </c>
      <c r="K45" s="3721"/>
      <c r="L45" s="3721"/>
      <c r="M45" s="3721"/>
      <c r="N45" s="3721"/>
      <c r="O45" s="3721"/>
    </row>
    <row r="46" spans="1:15" ht="14.25" customHeight="1">
      <c r="A46" s="3640" t="s">
        <v>1330</v>
      </c>
      <c r="B46" s="3641"/>
      <c r="C46" s="3641"/>
      <c r="D46" s="3641"/>
      <c r="E46" s="3641"/>
      <c r="F46" s="3641"/>
      <c r="G46" s="3642"/>
      <c r="H46" s="1806"/>
      <c r="I46" s="159"/>
      <c r="J46" s="2521">
        <v>1</v>
      </c>
      <c r="K46" s="3702" t="s">
        <v>1331</v>
      </c>
      <c r="L46" s="3702"/>
      <c r="M46" s="3722"/>
      <c r="N46" s="3722"/>
      <c r="O46" s="3722"/>
    </row>
    <row r="47" spans="1:15" ht="12" customHeight="1">
      <c r="A47" s="160" t="s">
        <v>1332</v>
      </c>
      <c r="B47" s="161"/>
      <c r="C47" s="162"/>
      <c r="D47" s="1087" t="s">
        <v>1333</v>
      </c>
      <c r="E47" s="302" t="s">
        <v>1334</v>
      </c>
      <c r="F47" s="163" t="s">
        <v>1335</v>
      </c>
      <c r="G47" s="2544" t="s">
        <v>1336</v>
      </c>
      <c r="H47" s="2545"/>
      <c r="I47" s="159"/>
      <c r="J47" s="2521">
        <v>2</v>
      </c>
      <c r="K47" s="3702" t="s">
        <v>1337</v>
      </c>
      <c r="L47" s="3702"/>
      <c r="M47" s="3723">
        <f>'数据-取费表'!B2</f>
        <v>45023</v>
      </c>
      <c r="N47" s="3723"/>
      <c r="O47" s="3723"/>
    </row>
    <row r="48" spans="1:15" ht="25.5">
      <c r="A48" s="3671" t="s">
        <v>1338</v>
      </c>
      <c r="B48" s="3654"/>
      <c r="C48" s="3654"/>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702" t="s">
        <v>1340</v>
      </c>
      <c r="L48" s="3702"/>
      <c r="M48" s="3724" t="e">
        <f ca="1">H101</f>
        <v>#REF!</v>
      </c>
      <c r="N48" s="3724"/>
      <c r="O48" s="3724"/>
    </row>
    <row r="49" spans="1:35" ht="25.5" customHeight="1">
      <c r="A49" s="2333" t="s">
        <v>1341</v>
      </c>
      <c r="B49" s="3638" t="s">
        <v>1342</v>
      </c>
      <c r="C49" s="3638"/>
      <c r="D49" s="1590">
        <v>0</v>
      </c>
      <c r="E49" s="324" t="s">
        <v>1343</v>
      </c>
      <c r="F49" s="2424" t="s">
        <v>28</v>
      </c>
      <c r="G49" s="3708"/>
      <c r="H49" s="2310" t="s">
        <v>2134</v>
      </c>
      <c r="I49" s="2311"/>
      <c r="J49" s="2521">
        <v>4</v>
      </c>
      <c r="K49" s="3702" t="str">
        <f>IF(项目基本情况!E8="房地产抵押价值","房地产抵押价值","抵押担保权已注销时的房地产抵押价值")</f>
        <v>抵押担保权已注销时的房地产抵押价值</v>
      </c>
      <c r="L49" s="3702"/>
      <c r="M49" s="3724" t="str">
        <f>IF(项目基本情况!E8="房地产抵押价值",H107,H109)</f>
        <v>——</v>
      </c>
      <c r="N49" s="3724"/>
      <c r="O49" s="3724"/>
    </row>
    <row r="50" spans="1:35" ht="25.5" customHeight="1">
      <c r="A50" s="2549"/>
      <c r="B50" s="3638" t="s">
        <v>1344</v>
      </c>
      <c r="C50" s="3638"/>
      <c r="D50" s="2550"/>
      <c r="E50" s="332"/>
      <c r="F50" s="2424"/>
      <c r="G50" s="3709"/>
      <c r="H50" s="2312" t="s">
        <v>2135</v>
      </c>
      <c r="I50" s="2311"/>
      <c r="J50" s="3721" t="s">
        <v>1345</v>
      </c>
      <c r="K50" s="3721"/>
      <c r="L50" s="3721"/>
      <c r="M50" s="3721"/>
      <c r="N50" s="3721"/>
      <c r="O50" s="3721"/>
    </row>
    <row r="51" spans="1:35" ht="20.45" customHeight="1">
      <c r="A51" s="2551"/>
      <c r="B51" s="3638" t="s">
        <v>1346</v>
      </c>
      <c r="C51" s="3638"/>
      <c r="D51" s="1087"/>
      <c r="E51" s="327"/>
      <c r="F51" s="2424"/>
      <c r="G51" s="3710"/>
      <c r="H51" s="2312" t="s">
        <v>2136</v>
      </c>
      <c r="I51" s="2311"/>
      <c r="J51" s="2522" t="s">
        <v>1347</v>
      </c>
      <c r="K51" s="3702" t="s">
        <v>1348</v>
      </c>
      <c r="L51" s="3702"/>
      <c r="M51" s="2522" t="s">
        <v>1349</v>
      </c>
      <c r="N51" s="2522" t="s">
        <v>1350</v>
      </c>
      <c r="O51" s="2522" t="s">
        <v>1351</v>
      </c>
    </row>
    <row r="52" spans="1:35" ht="24" customHeight="1">
      <c r="A52" s="2335" t="s">
        <v>1352</v>
      </c>
      <c r="B52" s="3638" t="s">
        <v>1353</v>
      </c>
      <c r="C52" s="3638"/>
      <c r="D52" s="1087" t="e">
        <f ca="1">ROUND(D45*'数据-取费表'!B41/(1+'数据-取费表'!C42),0)</f>
        <v>#REF!</v>
      </c>
      <c r="E52" s="2334" t="s">
        <v>1354</v>
      </c>
      <c r="F52" s="2552">
        <f>'数据-取费表'!B41</f>
        <v>5.6000000000000001E-2</v>
      </c>
      <c r="G52" s="2553"/>
      <c r="H52" s="2542"/>
      <c r="I52" s="1807"/>
      <c r="J52" s="2521">
        <v>1</v>
      </c>
      <c r="K52" s="3703" t="s">
        <v>1355</v>
      </c>
      <c r="L52" s="3703"/>
      <c r="M52" s="2523" t="b">
        <f>D48</f>
        <v>0</v>
      </c>
      <c r="N52" s="2521" t="str">
        <f>E48</f>
        <v>销售额×税（费）率</v>
      </c>
      <c r="O52" s="2524">
        <f>F48</f>
        <v>5.6000000000000001E-2</v>
      </c>
    </row>
    <row r="53" spans="1:35" ht="12" customHeight="1">
      <c r="A53" s="2335" t="s">
        <v>1356</v>
      </c>
      <c r="B53" s="3664" t="s">
        <v>2287</v>
      </c>
      <c r="C53" s="3665"/>
      <c r="D53" s="1087" t="e">
        <f ca="1">ROUND(D45*'数据-取费表'!B41/(1+'数据-取费表'!C42),0)</f>
        <v>#REF!</v>
      </c>
      <c r="E53" s="2334" t="s">
        <v>1354</v>
      </c>
      <c r="F53" s="2552">
        <f>'数据-取费表'!B41</f>
        <v>5.6000000000000001E-2</v>
      </c>
      <c r="G53" s="2553"/>
      <c r="H53" s="2542"/>
      <c r="I53" s="1807"/>
      <c r="J53" s="2521">
        <v>2</v>
      </c>
      <c r="K53" s="3703" t="s">
        <v>1357</v>
      </c>
      <c r="L53" s="3703"/>
      <c r="M53" s="2523" t="e">
        <f t="shared" ref="M53:O54" ca="1" si="0">D55</f>
        <v>#REF!</v>
      </c>
      <c r="N53" s="2521" t="str">
        <f t="shared" si="0"/>
        <v>销售额×税（费）率</v>
      </c>
      <c r="O53" s="2524" t="str">
        <f t="shared" si="0"/>
        <v>免征</v>
      </c>
    </row>
    <row r="54" spans="1:35" ht="12" customHeight="1">
      <c r="A54" s="2335" t="s">
        <v>1358</v>
      </c>
      <c r="B54" s="3664" t="s">
        <v>2288</v>
      </c>
      <c r="C54" s="3665"/>
      <c r="D54" s="1087" t="e">
        <f ca="1">C68</f>
        <v>#REF!</v>
      </c>
      <c r="E54" s="327" t="s">
        <v>1359</v>
      </c>
      <c r="F54" s="2552">
        <f>'数据-取费表'!B41</f>
        <v>5.6000000000000001E-2</v>
      </c>
      <c r="G54" s="2553"/>
      <c r="H54" s="2554"/>
      <c r="I54" s="1807"/>
      <c r="J54" s="2521">
        <v>3</v>
      </c>
      <c r="K54" s="3703" t="s">
        <v>1360</v>
      </c>
      <c r="L54" s="3703"/>
      <c r="M54" s="2523" t="e">
        <f t="shared" ca="1" si="0"/>
        <v>#REF!</v>
      </c>
      <c r="N54" s="2521" t="str">
        <f t="shared" si="0"/>
        <v>增值额×税（费）率</v>
      </c>
      <c r="O54" s="2525" t="str">
        <f t="shared" si="0"/>
        <v>免征</v>
      </c>
    </row>
    <row r="55" spans="1:35" ht="24" customHeight="1">
      <c r="A55" s="3653" t="s">
        <v>1361</v>
      </c>
      <c r="B55" s="3654"/>
      <c r="C55" s="3654"/>
      <c r="D55" s="2324" t="e">
        <f ca="1">IF(H55="个人住宅",0,ROUND(D45*I55,0))</f>
        <v>#REF!</v>
      </c>
      <c r="E55" s="2334" t="s">
        <v>1362</v>
      </c>
      <c r="F55" s="2552" t="str">
        <f>IF(H55="正常",I55,"免征")</f>
        <v>免征</v>
      </c>
      <c r="G55" s="2553"/>
      <c r="H55" s="2548"/>
      <c r="I55" s="165">
        <f>'数据-取费表'!B49</f>
        <v>5.0000000000000001E-4</v>
      </c>
      <c r="J55" s="2521">
        <f>IF(H59="非个人房产","",4)</f>
        <v>4</v>
      </c>
      <c r="K55" s="3703" t="str">
        <f>IF(H59="非个人房产","——","个人所得税")</f>
        <v>个人所得税</v>
      </c>
      <c r="L55" s="3703"/>
      <c r="M55" s="2526" t="e">
        <f ca="1">D59</f>
        <v>#REF!</v>
      </c>
      <c r="N55" s="2040" t="str">
        <f>E59</f>
        <v>差额计税</v>
      </c>
      <c r="O55" s="2527">
        <f>F59</f>
        <v>0.01</v>
      </c>
    </row>
    <row r="56" spans="1:35" ht="24.75">
      <c r="A56" s="3653" t="s">
        <v>1363</v>
      </c>
      <c r="B56" s="3654"/>
      <c r="C56" s="3654"/>
      <c r="D56" s="2324" t="e">
        <f ca="1">IF(H56="个人住宅",D57,D58)</f>
        <v>#REF!</v>
      </c>
      <c r="E56" s="2334" t="s">
        <v>1364</v>
      </c>
      <c r="F56" s="2552" t="str">
        <f>IF(H56="正常",F58,"免征")</f>
        <v>免征</v>
      </c>
      <c r="G56" s="2555" t="s">
        <v>1365</v>
      </c>
      <c r="H56" s="2556"/>
      <c r="I56" s="1808"/>
      <c r="J56" s="2521" t="str">
        <f>IF(项目基本情况!K6="上海银行",IF(J55="",4,J55+1),"")</f>
        <v/>
      </c>
      <c r="K56" s="3726" t="str">
        <f>IF(项目基本情况!K6="上海银行","其他处置费用","")</f>
        <v/>
      </c>
      <c r="L56" s="3727"/>
      <c r="M56" s="2523" t="str">
        <f>IF(项目基本情况!K6="上海银行",M69,"")</f>
        <v/>
      </c>
      <c r="N56" s="3726" t="str">
        <f>IF(项目基本情况!K6="上海银行","包含处置中涉及的律师、诉讼、拍卖、评估等费用","")</f>
        <v/>
      </c>
      <c r="O56" s="3729"/>
    </row>
    <row r="57" spans="1:35" ht="12.75">
      <c r="A57" s="2335" t="s">
        <v>1341</v>
      </c>
      <c r="B57" s="3664" t="s">
        <v>1366</v>
      </c>
      <c r="C57" s="3665"/>
      <c r="D57" s="1590">
        <v>0</v>
      </c>
      <c r="E57" s="324" t="s">
        <v>1343</v>
      </c>
      <c r="F57" s="302"/>
      <c r="G57" s="2553"/>
      <c r="H57" s="2557"/>
      <c r="I57" s="1808"/>
      <c r="J57" s="3703">
        <f>IF(AND(J55="",J56=""),4,IF(项目基本情况!K6="上海银行",结果表!J56+1,结果表!J55+1))</f>
        <v>5</v>
      </c>
      <c r="K57" s="3703" t="s">
        <v>1367</v>
      </c>
      <c r="L57" s="2528" t="s">
        <v>1368</v>
      </c>
      <c r="M57" s="2529"/>
      <c r="N57" s="2530">
        <f ca="1">SUMIF(M52:M56,"&lt;9e307")</f>
        <v>0</v>
      </c>
      <c r="O57" s="2531"/>
      <c r="P57" s="2688" t="e">
        <f ca="1">N57/M49</f>
        <v>#VALUE!</v>
      </c>
    </row>
    <row r="58" spans="1:35" ht="24.75">
      <c r="A58" s="2335" t="s">
        <v>1352</v>
      </c>
      <c r="B58" s="3664" t="s">
        <v>1369</v>
      </c>
      <c r="C58" s="3638"/>
      <c r="D58" s="2324" t="e">
        <f ca="1">IF(H58="转让取得",C81,C97)</f>
        <v>#REF!</v>
      </c>
      <c r="E58" s="2334" t="s">
        <v>1364</v>
      </c>
      <c r="F58" s="302" t="s">
        <v>28</v>
      </c>
      <c r="G58" s="2553"/>
      <c r="H58" s="2556"/>
      <c r="I58" s="1808"/>
      <c r="J58" s="3703"/>
      <c r="K58" s="3703"/>
      <c r="L58" s="2528" t="s">
        <v>1370</v>
      </c>
      <c r="M58" s="2532"/>
      <c r="N58" s="2533" t="str">
        <f ca="1">NUMBERSTRING(INT(N57*10000),2)&amp;"元整"</f>
        <v>零元整</v>
      </c>
      <c r="O58" s="2534"/>
    </row>
    <row r="59" spans="1:35" ht="24.75" thickBot="1">
      <c r="A59" s="3706" t="s">
        <v>1371</v>
      </c>
      <c r="B59" s="3707"/>
      <c r="C59" s="370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704">
        <f>J57+1</f>
        <v>6</v>
      </c>
      <c r="K59" s="3703" t="s">
        <v>1372</v>
      </c>
      <c r="L59" s="2521" t="s">
        <v>1368</v>
      </c>
      <c r="M59" s="2535"/>
      <c r="N59" s="2536" t="e">
        <f ca="1">M49-N57</f>
        <v>#VALUE!</v>
      </c>
      <c r="O59" s="2537"/>
    </row>
    <row r="60" spans="1:35" ht="12" customHeight="1">
      <c r="A60" s="1809"/>
      <c r="B60" s="1747"/>
      <c r="C60" s="1747"/>
      <c r="D60" s="1747"/>
      <c r="E60" s="1578"/>
      <c r="F60" s="1808"/>
      <c r="G60" s="1808"/>
      <c r="H60" s="1810"/>
      <c r="I60" s="129"/>
      <c r="J60" s="3705"/>
      <c r="K60" s="3703"/>
      <c r="L60" s="2528" t="s">
        <v>1370</v>
      </c>
      <c r="M60" s="2532"/>
      <c r="N60" s="2533" t="e">
        <f ca="1">NUMBERSTRING(INT(N59*10000),2)&amp;"元整"</f>
        <v>#VALUE!</v>
      </c>
      <c r="O60" s="2534"/>
    </row>
    <row r="61" spans="1:35" ht="13.5" thickBot="1">
      <c r="A61" s="3651" t="s">
        <v>1373</v>
      </c>
      <c r="B61" s="3651"/>
      <c r="C61" s="3651"/>
      <c r="D61" s="3651"/>
      <c r="E61" s="3651"/>
      <c r="F61" s="1808"/>
      <c r="G61" s="1808"/>
      <c r="H61" s="1810"/>
      <c r="I61" s="129"/>
      <c r="J61" s="2521">
        <f>J59+1</f>
        <v>7</v>
      </c>
      <c r="K61" s="3703" t="s">
        <v>1374</v>
      </c>
      <c r="L61" s="3703"/>
      <c r="M61" s="2538"/>
      <c r="N61" s="2539" t="e">
        <f ca="1">ROUND(N59*10000/'数据-汇总表'!E3,0)</f>
        <v>#VALUE!</v>
      </c>
      <c r="O61" s="2540"/>
    </row>
    <row r="62" spans="1:35" ht="12.75">
      <c r="A62" s="3669" t="s">
        <v>1375</v>
      </c>
      <c r="B62" s="3670"/>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728"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2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28"/>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28"/>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2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728"/>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28"/>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0" t="s">
        <v>1394</v>
      </c>
      <c r="B70" s="3691"/>
      <c r="C70" s="3691"/>
      <c r="D70" s="3691"/>
      <c r="E70" s="3691"/>
      <c r="F70" s="3691"/>
      <c r="G70" s="3691"/>
      <c r="H70" s="369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9" t="s">
        <v>1375</v>
      </c>
      <c r="B71" s="3670"/>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64" t="s">
        <v>1402</v>
      </c>
      <c r="F76" s="3638"/>
      <c r="G76" s="3638"/>
      <c r="H76" s="36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48" t="s">
        <v>1406</v>
      </c>
      <c r="F78" s="3649"/>
      <c r="G78" s="3649"/>
      <c r="H78" s="36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0" t="s">
        <v>1410</v>
      </c>
      <c r="B83" s="3691"/>
      <c r="C83" s="3691"/>
      <c r="D83" s="3691"/>
      <c r="E83" s="3691"/>
      <c r="F83" s="3691"/>
      <c r="G83" s="3691"/>
      <c r="H83" s="36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9" t="s">
        <v>1375</v>
      </c>
      <c r="B84" s="36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730" t="s">
        <v>2129</v>
      </c>
      <c r="H90" s="3731"/>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48" t="s">
        <v>1419</v>
      </c>
      <c r="F91" s="3649"/>
      <c r="G91" s="36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48" t="s">
        <v>1422</v>
      </c>
      <c r="F92" s="3649"/>
      <c r="G92" s="3649"/>
      <c r="H92" s="3658"/>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48" t="s">
        <v>1406</v>
      </c>
      <c r="F93" s="3649"/>
      <c r="G93" s="3649"/>
      <c r="H93" s="36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32" t="s">
        <v>1428</v>
      </c>
      <c r="B100" s="3633"/>
      <c r="C100" s="3633"/>
      <c r="D100" s="3650"/>
      <c r="E100" s="3633" t="s">
        <v>1429</v>
      </c>
      <c r="F100" s="3633"/>
      <c r="G100" s="3633"/>
      <c r="H100" s="3650"/>
      <c r="I100" s="129"/>
    </row>
    <row r="101" spans="1:35" ht="18.75" customHeight="1">
      <c r="A101" s="3711" t="s">
        <v>1430</v>
      </c>
      <c r="B101" s="3712"/>
      <c r="C101" s="2583">
        <f>C4</f>
        <v>0</v>
      </c>
      <c r="D101" s="2584">
        <f>D4</f>
        <v>0</v>
      </c>
      <c r="E101" s="3725" t="s">
        <v>1431</v>
      </c>
      <c r="F101" s="3682"/>
      <c r="G101" s="1827" t="s">
        <v>1432</v>
      </c>
      <c r="H101" s="2593" t="e">
        <f ca="1">H118</f>
        <v>#REF!</v>
      </c>
      <c r="I101" s="129"/>
    </row>
    <row r="102" spans="1:35" ht="18.75" customHeight="1">
      <c r="A102" s="3684" t="s">
        <v>1433</v>
      </c>
      <c r="B102" s="2582" t="s">
        <v>1432</v>
      </c>
      <c r="C102" s="2583" t="e">
        <f ca="1">IF(D32="楼面单价",ROUND(C19,0),C19)</f>
        <v>#REF!</v>
      </c>
      <c r="D102" s="2584" t="e">
        <f ca="1">IF(D32="楼面单价",ROUND(D19,0),D19)</f>
        <v>#REF!</v>
      </c>
      <c r="E102" s="3725"/>
      <c r="F102" s="3682"/>
      <c r="G102" s="1827" t="s">
        <v>1434</v>
      </c>
      <c r="H102" s="2553" t="e">
        <f ca="1">I118</f>
        <v>#REF!</v>
      </c>
      <c r="I102" s="129"/>
    </row>
    <row r="103" spans="1:35" ht="42.75" customHeight="1">
      <c r="A103" s="3684"/>
      <c r="B103" s="2582" t="s">
        <v>1434</v>
      </c>
      <c r="C103" s="2585" t="e">
        <f ca="1">C20</f>
        <v>#REF!</v>
      </c>
      <c r="D103" s="2586" t="e">
        <f ca="1">D20</f>
        <v>#REF!</v>
      </c>
      <c r="E103" s="3719" t="s">
        <v>1435</v>
      </c>
      <c r="F103" s="3720"/>
      <c r="G103" s="1828" t="s">
        <v>1436</v>
      </c>
      <c r="H103" s="2593">
        <f>IF(D36="正常操作",H104+H105+H106,H105+H106)</f>
        <v>0</v>
      </c>
      <c r="I103" s="129"/>
    </row>
    <row r="104" spans="1:35" ht="18.75" customHeight="1">
      <c r="A104" s="3684"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85"/>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81" t="str">
        <f>IF(项目基本情况!E8="已注销","——","3.房地产抵押价值")</f>
        <v>3.房地产抵押价值</v>
      </c>
      <c r="F107" s="3682"/>
      <c r="G107" s="1827" t="s">
        <v>1432</v>
      </c>
      <c r="H107" s="2593" t="e">
        <f ca="1">IF(E107="——","——",H101-H103)</f>
        <v>#REF!</v>
      </c>
      <c r="I107" s="129"/>
    </row>
    <row r="108" spans="1:35" ht="18.75" customHeight="1">
      <c r="A108" s="129"/>
      <c r="B108" s="129"/>
      <c r="C108" s="129"/>
      <c r="D108" s="129"/>
      <c r="E108" s="3681"/>
      <c r="F108" s="3682"/>
      <c r="G108" s="1827" t="s">
        <v>1434</v>
      </c>
      <c r="H108" s="2553">
        <f ca="1">IF(H107=H101,H102,ROUND(H107*10000/'数据-汇总表'!E3,0))</f>
        <v>0</v>
      </c>
      <c r="I108" s="129"/>
    </row>
    <row r="109" spans="1:35" ht="18.75" customHeight="1">
      <c r="A109" s="129"/>
      <c r="B109" s="129"/>
      <c r="C109" s="129"/>
      <c r="D109" s="129"/>
      <c r="E109" s="3681" t="str">
        <f>IF(项目基本情况!E8="已注销及未注销","4.抵押担保权已注销时的房地产抵押价值",IF(项目基本情况!E8="已注销","3.抵押担保权已注销时的房地产抵押价值","——"))</f>
        <v>——</v>
      </c>
      <c r="F109" s="3682"/>
      <c r="G109" s="1827" t="s">
        <v>1432</v>
      </c>
      <c r="H109" s="2596" t="str">
        <f>IF(E109="——","——",H101-H105-H106)</f>
        <v>——</v>
      </c>
      <c r="I109" s="129"/>
    </row>
    <row r="110" spans="1:35" ht="18.75" customHeight="1">
      <c r="A110" s="129"/>
      <c r="B110" s="129"/>
      <c r="C110" s="129"/>
      <c r="D110" s="129"/>
      <c r="E110" s="3681"/>
      <c r="F110" s="3682"/>
      <c r="G110" s="1827" t="s">
        <v>1434</v>
      </c>
      <c r="H110" s="2553" t="str">
        <f>IF(H109="——","——",ROUND(H109*10000/'数据-汇总表'!E3,0))</f>
        <v>——</v>
      </c>
      <c r="I110" s="129"/>
    </row>
    <row r="111" spans="1:35" ht="18.75" customHeight="1">
      <c r="A111" s="129"/>
      <c r="B111" s="129"/>
      <c r="C111" s="129"/>
      <c r="D111" s="129"/>
      <c r="E111" s="3713" t="str">
        <f>IF(项目基本情况!E9="抵押净值",IF(OR(项目基本情况!E8="已注销",项目基本情况!E8="房地产抵押价值"),"4.抵押净值","5.抵押净值"),"——")</f>
        <v>——</v>
      </c>
      <c r="F111" s="3683"/>
      <c r="G111" s="1827" t="s">
        <v>1432</v>
      </c>
      <c r="H111" s="2593" t="str">
        <f>IF(E111="——","——",N59)</f>
        <v>——</v>
      </c>
      <c r="I111" s="129"/>
    </row>
    <row r="112" spans="1:35" ht="18.75" customHeight="1" thickBot="1">
      <c r="A112" s="129"/>
      <c r="B112" s="129"/>
      <c r="C112" s="129"/>
      <c r="D112" s="129"/>
      <c r="E112" s="3714"/>
      <c r="F112" s="3715"/>
      <c r="G112" s="1830" t="s">
        <v>1434</v>
      </c>
      <c r="H112" s="2597" t="str">
        <f>IF(E111="——","——",N61)</f>
        <v>——</v>
      </c>
      <c r="I112" s="129"/>
    </row>
    <row r="113" spans="1:27" ht="18.75" customHeight="1">
      <c r="A113" s="129"/>
      <c r="B113" s="129"/>
      <c r="C113" s="129"/>
      <c r="D113" s="129"/>
      <c r="E113" s="3686" t="s">
        <v>1440</v>
      </c>
      <c r="F113" s="3686"/>
      <c r="G113" s="3686"/>
      <c r="H113" s="3686"/>
      <c r="I113" s="129"/>
    </row>
    <row r="114" spans="1:27" ht="3.75" customHeight="1">
      <c r="A114" s="1747"/>
      <c r="B114" s="1747"/>
      <c r="C114" s="1747"/>
      <c r="D114" s="1747"/>
      <c r="E114" s="1809"/>
      <c r="F114" s="1809"/>
      <c r="G114" s="1809"/>
      <c r="H114" s="1809"/>
      <c r="I114" s="1747"/>
    </row>
    <row r="115" spans="1:27" ht="18.75" customHeight="1">
      <c r="A115" s="3696" t="s">
        <v>1442</v>
      </c>
      <c r="B115" s="3697"/>
      <c r="C115" s="3697"/>
      <c r="D115" s="3697"/>
      <c r="E115" s="3697"/>
      <c r="F115" s="3697"/>
      <c r="G115" s="3697"/>
      <c r="H115" s="3697"/>
      <c r="I115" s="3698"/>
    </row>
    <row r="116" spans="1:27" ht="27" customHeight="1">
      <c r="A116" s="3652" t="s">
        <v>1443</v>
      </c>
      <c r="B116" s="3687" t="s">
        <v>1444</v>
      </c>
      <c r="C116" s="3687" t="s">
        <v>1445</v>
      </c>
      <c r="D116" s="3700" t="s">
        <v>1446</v>
      </c>
      <c r="E116" s="3701"/>
      <c r="F116" s="3695" t="s">
        <v>1447</v>
      </c>
      <c r="G116" s="3695"/>
      <c r="H116" s="3652" t="s">
        <v>1448</v>
      </c>
      <c r="I116" s="3652"/>
    </row>
    <row r="117" spans="1:27" ht="18.75" customHeight="1">
      <c r="A117" s="3652"/>
      <c r="B117" s="3688"/>
      <c r="C117" s="3688"/>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359.87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52" t="s">
        <v>1452</v>
      </c>
      <c r="B119" s="3652"/>
      <c r="C119" s="3652"/>
      <c r="D119" s="3692" t="e">
        <f ca="1">NUMBERSTRING(INT(D118*10000),2)&amp;"元整"</f>
        <v>#REF!</v>
      </c>
      <c r="E119" s="3694"/>
      <c r="F119" s="3692" t="e">
        <f ca="1">NUMBERSTRING(INT(F118*10000),2)&amp;"元整"</f>
        <v>#REF!</v>
      </c>
      <c r="G119" s="3694"/>
      <c r="H119" s="3692" t="e">
        <f ca="1">NUMBERSTRING(INT(H118*10000),2)&amp;"元整"</f>
        <v>#REF!</v>
      </c>
      <c r="I119" s="3694"/>
    </row>
    <row r="120" spans="1:27" ht="18.75" customHeight="1">
      <c r="A120" s="3716" t="str">
        <f>IF(项目基本情况!B9="房地产市场价值","",MID(E103,3,LEN(E103)-2))</f>
        <v/>
      </c>
      <c r="B120" s="3717"/>
      <c r="C120" s="3718"/>
      <c r="D120" s="3716">
        <f>H103</f>
        <v>0</v>
      </c>
      <c r="E120" s="3717"/>
      <c r="F120" s="3717"/>
      <c r="G120" s="3717"/>
      <c r="H120" s="3717"/>
      <c r="I120" s="371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92" t="s">
        <v>1452</v>
      </c>
      <c r="B121" s="3693"/>
      <c r="C121" s="3694"/>
      <c r="D121" s="3692" t="str">
        <f>IF(D120=0,"零元整",NUMBERSTRING(INT(D120*10000),2)&amp;"元整")</f>
        <v>零元整</v>
      </c>
      <c r="E121" s="3693"/>
      <c r="F121" s="3693"/>
      <c r="G121" s="3693"/>
      <c r="H121" s="3693"/>
      <c r="I121" s="3694"/>
      <c r="AA121" s="725"/>
    </row>
    <row r="122" spans="1:27" ht="18.75" customHeight="1">
      <c r="A122" s="3683" t="str">
        <f>IF(项目基本情况!B9="房地产市场价值","",MID(E107,3,LEN(E107)-2))</f>
        <v/>
      </c>
      <c r="B122" s="3683"/>
      <c r="C122" s="3683"/>
      <c r="D122" s="3716" t="e">
        <f ca="1">H107</f>
        <v>#REF!</v>
      </c>
      <c r="E122" s="3717"/>
      <c r="F122" s="3717"/>
      <c r="G122" s="3717"/>
      <c r="H122" s="3717"/>
      <c r="I122" s="3718"/>
      <c r="AA122" s="725"/>
    </row>
    <row r="123" spans="1:27" ht="18.75" customHeight="1">
      <c r="A123" s="3652" t="s">
        <v>1452</v>
      </c>
      <c r="B123" s="3652"/>
      <c r="C123" s="3652"/>
      <c r="D123" s="3692" t="e">
        <f ca="1">NUMBERSTRING(INT(D122*10000),2)&amp;"元整"</f>
        <v>#REF!</v>
      </c>
      <c r="E123" s="3693"/>
      <c r="F123" s="3693"/>
      <c r="G123" s="3693"/>
      <c r="H123" s="3693"/>
      <c r="I123" s="3694"/>
      <c r="AA123" s="725"/>
    </row>
    <row r="124" spans="1:27" ht="18.75" customHeight="1">
      <c r="A124" s="3683" t="str">
        <f>IF(项目基本情况!B9="房地产市场价值","",MID(E109,3,LEN(E109)-2))</f>
        <v/>
      </c>
      <c r="B124" s="3683"/>
      <c r="C124" s="3683"/>
      <c r="D124" s="3716" t="str">
        <f>H109</f>
        <v>——</v>
      </c>
      <c r="E124" s="3717"/>
      <c r="F124" s="3717"/>
      <c r="G124" s="3717"/>
      <c r="H124" s="3717"/>
      <c r="I124" s="3718"/>
      <c r="AA124" s="725"/>
    </row>
    <row r="125" spans="1:27" ht="18.75" customHeight="1">
      <c r="A125" s="3652" t="s">
        <v>1452</v>
      </c>
      <c r="B125" s="3652"/>
      <c r="C125" s="3652"/>
      <c r="D125" s="3692" t="e">
        <f>NUMBERSTRING(INT(D124*10000),2)&amp;"元整"</f>
        <v>#VALUE!</v>
      </c>
      <c r="E125" s="3693"/>
      <c r="F125" s="3693"/>
      <c r="G125" s="3693"/>
      <c r="H125" s="3693"/>
      <c r="I125" s="3694"/>
      <c r="AA125" s="725"/>
    </row>
    <row r="126" spans="1:27" ht="18.75" customHeight="1">
      <c r="A126" s="3683" t="str">
        <f>IF(项目基本情况!B9="房地产市场价值","",MID(E111,3,LEN(E111)-2))</f>
        <v/>
      </c>
      <c r="B126" s="3683"/>
      <c r="C126" s="3683"/>
      <c r="D126" s="3716" t="str">
        <f>H111</f>
        <v>——</v>
      </c>
      <c r="E126" s="3717"/>
      <c r="F126" s="3717"/>
      <c r="G126" s="3717"/>
      <c r="H126" s="3717"/>
      <c r="I126" s="3718"/>
      <c r="AA126" s="725"/>
    </row>
    <row r="127" spans="1:27" ht="18.75" customHeight="1">
      <c r="A127" s="3652" t="s">
        <v>1452</v>
      </c>
      <c r="B127" s="3652"/>
      <c r="C127" s="3652"/>
      <c r="D127" s="3692" t="e">
        <f>NUMBERSTRING(INT(D126*10000),2)&amp;"元整"</f>
        <v>#VALUE!</v>
      </c>
      <c r="E127" s="3693"/>
      <c r="F127" s="3693"/>
      <c r="G127" s="3693"/>
      <c r="H127" s="3693"/>
      <c r="I127" s="3694"/>
      <c r="AA127" s="725"/>
    </row>
    <row r="128" spans="1:27" ht="21.75" customHeight="1">
      <c r="A128" s="3699" t="s">
        <v>1453</v>
      </c>
      <c r="B128" s="3699"/>
      <c r="C128" s="3699"/>
      <c r="D128" s="3699"/>
      <c r="E128" s="3699"/>
      <c r="F128" s="3699"/>
      <c r="G128" s="3699"/>
      <c r="H128" s="3699"/>
      <c r="I128" s="36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7475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7.1974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7.1974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359.87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359.87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180</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359.87</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732" t="s">
        <v>1544</v>
      </c>
    </row>
    <row r="43" spans="1:7" ht="13.5" customHeight="1">
      <c r="A43" s="780" t="s">
        <v>347</v>
      </c>
      <c r="B43" s="215" t="s">
        <v>1545</v>
      </c>
      <c r="C43" s="238">
        <f ca="1">ROUND(IF('数据-取费表'!B22&lt;=1,C39*F22*'数据-取费表'!B21/2,C39*(POWER((1+F22),'数据-取费表'!B21/2)-1)),0)</f>
        <v>0</v>
      </c>
      <c r="D43" s="238"/>
      <c r="E43" s="238"/>
      <c r="F43" s="239"/>
      <c r="G43" s="3733"/>
    </row>
    <row r="44" spans="1:7" ht="13.5" customHeight="1">
      <c r="A44" s="780" t="s">
        <v>348</v>
      </c>
      <c r="B44" s="215" t="s">
        <v>1546</v>
      </c>
      <c r="C44" s="238">
        <f ca="1">ROUND(IF('数据-取费表'!B22&lt;=1,C40*F22*'数据-取费表'!B21/2,C40*(POWER((1+F22),'数据-取费表'!B21/2)-1)),4)</f>
        <v>8.0000000000000004E-4</v>
      </c>
      <c r="D44" s="238"/>
      <c r="E44" s="238"/>
      <c r="F44" s="239"/>
      <c r="G44" s="3734"/>
    </row>
    <row r="45" spans="1:7" s="214" customFormat="1" ht="13.5" customHeight="1">
      <c r="A45" s="255" t="s">
        <v>1547</v>
      </c>
      <c r="B45" s="244" t="s">
        <v>1513</v>
      </c>
      <c r="C45" s="245">
        <f ca="1">C46</f>
        <v>30</v>
      </c>
      <c r="D45" s="235">
        <f ca="1">C47</f>
        <v>3.0000000000000001E-3</v>
      </c>
      <c r="E45" s="236" t="s">
        <v>1539</v>
      </c>
      <c r="F45" s="246">
        <f ca="1">F27</f>
        <v>0.15</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249</v>
      </c>
      <c r="D51" s="232"/>
      <c r="E51" s="232"/>
      <c r="F51" s="264"/>
      <c r="G51" s="234" t="s">
        <v>1560</v>
      </c>
    </row>
    <row r="52" spans="1:7" s="208" customFormat="1" ht="16.5" thickBot="1">
      <c r="A52" s="265" t="s">
        <v>1561</v>
      </c>
      <c r="B52" s="266"/>
      <c r="C52" s="267">
        <f ca="1">C31+C51</f>
        <v>269</v>
      </c>
      <c r="D52" s="266"/>
      <c r="E52" s="266"/>
      <c r="F52" s="266"/>
      <c r="G52" s="268"/>
    </row>
    <row r="55" spans="1:7" ht="15">
      <c r="B55" s="270" t="s">
        <v>1562</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9" t="str">
        <f>项目基本情况!B1</f>
        <v>北京市房地产市场价值预评估</v>
      </c>
      <c r="C37" s="3549"/>
      <c r="D37" s="3549"/>
      <c r="E37" s="3549"/>
      <c r="F37" s="3549"/>
      <c r="G37" s="3549"/>
      <c r="H37" s="3549"/>
      <c r="I37" s="35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11" zoomScale="80" zoomScaleNormal="70" zoomScaleSheetLayoutView="80" workbookViewId="0">
      <selection activeCell="C49" sqref="C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3506</v>
      </c>
      <c r="E1" s="3424" t="s">
        <v>3592</v>
      </c>
      <c r="F1" s="1879" t="s">
        <v>3593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0.30230000000000001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8.4</v>
      </c>
      <c r="C3" s="354" t="s">
        <v>1768</v>
      </c>
      <c r="D3" s="353">
        <f>IF(D1="",'数据-汇总表'!E3,SUMIF('数据-汇总表'!$C19:$C33,D1,'数据-汇总表'!$E19:$E33))</f>
        <v>359.87</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754" t="s">
        <v>1770</v>
      </c>
      <c r="D4" s="3755"/>
      <c r="E4" s="3756" t="s">
        <v>1771</v>
      </c>
      <c r="F4" s="3757"/>
      <c r="G4" s="3754" t="s">
        <v>1772</v>
      </c>
      <c r="H4" s="3755"/>
      <c r="I4" s="3754" t="s">
        <v>1773</v>
      </c>
      <c r="J4" s="3755"/>
      <c r="K4" s="559" t="s">
        <v>1774</v>
      </c>
      <c r="L4" s="2713"/>
      <c r="M4" s="2714"/>
      <c r="N4" s="2714"/>
      <c r="O4" s="2714"/>
      <c r="P4" s="3758" t="s">
        <v>1775</v>
      </c>
      <c r="Q4" s="3759"/>
      <c r="R4" s="3764" t="s">
        <v>1771</v>
      </c>
      <c r="S4" s="3765"/>
      <c r="T4" s="3764" t="s">
        <v>1772</v>
      </c>
      <c r="U4" s="3765"/>
      <c r="V4" s="3749" t="s">
        <v>1773</v>
      </c>
      <c r="W4" s="3749"/>
      <c r="X4" s="1355"/>
      <c r="Y4" s="3764" t="s">
        <v>1775</v>
      </c>
      <c r="Z4" s="3765"/>
      <c r="AA4" s="3751" t="s">
        <v>1771</v>
      </c>
      <c r="AB4" s="3749" t="s">
        <v>1772</v>
      </c>
      <c r="AC4" s="3751" t="s">
        <v>1773</v>
      </c>
    </row>
    <row r="5" spans="1:29" ht="15">
      <c r="A5" s="358"/>
      <c r="B5" s="359"/>
      <c r="C5" s="3772" t="s">
        <v>1673</v>
      </c>
      <c r="D5" s="3773"/>
      <c r="E5" s="3779" t="str">
        <f>租金案例!B5</f>
        <v>丽都壹号</v>
      </c>
      <c r="F5" s="3780"/>
      <c r="G5" s="3772" t="str">
        <f>租金案例!B3</f>
        <v>酒仙桥六街坊</v>
      </c>
      <c r="H5" s="3773"/>
      <c r="I5" s="3772" t="str">
        <f>租金案例!B4</f>
        <v>燕莎后</v>
      </c>
      <c r="J5" s="3773"/>
      <c r="K5" s="559"/>
      <c r="L5" s="2713"/>
      <c r="M5" s="2714"/>
      <c r="N5" s="2714"/>
      <c r="O5" s="2714"/>
      <c r="P5" s="3760"/>
      <c r="Q5" s="3761"/>
      <c r="R5" s="3766"/>
      <c r="S5" s="3767"/>
      <c r="T5" s="3766"/>
      <c r="U5" s="3767"/>
      <c r="V5" s="3749"/>
      <c r="W5" s="3749"/>
      <c r="X5" s="1355"/>
      <c r="Y5" s="3766"/>
      <c r="Z5" s="3767"/>
      <c r="AA5" s="3752"/>
      <c r="AB5" s="3749"/>
      <c r="AC5" s="3752"/>
    </row>
    <row r="6" spans="1:29" ht="15.75" thickBot="1">
      <c r="A6" s="360"/>
      <c r="B6" s="361"/>
      <c r="C6" s="3770" t="s">
        <v>1677</v>
      </c>
      <c r="D6" s="3771"/>
      <c r="E6" s="3777" t="s">
        <v>1677</v>
      </c>
      <c r="F6" s="3778"/>
      <c r="G6" s="3770" t="s">
        <v>1677</v>
      </c>
      <c r="H6" s="3771"/>
      <c r="I6" s="3770" t="s">
        <v>1677</v>
      </c>
      <c r="J6" s="3771"/>
      <c r="K6" s="559" t="s">
        <v>1678</v>
      </c>
      <c r="L6" s="2713"/>
      <c r="M6" s="2714"/>
      <c r="N6" s="2714"/>
      <c r="O6" s="2714"/>
      <c r="P6" s="3762"/>
      <c r="Q6" s="3763"/>
      <c r="R6" s="3766"/>
      <c r="S6" s="3767"/>
      <c r="T6" s="3768"/>
      <c r="U6" s="3769"/>
      <c r="V6" s="3749"/>
      <c r="W6" s="3749"/>
      <c r="X6" s="1355"/>
      <c r="Y6" s="3768"/>
      <c r="Z6" s="3769"/>
      <c r="AA6" s="3753"/>
      <c r="AB6" s="3749"/>
      <c r="AC6" s="3753"/>
    </row>
    <row r="7" spans="1:29" s="108" customFormat="1" ht="15.75" thickBot="1">
      <c r="A7" s="362" t="s">
        <v>1679</v>
      </c>
      <c r="B7" s="363"/>
      <c r="C7" s="364">
        <f>'数据-取费表'!B2</f>
        <v>45023</v>
      </c>
      <c r="D7" s="365">
        <v>100</v>
      </c>
      <c r="E7" s="366">
        <v>45023</v>
      </c>
      <c r="F7" s="367">
        <f>SUMIF(58:58,YEAR(E7)&amp;"-"&amp;MONTH(E7),59:59)</f>
        <v>100</v>
      </c>
      <c r="G7" s="366">
        <v>45023</v>
      </c>
      <c r="H7" s="365">
        <f>SUMIF(58:58,YEAR(G7)&amp;"-"&amp;MONTH(G7),59:59)</f>
        <v>100</v>
      </c>
      <c r="I7" s="366">
        <v>45023</v>
      </c>
      <c r="J7" s="365">
        <f>SUMIF(58:58,YEAR(I7)&amp;"-"&amp;MONTH(I7),59:59)</f>
        <v>100</v>
      </c>
      <c r="K7" s="560"/>
      <c r="L7" s="2715"/>
      <c r="M7" s="2716"/>
      <c r="N7" s="2716"/>
      <c r="O7" s="2716"/>
      <c r="P7" s="3774" t="s">
        <v>1680</v>
      </c>
      <c r="Q7" s="3776"/>
      <c r="R7" s="701" t="s">
        <v>14</v>
      </c>
      <c r="S7" s="702">
        <f t="shared" ref="S7:S15" si="0">F7</f>
        <v>100</v>
      </c>
      <c r="T7" s="701" t="s">
        <v>14</v>
      </c>
      <c r="U7" s="702">
        <f t="shared" ref="U7:U15" si="1">H7</f>
        <v>100</v>
      </c>
      <c r="V7" s="701" t="s">
        <v>14</v>
      </c>
      <c r="W7" s="702">
        <f t="shared" ref="W7:W15" si="2">J7</f>
        <v>100</v>
      </c>
      <c r="X7" s="703"/>
      <c r="Y7" s="3774" t="s">
        <v>1680</v>
      </c>
      <c r="Z7" s="3775"/>
      <c r="AA7" s="704">
        <f>D7/F7</f>
        <v>1</v>
      </c>
      <c r="AB7" s="704">
        <f>D7/H7</f>
        <v>1</v>
      </c>
      <c r="AC7" s="704">
        <f>D7/J7</f>
        <v>1</v>
      </c>
    </row>
    <row r="8" spans="1:29" s="108" customFormat="1" ht="15.75" thickBot="1">
      <c r="A8" s="362" t="s">
        <v>1681</v>
      </c>
      <c r="B8" s="363"/>
      <c r="C8" s="368" t="s">
        <v>3566</v>
      </c>
      <c r="D8" s="365">
        <v>100</v>
      </c>
      <c r="E8" s="368" t="s">
        <v>3501</v>
      </c>
      <c r="F8" s="367">
        <f>SUMIF(61:61,E8,62:62)-SUMIF(61:61,C8,62:62)+100</f>
        <v>102</v>
      </c>
      <c r="G8" s="368" t="s">
        <v>3501</v>
      </c>
      <c r="H8" s="365">
        <f>SUMIF(61:61,G8,62:62)-SUMIF(61:61,C8,62:62)+100</f>
        <v>102</v>
      </c>
      <c r="I8" s="368" t="s">
        <v>3501</v>
      </c>
      <c r="J8" s="365">
        <f>SUMIF(61:61,I8,62:62)-SUMIF(61:61,C8,62:62)+100</f>
        <v>102</v>
      </c>
      <c r="K8" s="560"/>
      <c r="L8" s="2715"/>
      <c r="M8" s="2716"/>
      <c r="N8" s="2716"/>
      <c r="O8" s="2716"/>
      <c r="P8" s="3774" t="s">
        <v>1683</v>
      </c>
      <c r="Q8" s="3775"/>
      <c r="R8" s="701" t="s">
        <v>14</v>
      </c>
      <c r="S8" s="702">
        <f t="shared" si="0"/>
        <v>102</v>
      </c>
      <c r="T8" s="701" t="s">
        <v>14</v>
      </c>
      <c r="U8" s="702">
        <f t="shared" si="1"/>
        <v>102</v>
      </c>
      <c r="V8" s="701" t="s">
        <v>14</v>
      </c>
      <c r="W8" s="702">
        <f t="shared" si="2"/>
        <v>102</v>
      </c>
      <c r="X8" s="703"/>
      <c r="Y8" s="3774" t="s">
        <v>1683</v>
      </c>
      <c r="Z8" s="3775"/>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538" t="s">
        <v>3567</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50"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50"/>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50"/>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50"/>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50"/>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50"/>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18.75" customHeight="1">
      <c r="A15" s="391" t="s">
        <v>1690</v>
      </c>
      <c r="B15" s="61" t="s">
        <v>1777</v>
      </c>
      <c r="C15" s="1896" t="str">
        <f>估价对象房地状况!C4</f>
        <v>一般</v>
      </c>
      <c r="D15" s="392">
        <v>100</v>
      </c>
      <c r="E15" s="393" t="s">
        <v>3540</v>
      </c>
      <c r="F15" s="394">
        <f>SUMIF(76:76,E16,77:77)-SUMIF(76:76,C16,77:77)+100</f>
        <v>100</v>
      </c>
      <c r="G15" s="395" t="s">
        <v>3502</v>
      </c>
      <c r="H15" s="392">
        <f>SUMIF(76:76,G16,77:77)-SUMIF(76:76,C16,77:77)+100</f>
        <v>103</v>
      </c>
      <c r="I15" s="393" t="s">
        <v>3502</v>
      </c>
      <c r="J15" s="392">
        <f>SUMIF(76:76,I16,77:77)-SUMIF(76:76,C16,77:77)+100</f>
        <v>103</v>
      </c>
      <c r="K15" s="563">
        <v>3</v>
      </c>
      <c r="L15" s="2720"/>
      <c r="M15" s="2714"/>
      <c r="N15" s="2714"/>
      <c r="O15" s="2714"/>
      <c r="P15" s="3740" t="s">
        <v>1691</v>
      </c>
      <c r="Q15" s="1352" t="str">
        <f t="shared" si="6"/>
        <v>商业繁华度</v>
      </c>
      <c r="R15" s="705" t="s">
        <v>14</v>
      </c>
      <c r="S15" s="706">
        <f t="shared" si="0"/>
        <v>100</v>
      </c>
      <c r="T15" s="705" t="s">
        <v>14</v>
      </c>
      <c r="U15" s="706">
        <f t="shared" si="1"/>
        <v>103</v>
      </c>
      <c r="V15" s="705" t="s">
        <v>14</v>
      </c>
      <c r="W15" s="706">
        <f t="shared" si="2"/>
        <v>103</v>
      </c>
      <c r="X15" s="1355"/>
      <c r="Y15" s="3742" t="s">
        <v>1691</v>
      </c>
      <c r="Z15" s="1356" t="str">
        <f t="shared" si="7"/>
        <v>商业繁华度</v>
      </c>
      <c r="AA15" s="1353">
        <f t="shared" si="3"/>
        <v>1</v>
      </c>
      <c r="AB15" s="1353">
        <f t="shared" si="4"/>
        <v>0.970873786407767</v>
      </c>
      <c r="AC15" s="1353">
        <f t="shared" si="5"/>
        <v>0.970873786407767</v>
      </c>
    </row>
    <row r="16" spans="1:29" ht="18.75" customHeight="1">
      <c r="A16" s="379"/>
      <c r="B16" s="397"/>
      <c r="C16" s="398" t="s">
        <v>3540</v>
      </c>
      <c r="D16" s="399"/>
      <c r="E16" s="398" t="s">
        <v>3540</v>
      </c>
      <c r="F16" s="400"/>
      <c r="G16" s="398" t="s">
        <v>3502</v>
      </c>
      <c r="H16" s="401"/>
      <c r="I16" s="398" t="s">
        <v>3502</v>
      </c>
      <c r="J16" s="399"/>
      <c r="K16" s="564"/>
      <c r="L16" s="2720"/>
      <c r="M16" s="2714"/>
      <c r="N16" s="2714"/>
      <c r="O16" s="2714"/>
      <c r="P16" s="3741"/>
      <c r="Q16" s="1352"/>
      <c r="R16" s="705"/>
      <c r="S16" s="706"/>
      <c r="T16" s="705"/>
      <c r="U16" s="706"/>
      <c r="V16" s="705"/>
      <c r="W16" s="706"/>
      <c r="X16" s="1355"/>
      <c r="Y16" s="3743"/>
      <c r="Z16" s="1356"/>
      <c r="AA16" s="1353">
        <v>1</v>
      </c>
      <c r="AB16" s="1353">
        <v>1</v>
      </c>
      <c r="AC16" s="1353">
        <v>1</v>
      </c>
    </row>
    <row r="17" spans="1:29" ht="18.75" customHeight="1">
      <c r="A17" s="379"/>
      <c r="B17" s="402" t="s">
        <v>1259</v>
      </c>
      <c r="C17" s="1900" t="str">
        <f>估价对象房地状况!C6</f>
        <v>较好</v>
      </c>
      <c r="D17" s="401">
        <v>100</v>
      </c>
      <c r="E17" s="403" t="s">
        <v>3502</v>
      </c>
      <c r="F17" s="404">
        <f>SUMIF(78:78,E18,79:79)-SUMIF(78:78,C18,79:79)+100</f>
        <v>100</v>
      </c>
      <c r="G17" s="405" t="s">
        <v>3502</v>
      </c>
      <c r="H17" s="406">
        <f>SUMIF(78:78,G18,79:79)-SUMIF(78:78,C18,79:79)+100</f>
        <v>100</v>
      </c>
      <c r="I17" s="403" t="s">
        <v>3502</v>
      </c>
      <c r="J17" s="406">
        <f>SUMIF(78:78,I18,79:79)-SUMIF(78:78,C18,79:79)+100</f>
        <v>100</v>
      </c>
      <c r="K17" s="563">
        <v>2</v>
      </c>
      <c r="L17" s="2720"/>
      <c r="M17" s="2714"/>
      <c r="N17" s="2714"/>
      <c r="O17" s="2714"/>
      <c r="P17" s="3741"/>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8.75" customHeight="1">
      <c r="A18" s="379"/>
      <c r="B18" s="407"/>
      <c r="C18" s="1901" t="s">
        <v>3502</v>
      </c>
      <c r="D18" s="401"/>
      <c r="E18" s="1903" t="s">
        <v>3502</v>
      </c>
      <c r="F18" s="404"/>
      <c r="G18" s="1902" t="s">
        <v>3502</v>
      </c>
      <c r="H18" s="399"/>
      <c r="I18" s="1903" t="s">
        <v>3502</v>
      </c>
      <c r="J18" s="399"/>
      <c r="K18" s="564"/>
      <c r="L18" s="2720"/>
      <c r="M18" s="2714"/>
      <c r="N18" s="2714"/>
      <c r="O18" s="2714"/>
      <c r="P18" s="3741"/>
      <c r="Q18" s="1352"/>
      <c r="R18" s="705"/>
      <c r="S18" s="706"/>
      <c r="T18" s="705"/>
      <c r="U18" s="706"/>
      <c r="V18" s="705"/>
      <c r="W18" s="706"/>
      <c r="X18" s="1355"/>
      <c r="Y18" s="3743"/>
      <c r="Z18" s="1356"/>
      <c r="AA18" s="1353">
        <v>1</v>
      </c>
      <c r="AB18" s="1353">
        <v>1</v>
      </c>
      <c r="AC18" s="1353">
        <v>1</v>
      </c>
    </row>
    <row r="19" spans="1:29" ht="18.75" customHeight="1">
      <c r="A19" s="379"/>
      <c r="B19" s="402" t="s">
        <v>1778</v>
      </c>
      <c r="C19" s="1900" t="str">
        <f>估价对象房地状况!C7</f>
        <v>较好</v>
      </c>
      <c r="D19" s="406">
        <v>100</v>
      </c>
      <c r="E19" s="408" t="s">
        <v>3502</v>
      </c>
      <c r="F19" s="409">
        <f>SUMIF(80:80,E20,81:81)-SUMIF(80:80,C20,81:81)+100</f>
        <v>100</v>
      </c>
      <c r="G19" s="410" t="s">
        <v>3502</v>
      </c>
      <c r="H19" s="401">
        <f>SUMIF(80:80,G20,81:81)-SUMIF(80:80,C20,81:81)+100</f>
        <v>100</v>
      </c>
      <c r="I19" s="408" t="s">
        <v>3502</v>
      </c>
      <c r="J19" s="401">
        <f>SUMIF(80:80,I20,81:81)-SUMIF(80:80,C20,81:81)+100</f>
        <v>100</v>
      </c>
      <c r="K19" s="563">
        <v>2</v>
      </c>
      <c r="L19" s="2720"/>
      <c r="M19" s="2714"/>
      <c r="N19" s="2714"/>
      <c r="O19" s="2714"/>
      <c r="P19" s="3741"/>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8.75" customHeight="1">
      <c r="A20" s="379"/>
      <c r="B20" s="407"/>
      <c r="C20" s="398" t="s">
        <v>3502</v>
      </c>
      <c r="D20" s="399"/>
      <c r="E20" s="1898" t="s">
        <v>3502</v>
      </c>
      <c r="F20" s="400"/>
      <c r="G20" s="1897" t="s">
        <v>3502</v>
      </c>
      <c r="H20" s="399"/>
      <c r="I20" s="1898" t="s">
        <v>3502</v>
      </c>
      <c r="J20" s="399"/>
      <c r="K20" s="564"/>
      <c r="L20" s="2720"/>
      <c r="M20" s="2714"/>
      <c r="N20" s="2714"/>
      <c r="O20" s="2714"/>
      <c r="P20" s="3741"/>
      <c r="Q20" s="1352"/>
      <c r="R20" s="705"/>
      <c r="S20" s="706"/>
      <c r="T20" s="705"/>
      <c r="U20" s="706"/>
      <c r="V20" s="705"/>
      <c r="W20" s="706"/>
      <c r="X20" s="1355"/>
      <c r="Y20" s="3743"/>
      <c r="Z20" s="1356"/>
      <c r="AA20" s="1353">
        <v>1</v>
      </c>
      <c r="AB20" s="1353">
        <v>1</v>
      </c>
      <c r="AC20" s="1353">
        <v>1</v>
      </c>
    </row>
    <row r="21" spans="1:29" ht="18.75" customHeight="1">
      <c r="A21" s="379"/>
      <c r="B21" s="1131" t="s">
        <v>1779</v>
      </c>
      <c r="C21" s="1900" t="str">
        <f>估价对象房地状况!C8</f>
        <v>七通</v>
      </c>
      <c r="D21" s="406">
        <v>100</v>
      </c>
      <c r="E21" s="408" t="s">
        <v>3503</v>
      </c>
      <c r="F21" s="409">
        <f>SUMIF(82:82,E22,83:83)-SUMIF(82:82,C22,83:83)+100</f>
        <v>100</v>
      </c>
      <c r="G21" s="410" t="s">
        <v>3503</v>
      </c>
      <c r="H21" s="401">
        <f>SUMIF(82:82,G22,83:83)-SUMIF(82:82,C22,83:83)+100</f>
        <v>100</v>
      </c>
      <c r="I21" s="408" t="s">
        <v>3503</v>
      </c>
      <c r="J21" s="401">
        <f>SUMIF(82:82,I22,83:83)-SUMIF(82:82,C22,83:83)+100</f>
        <v>100</v>
      </c>
      <c r="K21" s="563">
        <v>2</v>
      </c>
      <c r="L21" s="2720"/>
      <c r="M21" s="2714"/>
      <c r="N21" s="2714"/>
      <c r="O21" s="2714"/>
      <c r="P21" s="3741"/>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8.75" customHeight="1">
      <c r="A22" s="379"/>
      <c r="B22" s="1131"/>
      <c r="C22" s="1901" t="s">
        <v>3503</v>
      </c>
      <c r="D22" s="399"/>
      <c r="E22" s="398" t="s">
        <v>3503</v>
      </c>
      <c r="F22" s="400"/>
      <c r="G22" s="398" t="s">
        <v>3503</v>
      </c>
      <c r="H22" s="399"/>
      <c r="I22" s="398" t="s">
        <v>3503</v>
      </c>
      <c r="J22" s="399"/>
      <c r="K22" s="1130"/>
      <c r="L22" s="2720"/>
      <c r="M22" s="2714"/>
      <c r="N22" s="2714"/>
      <c r="O22" s="2714"/>
      <c r="P22" s="3741"/>
      <c r="Q22" s="1352"/>
      <c r="R22" s="705"/>
      <c r="S22" s="706"/>
      <c r="T22" s="705"/>
      <c r="U22" s="706"/>
      <c r="V22" s="705"/>
      <c r="W22" s="706"/>
      <c r="X22" s="1355"/>
      <c r="Y22" s="3743"/>
      <c r="Z22" s="1356"/>
      <c r="AA22" s="1353">
        <v>1</v>
      </c>
      <c r="AB22" s="1353">
        <v>1</v>
      </c>
      <c r="AC22" s="1353">
        <v>1</v>
      </c>
    </row>
    <row r="23" spans="1:29" ht="18.75" customHeight="1">
      <c r="A23" s="379"/>
      <c r="B23" s="402" t="s">
        <v>1261</v>
      </c>
      <c r="C23" s="1955" t="str">
        <f>估价对象房地状况!C9</f>
        <v>较好</v>
      </c>
      <c r="D23" s="401">
        <v>100</v>
      </c>
      <c r="E23" s="403" t="s">
        <v>3502</v>
      </c>
      <c r="F23" s="404">
        <f>SUMIF(84:84,E24,85:85)-SUMIF(84:84,C24,85:85)+100</f>
        <v>100</v>
      </c>
      <c r="G23" s="405" t="s">
        <v>3502</v>
      </c>
      <c r="H23" s="401">
        <f>SUMIF(84:84,G24,85:85)-SUMIF(84:84,C24,85:85)+100</f>
        <v>100</v>
      </c>
      <c r="I23" s="403" t="s">
        <v>3502</v>
      </c>
      <c r="J23" s="401">
        <f>SUMIF(84:84,I24,85:85)-SUMIF(84:84,C24,85:85)+100</f>
        <v>100</v>
      </c>
      <c r="K23" s="563">
        <v>2</v>
      </c>
      <c r="L23" s="2720"/>
      <c r="M23" s="2714"/>
      <c r="N23" s="2714"/>
      <c r="O23" s="2714"/>
      <c r="P23" s="3741"/>
      <c r="Q23" s="1352" t="str">
        <f>B23</f>
        <v>自然及人文环境</v>
      </c>
      <c r="R23" s="705" t="s">
        <v>14</v>
      </c>
      <c r="S23" s="706">
        <f>F23</f>
        <v>100</v>
      </c>
      <c r="T23" s="705" t="s">
        <v>14</v>
      </c>
      <c r="U23" s="706">
        <f>H23</f>
        <v>100</v>
      </c>
      <c r="V23" s="705" t="s">
        <v>14</v>
      </c>
      <c r="W23" s="706">
        <f>J23</f>
        <v>100</v>
      </c>
      <c r="X23" s="1355"/>
      <c r="Y23" s="3743"/>
      <c r="Z23" s="1356" t="str">
        <f>Q23</f>
        <v>自然及人文环境</v>
      </c>
      <c r="AA23" s="1353">
        <f t="shared" si="3"/>
        <v>1</v>
      </c>
      <c r="AB23" s="1353">
        <f t="shared" si="4"/>
        <v>1</v>
      </c>
      <c r="AC23" s="1353">
        <f t="shared" si="5"/>
        <v>1</v>
      </c>
    </row>
    <row r="24" spans="1:29" ht="15">
      <c r="A24" s="379"/>
      <c r="B24" s="407"/>
      <c r="C24" s="398" t="s">
        <v>3502</v>
      </c>
      <c r="D24" s="399"/>
      <c r="E24" s="1898" t="s">
        <v>3502</v>
      </c>
      <c r="F24" s="400"/>
      <c r="G24" s="1897" t="s">
        <v>3502</v>
      </c>
      <c r="H24" s="399"/>
      <c r="I24" s="1898" t="s">
        <v>3502</v>
      </c>
      <c r="J24" s="399"/>
      <c r="K24" s="564"/>
      <c r="L24" s="2720"/>
      <c r="M24" s="2714"/>
      <c r="N24" s="2714"/>
      <c r="O24" s="2714"/>
      <c r="P24" s="3741"/>
      <c r="Q24" s="1352"/>
      <c r="R24" s="705"/>
      <c r="S24" s="706"/>
      <c r="T24" s="705"/>
      <c r="U24" s="706"/>
      <c r="V24" s="705"/>
      <c r="W24" s="706"/>
      <c r="X24" s="1355"/>
      <c r="Y24" s="3743"/>
      <c r="Z24" s="1356"/>
      <c r="AA24" s="1353">
        <v>1</v>
      </c>
      <c r="AB24" s="1353">
        <v>1</v>
      </c>
      <c r="AC24" s="1353">
        <v>1</v>
      </c>
    </row>
    <row r="25" spans="1:29" ht="15">
      <c r="A25" s="379"/>
      <c r="B25" s="375" t="s">
        <v>1780</v>
      </c>
      <c r="C25" s="565" t="s">
        <v>3504</v>
      </c>
      <c r="D25" s="386">
        <v>100</v>
      </c>
      <c r="E25" s="565" t="s">
        <v>3504</v>
      </c>
      <c r="F25" s="412">
        <f>SUMIF(86:86,E25,87:87)-SUMIF(86:86,C25,87:87)+100</f>
        <v>100</v>
      </c>
      <c r="G25" s="565" t="s">
        <v>3504</v>
      </c>
      <c r="H25" s="386">
        <f>SUMIF(86:86,G25,87:87)-SUMIF(86:86,C25,87:87)+100</f>
        <v>100</v>
      </c>
      <c r="I25" s="565" t="s">
        <v>3504</v>
      </c>
      <c r="J25" s="386">
        <f>SUMIF(86:86,I25,87:87)-SUMIF(86:86,C25,87:87)+100</f>
        <v>100</v>
      </c>
      <c r="K25" s="561">
        <v>2</v>
      </c>
      <c r="L25" s="2720"/>
      <c r="M25" s="2714"/>
      <c r="N25" s="2714"/>
      <c r="O25" s="2714"/>
      <c r="P25" s="3741"/>
      <c r="Q25" s="1352" t="str">
        <f t="shared" ref="Q25:Q46" si="11">B25</f>
        <v>临街状况</v>
      </c>
      <c r="R25" s="705" t="s">
        <v>14</v>
      </c>
      <c r="S25" s="706">
        <f>F25</f>
        <v>100</v>
      </c>
      <c r="T25" s="705" t="s">
        <v>14</v>
      </c>
      <c r="U25" s="706">
        <f>H25</f>
        <v>100</v>
      </c>
      <c r="V25" s="705" t="s">
        <v>14</v>
      </c>
      <c r="W25" s="706">
        <f>J25</f>
        <v>100</v>
      </c>
      <c r="X25" s="1355"/>
      <c r="Y25" s="3743"/>
      <c r="Z25" s="1356" t="str">
        <f>Q25</f>
        <v>临街状况</v>
      </c>
      <c r="AA25" s="1353">
        <f t="shared" si="3"/>
        <v>1</v>
      </c>
      <c r="AB25" s="1353">
        <f t="shared" si="4"/>
        <v>1</v>
      </c>
      <c r="AC25" s="1353">
        <f t="shared" si="5"/>
        <v>1</v>
      </c>
    </row>
    <row r="26" spans="1:29" ht="15">
      <c r="A26" s="379"/>
      <c r="B26" s="1133" t="s">
        <v>1781</v>
      </c>
      <c r="C26" s="3539" t="s">
        <v>3568</v>
      </c>
      <c r="D26" s="386">
        <v>100</v>
      </c>
      <c r="E26" s="385" t="s">
        <v>3505</v>
      </c>
      <c r="F26" s="412">
        <f>SUMIF(88:88,E26,89:89)-SUMIF(88:88,C26,89:89)+100</f>
        <v>100</v>
      </c>
      <c r="G26" s="385" t="s">
        <v>3505</v>
      </c>
      <c r="H26" s="386">
        <f>SUMIF(88:88,G26,89:89)-SUMIF(88:88,C26,89:89)+100</f>
        <v>100</v>
      </c>
      <c r="I26" s="385" t="s">
        <v>3505</v>
      </c>
      <c r="J26" s="386">
        <f>SUMIF(88:88,I26,89:89)-SUMIF(88:88,C26,89:89)+100</f>
        <v>100</v>
      </c>
      <c r="K26" s="562"/>
      <c r="L26" s="2720"/>
      <c r="M26" s="2714"/>
      <c r="N26" s="2714"/>
      <c r="O26" s="2714"/>
      <c r="P26" s="3741"/>
      <c r="Q26" s="1352" t="str">
        <f t="shared" si="11"/>
        <v>平面位置/可视性</v>
      </c>
      <c r="R26" s="705" t="s">
        <v>14</v>
      </c>
      <c r="S26" s="706">
        <f>F26</f>
        <v>100</v>
      </c>
      <c r="T26" s="705" t="s">
        <v>14</v>
      </c>
      <c r="U26" s="706">
        <f>H26</f>
        <v>100</v>
      </c>
      <c r="V26" s="705" t="s">
        <v>14</v>
      </c>
      <c r="W26" s="706">
        <f>J26</f>
        <v>100</v>
      </c>
      <c r="X26" s="1355"/>
      <c r="Y26" s="3743"/>
      <c r="Z26" s="1356" t="str">
        <f>Q26</f>
        <v>平面位置/可视性</v>
      </c>
      <c r="AA26" s="1353">
        <f t="shared" si="3"/>
        <v>1</v>
      </c>
      <c r="AB26" s="1353">
        <f t="shared" si="4"/>
        <v>1</v>
      </c>
      <c r="AC26" s="1353">
        <f t="shared" si="5"/>
        <v>1</v>
      </c>
    </row>
    <row r="27" spans="1:29" s="108" customFormat="1" ht="15">
      <c r="A27" s="382"/>
      <c r="B27" s="402" t="s">
        <v>1782</v>
      </c>
      <c r="C27" s="1956" t="s">
        <v>3540</v>
      </c>
      <c r="D27" s="413">
        <v>100</v>
      </c>
      <c r="E27" s="1956" t="s">
        <v>3540</v>
      </c>
      <c r="F27" s="415">
        <f>SUMIF(90:90,E27,91:91)-SUMIF(90:90,C27,91:91)+100</f>
        <v>100</v>
      </c>
      <c r="G27" s="1956" t="s">
        <v>3502</v>
      </c>
      <c r="H27" s="413">
        <f>SUMIF(90:90,G27,91:91)-SUMIF(90:90,C27,91:91)+100</f>
        <v>103</v>
      </c>
      <c r="I27" s="1956" t="s">
        <v>3502</v>
      </c>
      <c r="J27" s="413">
        <f>SUMIF(90:90,I27,91:91)-SUMIF(90:90,C27,91:91)+100</f>
        <v>103</v>
      </c>
      <c r="K27" s="561">
        <v>3</v>
      </c>
      <c r="L27" s="2715"/>
      <c r="M27" s="2716"/>
      <c r="N27" s="2716"/>
      <c r="O27" s="2716"/>
      <c r="P27" s="3741"/>
      <c r="Q27" s="1343" t="str">
        <f t="shared" si="11"/>
        <v>人流量</v>
      </c>
      <c r="R27" s="701" t="s">
        <v>14</v>
      </c>
      <c r="S27" s="702">
        <f>F27</f>
        <v>100</v>
      </c>
      <c r="T27" s="701" t="s">
        <v>14</v>
      </c>
      <c r="U27" s="702">
        <f>H27</f>
        <v>103</v>
      </c>
      <c r="V27" s="701" t="s">
        <v>14</v>
      </c>
      <c r="W27" s="702">
        <f>J27</f>
        <v>103</v>
      </c>
      <c r="X27" s="703"/>
      <c r="Y27" s="3743"/>
      <c r="Z27" s="52" t="str">
        <f>Q27</f>
        <v>人流量</v>
      </c>
      <c r="AA27" s="1353">
        <f>D27/F27</f>
        <v>1</v>
      </c>
      <c r="AB27" s="1353">
        <f>D27/H27</f>
        <v>0.970873786407767</v>
      </c>
      <c r="AC27" s="1353">
        <f>D27/J27</f>
        <v>0.970873786407767</v>
      </c>
    </row>
    <row r="28" spans="1:29" ht="15.75" thickBot="1">
      <c r="A28" s="379"/>
      <c r="B28" s="375" t="s">
        <v>1783</v>
      </c>
      <c r="C28" s="565" t="s">
        <v>3506</v>
      </c>
      <c r="D28" s="386">
        <v>100</v>
      </c>
      <c r="E28" s="565" t="s">
        <v>3506</v>
      </c>
      <c r="F28" s="412">
        <f>SUMIF(92:92,E28,93:93)-SUMIF(92:92,C28,93:93)+100</f>
        <v>100</v>
      </c>
      <c r="G28" s="565" t="s">
        <v>3506</v>
      </c>
      <c r="H28" s="386">
        <f>SUMIF(92:92,G28,93:93)-SUMIF(92:92,C28,93:93)+100</f>
        <v>100</v>
      </c>
      <c r="I28" s="565" t="s">
        <v>3506</v>
      </c>
      <c r="J28" s="386">
        <f>SUMIF(92:92,I28,93:93)-SUMIF(92:92,C28,93:93)+100</f>
        <v>100</v>
      </c>
      <c r="K28" s="562"/>
      <c r="L28" s="2720"/>
      <c r="M28" s="2714"/>
      <c r="N28" s="2714"/>
      <c r="O28" s="2714"/>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3"/>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1"/>
      <c r="Q29" s="1352">
        <f t="shared" si="11"/>
        <v>111</v>
      </c>
      <c r="R29" s="705" t="s">
        <v>14</v>
      </c>
      <c r="S29" s="706">
        <f t="shared" si="12"/>
        <v>100</v>
      </c>
      <c r="T29" s="705" t="s">
        <v>14</v>
      </c>
      <c r="U29" s="706">
        <f t="shared" si="13"/>
        <v>100</v>
      </c>
      <c r="V29" s="705" t="s">
        <v>14</v>
      </c>
      <c r="W29" s="706">
        <f t="shared" si="14"/>
        <v>100</v>
      </c>
      <c r="X29" s="1355"/>
      <c r="Y29" s="3743"/>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1"/>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1"/>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353">
        <f t="shared" si="5"/>
        <v>1</v>
      </c>
    </row>
    <row r="32" spans="1:29" ht="15">
      <c r="A32" s="391" t="s">
        <v>1694</v>
      </c>
      <c r="B32" s="63" t="s">
        <v>1784</v>
      </c>
      <c r="C32" s="1910" t="s">
        <v>3569</v>
      </c>
      <c r="D32" s="418">
        <v>100</v>
      </c>
      <c r="E32" s="1910" t="s">
        <v>3507</v>
      </c>
      <c r="F32" s="412">
        <f>SUMIF(100:100,E32,101:101)-SUMIF(100:100,C32,101:101)+100</f>
        <v>98</v>
      </c>
      <c r="G32" s="1910" t="s">
        <v>3507</v>
      </c>
      <c r="H32" s="386">
        <f>SUMIF(100:100,G32,101:101)-SUMIF(100:100,C32,101:101)+100</f>
        <v>98</v>
      </c>
      <c r="I32" s="1910" t="s">
        <v>3507</v>
      </c>
      <c r="J32" s="418">
        <f>SUMIF(100:100,I32,101:101)-SUMIF(100:100,C32,101:101)+100</f>
        <v>98</v>
      </c>
      <c r="K32" s="561">
        <v>2</v>
      </c>
      <c r="L32" s="2720"/>
      <c r="M32" s="2714"/>
      <c r="N32" s="2714"/>
      <c r="O32" s="2714"/>
      <c r="P32" s="3744" t="s">
        <v>1696</v>
      </c>
      <c r="Q32" s="1352" t="str">
        <f t="shared" si="11"/>
        <v>商业类型</v>
      </c>
      <c r="R32" s="705" t="s">
        <v>14</v>
      </c>
      <c r="S32" s="706">
        <f t="shared" si="12"/>
        <v>98</v>
      </c>
      <c r="T32" s="705" t="s">
        <v>14</v>
      </c>
      <c r="U32" s="706">
        <f t="shared" si="13"/>
        <v>98</v>
      </c>
      <c r="V32" s="705" t="s">
        <v>14</v>
      </c>
      <c r="W32" s="706">
        <f t="shared" si="14"/>
        <v>98</v>
      </c>
      <c r="X32" s="1355"/>
      <c r="Y32" s="3747" t="s">
        <v>1696</v>
      </c>
      <c r="Z32" s="1356" t="str">
        <f t="shared" si="15"/>
        <v>商业类型</v>
      </c>
      <c r="AA32" s="1353">
        <f t="shared" si="3"/>
        <v>1.0204081632653061</v>
      </c>
      <c r="AB32" s="1353">
        <f t="shared" si="4"/>
        <v>1.0204081632653061</v>
      </c>
      <c r="AC32" s="1353">
        <f t="shared" si="5"/>
        <v>1.0204081632653061</v>
      </c>
    </row>
    <row r="33" spans="1:29" s="422" customFormat="1" ht="15">
      <c r="A33" s="419"/>
      <c r="B33" s="375" t="s">
        <v>1697</v>
      </c>
      <c r="C33" s="420">
        <f>'数据-汇总表'!F19</f>
        <v>359.87</v>
      </c>
      <c r="D33" s="127">
        <v>100</v>
      </c>
      <c r="E33" s="381">
        <f>租金案例!E5</f>
        <v>150.84</v>
      </c>
      <c r="F33" s="376">
        <f>LOOKUP(E33,103:103,104:104)-LOOKUP(C33,103:103,104:104)+100</f>
        <v>102</v>
      </c>
      <c r="G33" s="380">
        <v>150</v>
      </c>
      <c r="H33" s="127">
        <f>LOOKUP(G33,103:103,104:104)-LOOKUP(C33,103:103,104:104)+100</f>
        <v>102</v>
      </c>
      <c r="I33" s="380">
        <v>98.63</v>
      </c>
      <c r="J33" s="127">
        <f>LOOKUP(I33,103:103,104:104)-LOOKUP(C33,103:103,104:104)+100</f>
        <v>104</v>
      </c>
      <c r="K33" s="562"/>
      <c r="L33" s="2719"/>
      <c r="M33" s="2721"/>
      <c r="N33" s="2721"/>
      <c r="O33" s="2721"/>
      <c r="P33" s="3745"/>
      <c r="Q33" s="707" t="str">
        <f t="shared" si="11"/>
        <v>项目建筑规模</v>
      </c>
      <c r="R33" s="708" t="s">
        <v>14</v>
      </c>
      <c r="S33" s="709">
        <f t="shared" si="12"/>
        <v>102</v>
      </c>
      <c r="T33" s="708" t="s">
        <v>14</v>
      </c>
      <c r="U33" s="709">
        <f t="shared" si="13"/>
        <v>102</v>
      </c>
      <c r="V33" s="708" t="s">
        <v>14</v>
      </c>
      <c r="W33" s="709">
        <f t="shared" si="14"/>
        <v>104</v>
      </c>
      <c r="X33" s="710"/>
      <c r="Y33" s="3747"/>
      <c r="Z33" s="711" t="str">
        <f t="shared" si="15"/>
        <v>项目建筑规模</v>
      </c>
      <c r="AA33" s="1353">
        <f t="shared" si="3"/>
        <v>0.98039215686274506</v>
      </c>
      <c r="AB33" s="1353">
        <f t="shared" si="4"/>
        <v>0.98039215686274506</v>
      </c>
      <c r="AC33" s="1353">
        <f t="shared" si="5"/>
        <v>0.96153846153846156</v>
      </c>
    </row>
    <row r="34" spans="1:29" ht="15">
      <c r="A34" s="423"/>
      <c r="B34" s="375" t="s">
        <v>1698</v>
      </c>
      <c r="C34" s="1912" t="s">
        <v>3508</v>
      </c>
      <c r="D34" s="386">
        <v>100</v>
      </c>
      <c r="E34" s="1912" t="s">
        <v>3508</v>
      </c>
      <c r="F34" s="412">
        <f>SUMIF(105:105,E34,106:106)-SUMIF(105:105,C34,106:106)+100</f>
        <v>100</v>
      </c>
      <c r="G34" s="1912" t="s">
        <v>3508</v>
      </c>
      <c r="H34" s="386">
        <f>SUMIF(105:105,G34,106:106)-SUMIF(105:105,C34,106:106)+100</f>
        <v>100</v>
      </c>
      <c r="I34" s="1912" t="s">
        <v>3508</v>
      </c>
      <c r="J34" s="386">
        <f>SUMIF(105:105,I34,106:106)-SUMIF(105:105,C34,106:106)+100</f>
        <v>100</v>
      </c>
      <c r="K34" s="561">
        <v>2</v>
      </c>
      <c r="L34" s="2720"/>
      <c r="M34" s="2714"/>
      <c r="N34" s="2714"/>
      <c r="O34" s="2714"/>
      <c r="P34" s="3745"/>
      <c r="Q34" s="1352" t="str">
        <f t="shared" si="11"/>
        <v>建筑结构</v>
      </c>
      <c r="R34" s="705" t="s">
        <v>14</v>
      </c>
      <c r="S34" s="706">
        <f t="shared" si="12"/>
        <v>100</v>
      </c>
      <c r="T34" s="705" t="s">
        <v>14</v>
      </c>
      <c r="U34" s="706">
        <f t="shared" si="13"/>
        <v>100</v>
      </c>
      <c r="V34" s="705" t="s">
        <v>14</v>
      </c>
      <c r="W34" s="706">
        <f t="shared" si="14"/>
        <v>100</v>
      </c>
      <c r="X34" s="1355"/>
      <c r="Y34" s="3747"/>
      <c r="Z34" s="1356" t="str">
        <f t="shared" si="15"/>
        <v>建筑结构</v>
      </c>
      <c r="AA34" s="1353">
        <f t="shared" si="3"/>
        <v>1</v>
      </c>
      <c r="AB34" s="1353">
        <f t="shared" si="4"/>
        <v>1</v>
      </c>
      <c r="AC34" s="1353">
        <f t="shared" si="5"/>
        <v>1</v>
      </c>
    </row>
    <row r="35" spans="1:29" ht="15">
      <c r="A35" s="423"/>
      <c r="B35" s="375" t="s">
        <v>1785</v>
      </c>
      <c r="C35" s="1906" t="s">
        <v>3509</v>
      </c>
      <c r="D35" s="386">
        <v>100</v>
      </c>
      <c r="E35" s="1906" t="s">
        <v>3509</v>
      </c>
      <c r="F35" s="412">
        <f>SUMIF(107:107,E35,108:108)-SUMIF(107:107,C35,108:108)+100</f>
        <v>100</v>
      </c>
      <c r="G35" s="1906" t="s">
        <v>3509</v>
      </c>
      <c r="H35" s="386">
        <f>SUMIF(107:107,G35,108:108)-SUMIF(107:107,C35,108:108)+100</f>
        <v>100</v>
      </c>
      <c r="I35" s="1906" t="s">
        <v>3509</v>
      </c>
      <c r="J35" s="386">
        <f>SUMIF(107:107,I35,108:108)-SUMIF(107:107,C35,108:108)+100</f>
        <v>100</v>
      </c>
      <c r="K35" s="561">
        <v>2</v>
      </c>
      <c r="L35" s="2720"/>
      <c r="M35" s="2714"/>
      <c r="N35" s="2714"/>
      <c r="O35" s="2714"/>
      <c r="P35" s="3745"/>
      <c r="Q35" s="1352" t="str">
        <f t="shared" si="11"/>
        <v>公共部分装修</v>
      </c>
      <c r="R35" s="705" t="s">
        <v>14</v>
      </c>
      <c r="S35" s="706">
        <f t="shared" si="12"/>
        <v>100</v>
      </c>
      <c r="T35" s="705" t="s">
        <v>14</v>
      </c>
      <c r="U35" s="706">
        <f t="shared" si="13"/>
        <v>100</v>
      </c>
      <c r="V35" s="705" t="s">
        <v>14</v>
      </c>
      <c r="W35" s="706">
        <f t="shared" si="14"/>
        <v>100</v>
      </c>
      <c r="X35" s="1355"/>
      <c r="Y35" s="3747"/>
      <c r="Z35" s="1356" t="str">
        <f t="shared" si="15"/>
        <v>公共部分装修</v>
      </c>
      <c r="AA35" s="1353">
        <f t="shared" si="3"/>
        <v>1</v>
      </c>
      <c r="AB35" s="1353">
        <f t="shared" si="4"/>
        <v>1</v>
      </c>
      <c r="AC35" s="1353">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745"/>
      <c r="Q36" s="1352" t="str">
        <f t="shared" si="11"/>
        <v>成新度</v>
      </c>
      <c r="R36" s="705" t="s">
        <v>14</v>
      </c>
      <c r="S36" s="706">
        <f t="shared" si="12"/>
        <v>100</v>
      </c>
      <c r="T36" s="705" t="s">
        <v>14</v>
      </c>
      <c r="U36" s="706">
        <f t="shared" si="13"/>
        <v>100</v>
      </c>
      <c r="V36" s="705" t="s">
        <v>14</v>
      </c>
      <c r="W36" s="706">
        <f t="shared" si="14"/>
        <v>100</v>
      </c>
      <c r="X36" s="1355"/>
      <c r="Y36" s="3747"/>
      <c r="Z36" s="1356" t="str">
        <f t="shared" si="15"/>
        <v>成新度</v>
      </c>
      <c r="AA36" s="1353">
        <f t="shared" si="3"/>
        <v>1</v>
      </c>
      <c r="AB36" s="1353">
        <f t="shared" si="4"/>
        <v>1</v>
      </c>
      <c r="AC36" s="1353">
        <f t="shared" si="5"/>
        <v>1</v>
      </c>
    </row>
    <row r="37" spans="1:29" s="108" customFormat="1" ht="15">
      <c r="A37" s="424"/>
      <c r="B37" s="375" t="s">
        <v>1787</v>
      </c>
      <c r="C37" s="1906" t="s">
        <v>3510</v>
      </c>
      <c r="D37" s="127">
        <v>100</v>
      </c>
      <c r="E37" s="1906" t="s">
        <v>3510</v>
      </c>
      <c r="F37" s="412">
        <f>SUMIF(112:112,E37,113:113)-SUMIF(112:112,C37,113:113)+100</f>
        <v>100</v>
      </c>
      <c r="G37" s="1906" t="s">
        <v>3510</v>
      </c>
      <c r="H37" s="386">
        <f>SUMIF(112:112,G37,113:113)-SUMIF(112:112,C37,113:113)+100</f>
        <v>100</v>
      </c>
      <c r="I37" s="1906" t="s">
        <v>3510</v>
      </c>
      <c r="J37" s="386">
        <f>SUMIF(112:112,I37,113:113)-SUMIF(112:112,C37,113:113)+100</f>
        <v>100</v>
      </c>
      <c r="K37" s="561">
        <v>1</v>
      </c>
      <c r="L37" s="2715"/>
      <c r="M37" s="2716"/>
      <c r="N37" s="2716"/>
      <c r="O37" s="2716"/>
      <c r="P37" s="3745"/>
      <c r="Q37" s="1343" t="str">
        <f t="shared" si="11"/>
        <v>市政基础设施</v>
      </c>
      <c r="R37" s="701" t="s">
        <v>14</v>
      </c>
      <c r="S37" s="702">
        <f t="shared" si="12"/>
        <v>100</v>
      </c>
      <c r="T37" s="701" t="s">
        <v>14</v>
      </c>
      <c r="U37" s="702">
        <f t="shared" si="13"/>
        <v>100</v>
      </c>
      <c r="V37" s="701" t="s">
        <v>14</v>
      </c>
      <c r="W37" s="702">
        <f t="shared" si="14"/>
        <v>100</v>
      </c>
      <c r="X37" s="703"/>
      <c r="Y37" s="3747"/>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45" t="s">
        <v>1696</v>
      </c>
      <c r="Q38" s="1352" t="str">
        <f t="shared" si="11"/>
        <v>业态</v>
      </c>
      <c r="R38" s="705" t="s">
        <v>14</v>
      </c>
      <c r="S38" s="706">
        <f t="shared" si="12"/>
        <v>100</v>
      </c>
      <c r="T38" s="705" t="s">
        <v>14</v>
      </c>
      <c r="U38" s="706">
        <f t="shared" si="13"/>
        <v>100</v>
      </c>
      <c r="V38" s="705" t="s">
        <v>14</v>
      </c>
      <c r="W38" s="706">
        <f t="shared" si="14"/>
        <v>100</v>
      </c>
      <c r="X38" s="1355"/>
      <c r="Y38" s="3747" t="s">
        <v>1696</v>
      </c>
      <c r="Z38" s="1356" t="str">
        <f t="shared" si="15"/>
        <v>业态</v>
      </c>
      <c r="AA38" s="1353">
        <f t="shared" si="3"/>
        <v>1</v>
      </c>
      <c r="AB38" s="1353">
        <f t="shared" si="4"/>
        <v>1</v>
      </c>
      <c r="AC38" s="1353">
        <f t="shared" si="5"/>
        <v>1</v>
      </c>
    </row>
    <row r="39" spans="1:29" ht="15">
      <c r="A39" s="423"/>
      <c r="B39" s="375" t="s">
        <v>1789</v>
      </c>
      <c r="C39" s="1906" t="s">
        <v>3570</v>
      </c>
      <c r="D39" s="386">
        <v>100</v>
      </c>
      <c r="E39" s="1906" t="s">
        <v>3570</v>
      </c>
      <c r="F39" s="412">
        <f>SUMIF(116:116,E39,117:117)-SUMIF(116:116,C39,117:117)+100</f>
        <v>100</v>
      </c>
      <c r="G39" s="1906" t="s">
        <v>3511</v>
      </c>
      <c r="H39" s="386">
        <f>SUMIF(116:116,G39,117:117)-SUMIF(116:116,C39,117:117)+100</f>
        <v>98</v>
      </c>
      <c r="I39" s="1906" t="s">
        <v>3511</v>
      </c>
      <c r="J39" s="386">
        <f>SUMIF(116:116,I39,117:117)-SUMIF(116:116,C39,117:117)+100</f>
        <v>98</v>
      </c>
      <c r="K39" s="561">
        <v>2</v>
      </c>
      <c r="L39" s="2720"/>
      <c r="M39" s="2714"/>
      <c r="N39" s="2714"/>
      <c r="O39" s="2714"/>
      <c r="P39" s="3745"/>
      <c r="Q39" s="1352" t="str">
        <f t="shared" si="11"/>
        <v>层高</v>
      </c>
      <c r="R39" s="705" t="s">
        <v>14</v>
      </c>
      <c r="S39" s="706">
        <f t="shared" si="12"/>
        <v>100</v>
      </c>
      <c r="T39" s="705" t="s">
        <v>14</v>
      </c>
      <c r="U39" s="706">
        <f t="shared" si="13"/>
        <v>98</v>
      </c>
      <c r="V39" s="705" t="s">
        <v>14</v>
      </c>
      <c r="W39" s="706">
        <f t="shared" si="14"/>
        <v>98</v>
      </c>
      <c r="X39" s="1355"/>
      <c r="Y39" s="3747"/>
      <c r="Z39" s="1356" t="str">
        <f t="shared" si="15"/>
        <v>层高</v>
      </c>
      <c r="AA39" s="1353">
        <f t="shared" si="3"/>
        <v>1</v>
      </c>
      <c r="AB39" s="1353">
        <f t="shared" si="4"/>
        <v>1.0204081632653061</v>
      </c>
      <c r="AC39" s="1353">
        <f t="shared" si="5"/>
        <v>1.0204081632653061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45"/>
      <c r="Q40" s="1352" t="str">
        <f t="shared" si="11"/>
        <v>单套建筑面积</v>
      </c>
      <c r="R40" s="705" t="s">
        <v>14</v>
      </c>
      <c r="S40" s="706">
        <f t="shared" si="12"/>
        <v>100</v>
      </c>
      <c r="T40" s="705" t="s">
        <v>14</v>
      </c>
      <c r="U40" s="706">
        <f t="shared" si="13"/>
        <v>100</v>
      </c>
      <c r="V40" s="705" t="s">
        <v>14</v>
      </c>
      <c r="W40" s="706">
        <f t="shared" si="14"/>
        <v>100</v>
      </c>
      <c r="X40" s="1355"/>
      <c r="Y40" s="3747"/>
      <c r="Z40" s="1356" t="str">
        <f t="shared" si="15"/>
        <v>单套建筑面积</v>
      </c>
      <c r="AA40" s="1353">
        <f t="shared" si="3"/>
        <v>1</v>
      </c>
      <c r="AB40" s="1353">
        <f t="shared" si="4"/>
        <v>1</v>
      </c>
      <c r="AC40" s="1353">
        <f t="shared" si="5"/>
        <v>1</v>
      </c>
    </row>
    <row r="41" spans="1:29" s="422" customFormat="1" ht="15">
      <c r="A41" s="419"/>
      <c r="B41" s="1354" t="s">
        <v>1791</v>
      </c>
      <c r="C41" s="565" t="s">
        <v>3512</v>
      </c>
      <c r="D41" s="386">
        <v>100</v>
      </c>
      <c r="E41" s="565" t="s">
        <v>3512</v>
      </c>
      <c r="F41" s="412">
        <f>SUMIF(120:120,E41,121:121)-SUMIF(120:120,C41,121:121)+100</f>
        <v>100</v>
      </c>
      <c r="G41" s="565" t="s">
        <v>3512</v>
      </c>
      <c r="H41" s="386">
        <f>SUMIF(120:120,G41,121:121)-SUMIF(120:120,C41,121:121)+100</f>
        <v>100</v>
      </c>
      <c r="I41" s="565" t="s">
        <v>3512</v>
      </c>
      <c r="J41" s="386">
        <f>SUMIF(120:120,I41,121:121)-SUMIF(120:120,C41,121:121)+100</f>
        <v>100</v>
      </c>
      <c r="K41" s="561">
        <v>2</v>
      </c>
      <c r="L41" s="2719"/>
      <c r="M41" s="2721"/>
      <c r="N41" s="2721"/>
      <c r="O41" s="2721"/>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1353">
        <f t="shared" si="3"/>
        <v>1</v>
      </c>
      <c r="AB41" s="1353">
        <f t="shared" si="4"/>
        <v>1</v>
      </c>
      <c r="AC41" s="1353">
        <f t="shared" si="5"/>
        <v>1</v>
      </c>
    </row>
    <row r="42" spans="1:29" ht="15">
      <c r="A42" s="423"/>
      <c r="B42" s="375" t="s">
        <v>1792</v>
      </c>
      <c r="C42" s="411" t="s">
        <v>3571</v>
      </c>
      <c r="D42" s="386">
        <v>100</v>
      </c>
      <c r="E42" s="1906" t="s">
        <v>3571</v>
      </c>
      <c r="F42" s="412">
        <f>SUMIF(122:122,E42,123:123)-SUMIF(122:122,C42,123:123)+100</f>
        <v>100</v>
      </c>
      <c r="G42" s="1906" t="s">
        <v>3513</v>
      </c>
      <c r="H42" s="386">
        <f>SUMIF(122:122,G42,123:123)-SUMIF(122:122,C42,123:123)+100</f>
        <v>103</v>
      </c>
      <c r="I42" s="1906" t="s">
        <v>3513</v>
      </c>
      <c r="J42" s="386">
        <f>SUMIF(122:122,I42,123:123)-SUMIF(122:122,C42,123:123)+100</f>
        <v>103</v>
      </c>
      <c r="K42" s="561">
        <v>3</v>
      </c>
      <c r="L42" s="2720"/>
      <c r="M42" s="2714"/>
      <c r="N42" s="2714"/>
      <c r="O42" s="2714"/>
      <c r="P42" s="3745"/>
      <c r="Q42" s="1352" t="str">
        <f t="shared" si="11"/>
        <v>内部装修</v>
      </c>
      <c r="R42" s="705" t="s">
        <v>14</v>
      </c>
      <c r="S42" s="706">
        <f t="shared" si="12"/>
        <v>100</v>
      </c>
      <c r="T42" s="705" t="s">
        <v>14</v>
      </c>
      <c r="U42" s="706">
        <f t="shared" si="13"/>
        <v>103</v>
      </c>
      <c r="V42" s="705" t="s">
        <v>14</v>
      </c>
      <c r="W42" s="706">
        <f t="shared" si="14"/>
        <v>103</v>
      </c>
      <c r="X42" s="1355"/>
      <c r="Y42" s="3747"/>
      <c r="Z42" s="1356" t="str">
        <f t="shared" si="15"/>
        <v>内部装修</v>
      </c>
      <c r="AA42" s="1353">
        <f t="shared" si="3"/>
        <v>1</v>
      </c>
      <c r="AB42" s="1353">
        <f t="shared" si="4"/>
        <v>0.970873786407767</v>
      </c>
      <c r="AC42" s="1353">
        <f t="shared" si="5"/>
        <v>0.970873786407767</v>
      </c>
    </row>
    <row r="43" spans="1:29" ht="15.75" thickBot="1">
      <c r="A43" s="423"/>
      <c r="B43" s="375" t="s">
        <v>1707</v>
      </c>
      <c r="C43" s="1906" t="s">
        <v>3502</v>
      </c>
      <c r="D43" s="386">
        <v>100</v>
      </c>
      <c r="E43" s="1906" t="s">
        <v>3502</v>
      </c>
      <c r="F43" s="412">
        <f>SUMIF(124:124,E43,125:125)-SUMIF(124:124,C43,125:125)+100</f>
        <v>100</v>
      </c>
      <c r="G43" s="1906" t="s">
        <v>3502</v>
      </c>
      <c r="H43" s="386">
        <f>SUMIF(124:124,G43,125:125)-SUMIF(124:124,C43,125:125)+100</f>
        <v>100</v>
      </c>
      <c r="I43" s="1906" t="s">
        <v>3502</v>
      </c>
      <c r="J43" s="386">
        <f>SUMIF(124:124,I43,125:125)-SUMIF(124:124,C43,125:125)+100</f>
        <v>100</v>
      </c>
      <c r="K43" s="561">
        <v>2</v>
      </c>
      <c r="L43" s="2720"/>
      <c r="M43" s="2714"/>
      <c r="N43" s="2714"/>
      <c r="O43" s="2714"/>
      <c r="P43" s="3745"/>
      <c r="Q43" s="1352" t="str">
        <f t="shared" si="11"/>
        <v>内部装修维护情况</v>
      </c>
      <c r="R43" s="705" t="s">
        <v>14</v>
      </c>
      <c r="S43" s="706">
        <f t="shared" si="12"/>
        <v>100</v>
      </c>
      <c r="T43" s="705" t="s">
        <v>14</v>
      </c>
      <c r="U43" s="706">
        <f t="shared" si="13"/>
        <v>100</v>
      </c>
      <c r="V43" s="705" t="s">
        <v>14</v>
      </c>
      <c r="W43" s="706">
        <f t="shared" si="14"/>
        <v>100</v>
      </c>
      <c r="X43" s="1355"/>
      <c r="Y43" s="374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45"/>
      <c r="Q44" s="1343">
        <f t="shared" si="11"/>
        <v>111</v>
      </c>
      <c r="R44" s="701" t="s">
        <v>14</v>
      </c>
      <c r="S44" s="702">
        <f t="shared" si="12"/>
        <v>100</v>
      </c>
      <c r="T44" s="701" t="s">
        <v>14</v>
      </c>
      <c r="U44" s="702">
        <f t="shared" si="13"/>
        <v>100</v>
      </c>
      <c r="V44" s="701" t="s">
        <v>14</v>
      </c>
      <c r="W44" s="702">
        <f t="shared" si="14"/>
        <v>100</v>
      </c>
      <c r="X44" s="703"/>
      <c r="Y44" s="374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45"/>
      <c r="Q45" s="1352">
        <f t="shared" si="11"/>
        <v>111</v>
      </c>
      <c r="R45" s="705" t="s">
        <v>14</v>
      </c>
      <c r="S45" s="706">
        <f t="shared" si="12"/>
        <v>100</v>
      </c>
      <c r="T45" s="705" t="s">
        <v>14</v>
      </c>
      <c r="U45" s="706">
        <f t="shared" si="13"/>
        <v>100</v>
      </c>
      <c r="V45" s="705" t="s">
        <v>14</v>
      </c>
      <c r="W45" s="706">
        <f t="shared" si="14"/>
        <v>100</v>
      </c>
      <c r="X45" s="1355"/>
      <c r="Y45" s="3747"/>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353">
        <f t="shared" si="5"/>
        <v>1</v>
      </c>
    </row>
    <row r="47" spans="1:29" ht="15">
      <c r="A47" s="430" t="s">
        <v>1708</v>
      </c>
      <c r="B47" s="431"/>
      <c r="C47" s="1154" t="s">
        <v>0</v>
      </c>
      <c r="D47" s="1155"/>
      <c r="E47" s="1156">
        <f>租金案例!C5</f>
        <v>8.6999999999999993</v>
      </c>
      <c r="F47" s="1157"/>
      <c r="G47" s="1158">
        <v>9.1</v>
      </c>
      <c r="H47" s="1159"/>
      <c r="I47" s="1156">
        <v>9.33</v>
      </c>
      <c r="J47" s="1159"/>
      <c r="K47" s="714"/>
      <c r="L47" s="2722"/>
      <c r="M47" s="2723"/>
      <c r="N47" s="2714"/>
      <c r="O47" s="2723"/>
      <c r="P47" s="3735" t="str">
        <f>A47</f>
        <v>成交单价（元/平方米）</v>
      </c>
      <c r="Q47" s="3735"/>
      <c r="R47" s="3749">
        <f>E47</f>
        <v>8.6999999999999993</v>
      </c>
      <c r="S47" s="3749"/>
      <c r="T47" s="3749">
        <f>G47</f>
        <v>9.1</v>
      </c>
      <c r="U47" s="3749"/>
      <c r="V47" s="3749">
        <f>I47</f>
        <v>9.33</v>
      </c>
      <c r="W47" s="3749"/>
      <c r="X47" s="690"/>
      <c r="Y47" s="712"/>
      <c r="Z47" s="690"/>
      <c r="AA47" s="690"/>
      <c r="AB47" s="690"/>
      <c r="AC47" s="690"/>
    </row>
    <row r="48" spans="1:29" ht="15.75" thickBot="1">
      <c r="A48" s="437" t="s">
        <v>1793</v>
      </c>
      <c r="B48" s="438"/>
      <c r="C48" s="1160">
        <f>R49</f>
        <v>8.4</v>
      </c>
      <c r="D48" s="2317" t="s">
        <v>2138</v>
      </c>
      <c r="E48" s="1161">
        <f>R48</f>
        <v>8.5</v>
      </c>
      <c r="F48" s="2318"/>
      <c r="G48" s="1160">
        <f>T48</f>
        <v>8.3000000000000007</v>
      </c>
      <c r="H48" s="2318"/>
      <c r="I48" s="1161">
        <f>V48</f>
        <v>8.4</v>
      </c>
      <c r="J48" s="2318"/>
      <c r="K48" s="2320">
        <f>F48+H48+J48</f>
        <v>0</v>
      </c>
      <c r="L48" s="2722"/>
      <c r="M48" s="2723"/>
      <c r="N48" s="2714"/>
      <c r="O48" s="2723"/>
      <c r="P48" s="3735" t="str">
        <f>A48</f>
        <v>比较价值（元/平方米）</v>
      </c>
      <c r="Q48" s="3735"/>
      <c r="R48" s="3736">
        <f>IF(F1="售价",ROUND(PRODUCT(R47,AA7:AA46),0),ROUND(PRODUCT(R47,AA7:AA46),1))</f>
        <v>8.5</v>
      </c>
      <c r="S48" s="3736"/>
      <c r="T48" s="3736">
        <f>IF(F1="售价",ROUND(PRODUCT(T47,AB7:AB46),0),ROUND(PRODUCT(T47,AB7:AB46),1))</f>
        <v>8.3000000000000007</v>
      </c>
      <c r="U48" s="3736"/>
      <c r="V48" s="3736">
        <f>IF(F1="售价",ROUND(PRODUCT(V47,AC7:AC46),0),ROUND(PRODUCT(V47,AC7:AC46),1))</f>
        <v>8.4</v>
      </c>
      <c r="W48" s="3736"/>
      <c r="X48" s="690"/>
      <c r="Y48" s="690"/>
      <c r="Z48" s="690"/>
      <c r="AA48" s="690"/>
      <c r="AB48" s="690"/>
      <c r="AC48" s="690"/>
    </row>
    <row r="49" spans="1:29" ht="15.75" thickBot="1">
      <c r="A49" s="441" t="s">
        <v>1794</v>
      </c>
      <c r="B49" s="442"/>
      <c r="C49" s="1163">
        <f>R49</f>
        <v>8.4</v>
      </c>
      <c r="D49" s="1163"/>
      <c r="E49" s="1163"/>
      <c r="F49" s="1163"/>
      <c r="G49" s="1163"/>
      <c r="H49" s="1163"/>
      <c r="I49" s="1163"/>
      <c r="J49" s="1163"/>
      <c r="K49" s="715"/>
      <c r="L49" s="2722"/>
      <c r="M49" s="2723"/>
      <c r="N49" s="2714"/>
      <c r="O49" s="2723"/>
      <c r="P49" s="3737" t="str">
        <f>A49</f>
        <v>估价对象XX用房的比较价值（楼面单价，元/平方米）</v>
      </c>
      <c r="Q49" s="3738"/>
      <c r="R49" s="3739">
        <f>IF(F1="售价",ROUND(IF(D48="简单平均",AVERAGE(R48:V48),R48*F48+T48*H48+V48*J48),0),ROUND(IF(D48="简单平均",AVERAGE(R48:V48),R48*F48+T48*H48+V48*J48),1))</f>
        <v>8.4</v>
      </c>
      <c r="S49" s="3739"/>
      <c r="T49" s="3739"/>
      <c r="U49" s="3739"/>
      <c r="V49" s="3739"/>
      <c r="W49" s="373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2.3529411764705799E-2</v>
      </c>
      <c r="F52" s="449" t="str">
        <f>IF(OR(E52&gt;=0.3,E52&lt;=-0.3),"超过30%","")</f>
        <v/>
      </c>
      <c r="G52" s="448">
        <f>IF(G47&lt;G48,G48/G47-1,G47/G48-1)</f>
        <v>9.6385542168674565E-2</v>
      </c>
      <c r="H52" s="449" t="str">
        <f>IF(OR(G52&gt;=0.3,G52&lt;=-0.3),"超过30%","")</f>
        <v/>
      </c>
      <c r="I52" s="448">
        <f>IF(I47&lt;I48,I48/I47-1,I47/I48-1)</f>
        <v>0.11071428571428577</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2.409638554216853E-2</v>
      </c>
      <c r="F53" s="449" t="str">
        <f>IF(OR(E53&gt;=0.2,E53&lt;=-0.2),"超过20%","")</f>
        <v/>
      </c>
      <c r="G53" s="448">
        <f>IF(G48&lt;I48,I48/G48-1,G48/I48-1)</f>
        <v>1.2048192771084265E-2</v>
      </c>
      <c r="H53" s="449" t="str">
        <f>IF(OR(G53&gt;=0.2,G53&lt;=-0.2),"超过20%","")</f>
        <v/>
      </c>
      <c r="I53" s="448">
        <f>IF(I48&lt;E48,E48/I48-1,I48/E48-1)</f>
        <v>1.1904761904761862E-2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4.5977011494252817E-2</v>
      </c>
      <c r="F54" s="449" t="str">
        <f>IF(OR(E54&gt;=0.3,E54&lt;=-0.3),"超过30%","")</f>
        <v/>
      </c>
      <c r="G54" s="448">
        <f>IF(G47&lt;I47,I47/G47-1,G47/I47-1)</f>
        <v>2.5274725274725407E-2</v>
      </c>
      <c r="H54" s="449" t="str">
        <f>IF(OR(G54&gt;=0.3,G54&lt;=-0.3),"超过30%","")</f>
        <v/>
      </c>
      <c r="I54" s="448">
        <f>IF(I47&lt;E47,E47/I47-1,I47/E47-1)</f>
        <v>7.241379310344831E-2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533" t="s">
        <v>3545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534" t="s">
        <v>3546</v>
      </c>
      <c r="D86" s="3534" t="s">
        <v>3547</v>
      </c>
      <c r="E86" s="3534" t="s">
        <v>3548</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3549</v>
      </c>
      <c r="D88" s="503" t="s">
        <v>3550</v>
      </c>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3541</v>
      </c>
      <c r="D90" s="503" t="s">
        <v>3502</v>
      </c>
      <c r="E90" s="503" t="s">
        <v>3540</v>
      </c>
      <c r="F90" s="503" t="s">
        <v>3551</v>
      </c>
      <c r="G90" s="503" t="s">
        <v>3544</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3552</v>
      </c>
      <c r="D92" s="503" t="s">
        <v>3553</v>
      </c>
      <c r="E92" s="3535" t="s">
        <v>3554</v>
      </c>
      <c r="F92" s="3534" t="s">
        <v>3555</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105</v>
      </c>
      <c r="D93" s="485">
        <v>100</v>
      </c>
      <c r="E93" s="485">
        <v>102</v>
      </c>
      <c r="F93" s="485">
        <v>104</v>
      </c>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535" t="s">
        <v>3556</v>
      </c>
      <c r="D100" s="3536" t="s">
        <v>3557</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200(含)-500</v>
      </c>
      <c r="H102" s="527" t="str">
        <f t="shared" si="23"/>
        <v>500(含)-1000</v>
      </c>
      <c r="I102" s="527" t="str">
        <f t="shared" si="23"/>
        <v>1000(含)-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30</v>
      </c>
      <c r="E103" s="544">
        <v>50</v>
      </c>
      <c r="F103" s="544">
        <v>100</v>
      </c>
      <c r="G103" s="544">
        <v>200</v>
      </c>
      <c r="H103" s="544">
        <v>500</v>
      </c>
      <c r="I103" s="544">
        <v>1000</v>
      </c>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H104" si="24">D104-2</f>
        <v>96</v>
      </c>
      <c r="F104" s="485">
        <f t="shared" si="24"/>
        <v>94</v>
      </c>
      <c r="G104" s="485">
        <f t="shared" si="24"/>
        <v>92</v>
      </c>
      <c r="H104" s="485">
        <f t="shared" si="24"/>
        <v>90</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534" t="s">
        <v>3558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534" t="s">
        <v>3559</v>
      </c>
      <c r="D107" s="3534" t="s">
        <v>3560</v>
      </c>
      <c r="E107" s="3534" t="s">
        <v>3561</v>
      </c>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534" t="s">
        <v>3562</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534" t="s">
        <v>3563</v>
      </c>
      <c r="D116" s="3534" t="s">
        <v>3564</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3537" t="s">
        <v>3565</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534" t="s">
        <v>3559</v>
      </c>
      <c r="D122" s="3534" t="s">
        <v>3560</v>
      </c>
      <c r="E122" s="3534" t="s">
        <v>3561</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359.87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359.87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-0.19740000000000002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359.87</v>
      </c>
      <c r="E20" s="21">
        <f>'数据-取费表'!B28</f>
        <v>200</v>
      </c>
      <c r="F20" s="804"/>
      <c r="G20" s="12"/>
      <c r="H20" s="809"/>
      <c r="I20" s="809"/>
      <c r="J20" s="809"/>
      <c r="K20" s="810"/>
    </row>
    <row r="21" spans="1:33" s="803" customFormat="1" ht="13.5" customHeight="1">
      <c r="A21" s="790" t="s">
        <v>357</v>
      </c>
      <c r="B21" s="813" t="s">
        <v>1628</v>
      </c>
      <c r="C21" s="814">
        <f ca="1">C16+C17+C18</f>
        <v>-0.19740000000000002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83" t="s">
        <v>694</v>
      </c>
      <c r="C6" s="1074">
        <f ca="1">ROUND(F6*F8*F7*(1-F9)/10000,0)</f>
        <v>0</v>
      </c>
      <c r="D6" s="155" t="s">
        <v>2109</v>
      </c>
      <c r="E6" s="302" t="s">
        <v>696</v>
      </c>
      <c r="F6" s="303">
        <f ca="1">INDIRECT("'数据-取费表'!u"&amp;$G$1)</f>
        <v>0</v>
      </c>
      <c r="G6" s="1384"/>
      <c r="H6" s="1069" t="s">
        <v>398</v>
      </c>
      <c r="I6" s="3783" t="s">
        <v>694</v>
      </c>
      <c r="J6" s="301">
        <f ca="1">ROUND(M6*M8*M7*(1-M9)/10000,0)</f>
        <v>0</v>
      </c>
      <c r="K6" s="155" t="s">
        <v>2108</v>
      </c>
      <c r="L6" s="302" t="s">
        <v>696</v>
      </c>
      <c r="M6" s="303">
        <f ca="1">INDIRECT("'数据-取费表'!z"&amp;$G$1)</f>
        <v>0</v>
      </c>
    </row>
    <row r="7" spans="1:37" ht="18" customHeight="1">
      <c r="A7" s="1073"/>
      <c r="B7" s="3784"/>
      <c r="C7" s="1075"/>
      <c r="D7" s="307"/>
      <c r="E7" s="1076" t="s">
        <v>697</v>
      </c>
      <c r="F7" s="303">
        <f ca="1">IF(INDIRECT("'数据-取费表'!ah"&amp;$G$1)="",INDIRECT("'数据-取费表'!k"&amp;$G$1),INDIRECT("'数据-取费表'!ah"&amp;$G$1))</f>
        <v>0</v>
      </c>
      <c r="G7" s="1384"/>
      <c r="H7" s="304"/>
      <c r="I7" s="3784"/>
      <c r="J7" s="306"/>
      <c r="K7" s="307"/>
      <c r="L7" s="302" t="s">
        <v>697</v>
      </c>
      <c r="M7" s="303">
        <f ca="1">F7</f>
        <v>0</v>
      </c>
    </row>
    <row r="8" spans="1:37" ht="18" customHeight="1">
      <c r="A8" s="304"/>
      <c r="B8" s="3784"/>
      <c r="C8" s="306"/>
      <c r="D8" s="307"/>
      <c r="E8" s="302" t="s">
        <v>698</v>
      </c>
      <c r="F8" s="303">
        <f ca="1">INDIRECT("'数据-取费表'!ai"&amp;$G$1)</f>
        <v>0</v>
      </c>
      <c r="G8" s="1384"/>
      <c r="H8" s="304"/>
      <c r="I8" s="3784"/>
      <c r="J8" s="306"/>
      <c r="K8" s="307"/>
      <c r="L8" s="302" t="s">
        <v>698</v>
      </c>
      <c r="M8" s="303">
        <f ca="1">INDIRECT("'数据-取费表'!ai"&amp;$G$1)</f>
        <v>0</v>
      </c>
    </row>
    <row r="9" spans="1:37" ht="18" customHeight="1">
      <c r="A9" s="304"/>
      <c r="B9" s="3785"/>
      <c r="C9" s="306"/>
      <c r="D9" s="307"/>
      <c r="E9" s="302" t="s">
        <v>699</v>
      </c>
      <c r="F9" s="312">
        <f ca="1">INDIRECT("'数据-取费表'!w"&amp;$G$1)</f>
        <v>0</v>
      </c>
      <c r="G9" s="1384"/>
      <c r="H9" s="304"/>
      <c r="I9" s="37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81" t="s">
        <v>837</v>
      </c>
      <c r="L53" s="378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3506</v>
      </c>
      <c r="D1" s="1362" t="s">
        <v>43</v>
      </c>
      <c r="E1" s="1363" t="s">
        <v>678</v>
      </c>
      <c r="F1" s="1062">
        <f ca="1">J53</f>
        <v>50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797.40539999999999</v>
      </c>
      <c r="C2" s="1387" t="s">
        <v>879</v>
      </c>
      <c r="D2" s="1471">
        <f ca="1">C40+J29+L46</f>
        <v>7974054</v>
      </c>
      <c r="E2" s="1388" t="s">
        <v>880</v>
      </c>
      <c r="F2" s="1389"/>
      <c r="G2" s="2704"/>
      <c r="H2" s="2693"/>
      <c r="I2" s="2693"/>
      <c r="J2" s="2693"/>
      <c r="K2" s="2694"/>
      <c r="L2" s="2693"/>
      <c r="M2" s="2693"/>
    </row>
    <row r="3" spans="1:37" ht="18" customHeight="1" thickBot="1">
      <c r="A3" s="1390" t="s">
        <v>881</v>
      </c>
      <c r="B3" s="1391">
        <f ca="1">IF(ISERROR(D2/F43),0,ROUND(D2/F43,0))</f>
        <v>22158</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1124468</v>
      </c>
      <c r="D5" s="1364" t="s">
        <v>889</v>
      </c>
      <c r="E5" s="1071"/>
      <c r="F5" s="1072"/>
      <c r="G5" s="1384"/>
      <c r="H5" s="299">
        <v>1</v>
      </c>
      <c r="I5" s="300" t="s">
        <v>888</v>
      </c>
      <c r="J5" s="1070">
        <f ca="1">J6+J10+J12</f>
        <v>0</v>
      </c>
      <c r="K5" s="1364" t="s">
        <v>889</v>
      </c>
      <c r="L5" s="1071"/>
      <c r="M5" s="1072"/>
    </row>
    <row r="6" spans="1:37" ht="18" customHeight="1">
      <c r="A6" s="1069" t="s">
        <v>398</v>
      </c>
      <c r="B6" s="3783" t="s">
        <v>694</v>
      </c>
      <c r="C6" s="1074">
        <f ca="1">ROUND(F6*F8*F7*(1-F9),0)</f>
        <v>1123064</v>
      </c>
      <c r="D6" s="155" t="s">
        <v>2106</v>
      </c>
      <c r="E6" s="302" t="s">
        <v>696</v>
      </c>
      <c r="F6" s="303">
        <f ca="1">INDIRECT("'数据-取费表'!u"&amp;$G$1)</f>
        <v>9.5</v>
      </c>
      <c r="G6" s="1384"/>
      <c r="H6" s="1069" t="s">
        <v>398</v>
      </c>
      <c r="I6" s="3783" t="s">
        <v>694</v>
      </c>
      <c r="J6" s="301">
        <f ca="1">ROUND(M6*M8*M7*(1-M9),0)</f>
        <v>0</v>
      </c>
      <c r="K6" s="1376" t="s">
        <v>2107</v>
      </c>
      <c r="L6" s="302" t="s">
        <v>696</v>
      </c>
      <c r="M6" s="303">
        <f ca="1">INDIRECT("'数据-取费表'!z"&amp;$G$1)</f>
        <v>0</v>
      </c>
    </row>
    <row r="7" spans="1:37" ht="18" customHeight="1">
      <c r="A7" s="1073"/>
      <c r="B7" s="3784"/>
      <c r="C7" s="1075"/>
      <c r="D7" s="307"/>
      <c r="E7" s="1076" t="s">
        <v>697</v>
      </c>
      <c r="F7" s="303">
        <f ca="1">IF(INDIRECT("'数据-取费表'!ah"&amp;$G$1)="",INDIRECT("'数据-取费表'!k"&amp;$G$1),INDIRECT("'数据-取费表'!ah"&amp;$G$1))</f>
        <v>359.87</v>
      </c>
      <c r="G7" s="1384"/>
      <c r="H7" s="304"/>
      <c r="I7" s="3784"/>
      <c r="J7" s="306"/>
      <c r="K7" s="307"/>
      <c r="L7" s="302" t="s">
        <v>697</v>
      </c>
      <c r="M7" s="303">
        <f ca="1">F7</f>
        <v>359.87</v>
      </c>
    </row>
    <row r="8" spans="1:37" ht="18" customHeight="1">
      <c r="A8" s="304"/>
      <c r="B8" s="3784"/>
      <c r="C8" s="306"/>
      <c r="D8" s="307"/>
      <c r="E8" s="302" t="s">
        <v>698</v>
      </c>
      <c r="F8" s="303">
        <f ca="1">INDIRECT("'数据-取费表'!ai"&amp;$G$1)</f>
        <v>365</v>
      </c>
      <c r="G8" s="1384"/>
      <c r="H8" s="304"/>
      <c r="I8" s="3784"/>
      <c r="J8" s="306"/>
      <c r="K8" s="307"/>
      <c r="L8" s="302" t="s">
        <v>698</v>
      </c>
      <c r="M8" s="303">
        <f ca="1">INDIRECT("'数据-取费表'!ai"&amp;$G$1)</f>
        <v>365</v>
      </c>
    </row>
    <row r="9" spans="1:37" ht="18" customHeight="1">
      <c r="A9" s="304"/>
      <c r="B9" s="3785"/>
      <c r="C9" s="306"/>
      <c r="D9" s="307"/>
      <c r="E9" s="302" t="s">
        <v>699</v>
      </c>
      <c r="F9" s="312">
        <f ca="1">INDIRECT("'数据-取费表'!w"&amp;$G$1)</f>
        <v>0.1</v>
      </c>
      <c r="G9" s="1384"/>
      <c r="H9" s="304"/>
      <c r="I9" s="3785"/>
      <c r="J9" s="306"/>
      <c r="K9" s="307"/>
      <c r="L9" s="313" t="s">
        <v>699</v>
      </c>
      <c r="M9" s="314">
        <f ca="1">INDIRECT("'数据-取费表'!ab"&amp;$G$1)</f>
        <v>0</v>
      </c>
    </row>
    <row r="10" spans="1:37" ht="18" customHeight="1">
      <c r="A10" s="1069" t="s">
        <v>402</v>
      </c>
      <c r="B10" s="1365" t="s">
        <v>700</v>
      </c>
      <c r="C10" s="316">
        <f ca="1">ROUND(IF(F10="押一",C6/12*F11,IF(F10="押二",C6/12*2*F11,IF(F10="押三",C6/12*3*F11,C11*F11))),0)</f>
        <v>1404</v>
      </c>
      <c r="D10" s="1366" t="s">
        <v>2116</v>
      </c>
      <c r="E10" s="313" t="s">
        <v>701</v>
      </c>
      <c r="F10" s="1116" t="s">
        <v>3599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2493771</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1799350</v>
      </c>
      <c r="D14" s="1345" t="s">
        <v>708</v>
      </c>
      <c r="E14" s="1342"/>
      <c r="F14" s="319"/>
      <c r="G14" s="1384"/>
      <c r="H14" s="982" t="s">
        <v>398</v>
      </c>
      <c r="I14" s="302" t="s">
        <v>709</v>
      </c>
      <c r="J14" s="21">
        <f ca="1">C29</f>
        <v>2570898</v>
      </c>
      <c r="K14" s="12"/>
      <c r="L14" s="807"/>
      <c r="M14" s="808"/>
    </row>
    <row r="15" spans="1:37" s="1397" customFormat="1" ht="18" customHeight="1" thickBot="1">
      <c r="A15" s="982" t="s">
        <v>399</v>
      </c>
      <c r="B15" s="302" t="s">
        <v>710</v>
      </c>
      <c r="C15" s="21">
        <f ca="1">ROUND(C14*F15,0)</f>
        <v>53981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38563</v>
      </c>
      <c r="K16" s="1087" t="s">
        <v>715</v>
      </c>
      <c r="L16" s="1088"/>
      <c r="M16" s="1072"/>
    </row>
    <row r="17" spans="1:37" s="1397" customFormat="1" ht="18" customHeight="1">
      <c r="A17" s="982" t="s">
        <v>681</v>
      </c>
      <c r="B17" s="302" t="s">
        <v>716</v>
      </c>
      <c r="C17" s="21">
        <f ca="1">ROUND(F17*(F43+INDIRECT("'数据-取费表'!S"&amp;$G$1)),0)</f>
        <v>71974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26990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1952295</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39046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38563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82640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-38563</v>
      </c>
      <c r="K25" s="1095" t="s">
        <v>753</v>
      </c>
      <c r="L25" s="1096"/>
      <c r="M25" s="1097"/>
    </row>
    <row r="26" spans="1:37" ht="18" customHeight="1">
      <c r="A26" s="982" t="s">
        <v>397</v>
      </c>
      <c r="B26" s="302" t="s">
        <v>754</v>
      </c>
      <c r="C26" s="21">
        <f ca="1">ROUND((C19+C20)*F26,0)</f>
        <v>298701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0.14000000000000001</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2570898</v>
      </c>
      <c r="D29" s="1092"/>
      <c r="E29" s="1090"/>
      <c r="F29" s="1093"/>
      <c r="G29" s="1396"/>
      <c r="H29" s="334" t="s">
        <v>396</v>
      </c>
      <c r="I29" s="335" t="s">
        <v>768</v>
      </c>
      <c r="J29" s="336">
        <f ca="1">ROUND(J26/(1+F40)^F41,0)</f>
        <v>0</v>
      </c>
      <c r="K29" s="337" t="s">
        <v>769</v>
      </c>
      <c r="L29" s="338"/>
      <c r="M29" s="339">
        <f ca="1">INDIRECT("'数据-取费表'!k"&amp;$G$1)</f>
        <v>359.87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241796</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188247</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59897</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128350</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38563</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ROUND(C13*F37,0)</f>
        <v>3741</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11245</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882672</v>
      </c>
      <c r="D39" s="1095" t="s">
        <v>773</v>
      </c>
      <c r="E39" s="1096"/>
      <c r="F39" s="1097"/>
      <c r="G39" s="1384"/>
      <c r="H39" s="2698"/>
      <c r="I39" s="1398"/>
      <c r="J39" s="1399"/>
      <c r="K39" s="2702"/>
      <c r="L39" s="2698"/>
      <c r="M39" s="2698"/>
    </row>
    <row r="40" spans="1:18" ht="18" customHeight="1">
      <c r="A40" s="299" t="s">
        <v>395</v>
      </c>
      <c r="B40" s="300" t="s">
        <v>774</v>
      </c>
      <c r="C40" s="301">
        <f ca="1">ROUND(C39*(1-((1+F42)/(1+F40))^F41)/(F40-F42),0)</f>
        <v>7974054</v>
      </c>
      <c r="D40" s="324" t="s">
        <v>758</v>
      </c>
      <c r="E40" s="302" t="s">
        <v>759</v>
      </c>
      <c r="F40" s="312">
        <f ca="1">INDIRECT("'数据-取费表'!I"&amp;$G$1)</f>
        <v>0.14000000000000001</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50</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22158</v>
      </c>
      <c r="D43" s="337" t="s">
        <v>777</v>
      </c>
      <c r="E43" s="338" t="s">
        <v>778</v>
      </c>
      <c r="F43" s="339">
        <f ca="1">INDIRECT("'数据-取费表'!k"&amp;$G$1)</f>
        <v>359.87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-827.57939999999996</v>
      </c>
      <c r="D45" s="3430" t="s">
        <v>3355</v>
      </c>
      <c r="E45" s="1400"/>
      <c r="F45" s="1400"/>
      <c r="O45" s="1403" t="s">
        <v>808</v>
      </c>
      <c r="P45" s="1461"/>
      <c r="Q45" s="1461"/>
      <c r="R45" s="1461"/>
    </row>
    <row r="46" spans="1:18" s="1384" customFormat="1" ht="13.5" thickBot="1">
      <c r="A46" s="1404" t="s">
        <v>809</v>
      </c>
      <c r="C46" s="1405">
        <f ca="1">ROUND(C45,0)</f>
        <v>-828</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3508</v>
      </c>
      <c r="K47" s="1416" t="s">
        <v>816</v>
      </c>
      <c r="L47" s="1417">
        <f ca="1">INDIRECT("'数据-取费表'!d"&amp;$G$1)</f>
        <v>50</v>
      </c>
      <c r="M47" s="1380" t="str">
        <f>IF(ISNUMBER(FIND("住宅",C1)),"住宅","非住宅")</f>
        <v>非住宅</v>
      </c>
      <c r="O47" s="1418" t="s">
        <v>403</v>
      </c>
      <c r="P47" s="1419" t="s">
        <v>817</v>
      </c>
      <c r="Q47" s="1420">
        <f ca="1">C40+J29</f>
        <v>7974054</v>
      </c>
      <c r="R47" s="1420" t="s">
        <v>818</v>
      </c>
    </row>
    <row r="48" spans="1:18" s="1384" customFormat="1" ht="28.5" thickBot="1">
      <c r="A48" s="1110" t="s">
        <v>438</v>
      </c>
      <c r="B48" s="300" t="s">
        <v>692</v>
      </c>
      <c r="C48" s="1359">
        <f ca="1">C49+C53+C55</f>
        <v>0</v>
      </c>
      <c r="D48" s="1112"/>
      <c r="E48" s="1113"/>
      <c r="F48" s="962"/>
      <c r="G48" s="722"/>
      <c r="H48" s="723"/>
      <c r="I48" s="1421" t="s">
        <v>819</v>
      </c>
      <c r="J48" s="1422" t="s">
        <v>3600</v>
      </c>
      <c r="K48" s="1423" t="s">
        <v>820</v>
      </c>
      <c r="L48" s="1424">
        <f ca="1">INDIRECT("'数据-取费表'!f"&amp;$G$1)</f>
        <v>50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2570898</v>
      </c>
      <c r="R49" s="1420" t="s">
        <v>818</v>
      </c>
    </row>
    <row r="50" spans="1:18" s="1384" customFormat="1" ht="13.5" thickBot="1">
      <c r="A50" s="976"/>
      <c r="B50" s="979"/>
      <c r="C50" s="980"/>
      <c r="D50" s="953"/>
      <c r="E50" s="1056" t="s">
        <v>697</v>
      </c>
      <c r="F50" s="1057">
        <f ca="1">F7</f>
        <v>359.87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11967162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50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50</v>
      </c>
      <c r="K53" s="3781" t="s">
        <v>837</v>
      </c>
      <c r="L53" s="3782"/>
      <c r="O53" s="1418" t="s">
        <v>409</v>
      </c>
      <c r="P53" s="1419" t="s">
        <v>838</v>
      </c>
      <c r="Q53" s="1420">
        <f ca="1">Q47+Q48</f>
        <v>7974054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2493771</v>
      </c>
      <c r="D56" s="1447"/>
      <c r="E56" s="1448"/>
      <c r="F56" s="1440"/>
      <c r="I56" s="1449" t="s">
        <v>842</v>
      </c>
      <c r="J56" s="1450" t="s">
        <v>3526</v>
      </c>
      <c r="K56" s="1421" t="s">
        <v>843</v>
      </c>
      <c r="L56" s="1424" t="str">
        <f ca="1">IF(L48&lt;J51,"——",L48-J51)</f>
        <v>——</v>
      </c>
      <c r="O56" s="1418" t="s">
        <v>403</v>
      </c>
      <c r="P56" s="1419" t="s">
        <v>817</v>
      </c>
      <c r="Q56" s="1420">
        <f ca="1">C40+J29</f>
        <v>7974054</v>
      </c>
      <c r="R56" s="1420" t="s">
        <v>818</v>
      </c>
    </row>
    <row r="57" spans="1:18" s="1384" customFormat="1" ht="24.75" thickBot="1">
      <c r="A57" s="1451"/>
      <c r="B57" s="950" t="s">
        <v>767</v>
      </c>
      <c r="C57" s="238">
        <f ca="1">C29</f>
        <v>2570898</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42304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7974054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38563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3741</v>
      </c>
      <c r="D65" s="964" t="s">
        <v>743</v>
      </c>
      <c r="E65" s="950" t="s">
        <v>744</v>
      </c>
      <c r="F65" s="330">
        <f t="shared" ca="1" si="0"/>
        <v>1.5E-3</v>
      </c>
      <c r="I65" s="1462" t="s">
        <v>867</v>
      </c>
      <c r="J65" s="1463">
        <v>40</v>
      </c>
      <c r="K65" s="1463">
        <v>30</v>
      </c>
      <c r="L65" s="1463">
        <v>50</v>
      </c>
      <c r="M65" s="1465">
        <v>0.02</v>
      </c>
      <c r="O65" s="1418" t="s">
        <v>403</v>
      </c>
      <c r="P65" s="1419" t="s">
        <v>868</v>
      </c>
      <c r="Q65" s="1420">
        <f ca="1">C40+J29</f>
        <v>7974054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-42304</v>
      </c>
      <c r="D67" s="963" t="s">
        <v>753</v>
      </c>
      <c r="E67" s="968"/>
      <c r="F67" s="969"/>
      <c r="O67" s="1428" t="s">
        <v>405</v>
      </c>
      <c r="P67" s="1419" t="s">
        <v>850</v>
      </c>
      <c r="Q67" s="1466">
        <f ca="1">L51</f>
        <v>11967162</v>
      </c>
      <c r="R67" s="1420" t="s">
        <v>870</v>
      </c>
    </row>
    <row r="68" spans="1:18" s="1384" customFormat="1" ht="16.5" thickBot="1">
      <c r="A68" s="947" t="s">
        <v>395</v>
      </c>
      <c r="B68" s="948" t="s">
        <v>774</v>
      </c>
      <c r="C68" s="301">
        <f ca="1">ROUND(C67*(1-((1+F70)/(1+F68))^F69)/(F68-F70),0)</f>
        <v>-301740</v>
      </c>
      <c r="D68" s="965" t="s">
        <v>758</v>
      </c>
      <c r="E68" s="950" t="s">
        <v>759</v>
      </c>
      <c r="F68" s="312">
        <f ca="1">F40</f>
        <v>0.14000000000000001</v>
      </c>
      <c r="O68" s="1428" t="s">
        <v>406</v>
      </c>
      <c r="P68" s="1467" t="s">
        <v>871</v>
      </c>
      <c r="Q68" s="1420">
        <f ca="1">ROUND(Q69-Q70*Q71,0)</f>
        <v>533544</v>
      </c>
      <c r="R68" s="1420" t="s">
        <v>414</v>
      </c>
    </row>
    <row r="69" spans="1:18" s="1384" customFormat="1" ht="13.5" thickBot="1">
      <c r="A69" s="951"/>
      <c r="B69" s="952"/>
      <c r="C69" s="306"/>
      <c r="D69" s="970" t="s">
        <v>762</v>
      </c>
      <c r="E69" s="950" t="s">
        <v>763</v>
      </c>
      <c r="F69" s="333">
        <f ca="1">F41</f>
        <v>50</v>
      </c>
      <c r="O69" s="1428" t="s">
        <v>411</v>
      </c>
      <c r="P69" s="1467" t="s">
        <v>872</v>
      </c>
      <c r="Q69" s="1420">
        <f ca="1">C39</f>
        <v>882672</v>
      </c>
      <c r="R69" s="1420" t="s">
        <v>818</v>
      </c>
    </row>
    <row r="70" spans="1:18" s="1384" customFormat="1" ht="13.5" thickBot="1">
      <c r="A70" s="954"/>
      <c r="B70" s="955"/>
      <c r="C70" s="310"/>
      <c r="D70" s="966"/>
      <c r="E70" s="950" t="s">
        <v>766</v>
      </c>
      <c r="F70" s="1054"/>
      <c r="O70" s="1428" t="s">
        <v>412</v>
      </c>
      <c r="P70" s="1467" t="s">
        <v>873</v>
      </c>
      <c r="Q70" s="1420">
        <f ca="1">C13</f>
        <v>2493771</v>
      </c>
      <c r="R70" s="1420" t="s">
        <v>818</v>
      </c>
    </row>
    <row r="71" spans="1:18" s="1384" customFormat="1" ht="13.5" thickBot="1">
      <c r="A71" s="971" t="s">
        <v>396</v>
      </c>
      <c r="B71" s="972" t="s">
        <v>776</v>
      </c>
      <c r="C71" s="336">
        <f ca="1">ROUND(C68/F71,0)</f>
        <v>-838</v>
      </c>
      <c r="D71" s="973" t="s">
        <v>777</v>
      </c>
      <c r="E71" s="974" t="s">
        <v>778</v>
      </c>
      <c r="F71" s="339">
        <f ca="1">F43</f>
        <v>359.87</v>
      </c>
      <c r="O71" s="1428" t="s">
        <v>413</v>
      </c>
      <c r="P71" s="1467" t="s">
        <v>874</v>
      </c>
      <c r="Q71" s="1431">
        <f ca="1">C76</f>
        <v>0.14000000000000001</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349128</v>
      </c>
      <c r="D75" s="1384"/>
      <c r="E75" s="1384"/>
      <c r="F75" s="1384"/>
      <c r="K75" s="1402"/>
      <c r="L75" s="1384"/>
      <c r="O75" s="1418" t="s">
        <v>409</v>
      </c>
      <c r="P75" s="1419" t="s">
        <v>838</v>
      </c>
      <c r="Q75" s="1420">
        <f ca="1">Q65+Q66</f>
        <v>7974054</v>
      </c>
      <c r="R75" s="1420" t="s">
        <v>410</v>
      </c>
    </row>
    <row r="76" spans="1:18">
      <c r="B76" s="342" t="s">
        <v>796</v>
      </c>
      <c r="C76" s="343">
        <f ca="1">INDIRECT("'数据-取费表'!j"&amp;$G$1)</f>
        <v>0.14000000000000001</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0.60399999999999998</v>
      </c>
    </row>
    <row r="80" spans="1:18">
      <c r="B80" s="340" t="s">
        <v>800</v>
      </c>
      <c r="C80" s="274">
        <f ca="1">ROUND(C75/C39,3)</f>
        <v>0.39600000000000002</v>
      </c>
    </row>
    <row r="81" spans="2:3">
      <c r="B81" s="270" t="s">
        <v>801</v>
      </c>
      <c r="C81" s="238"/>
    </row>
    <row r="82" spans="2:3">
      <c r="B82" s="273" t="s">
        <v>802</v>
      </c>
      <c r="C82" s="275">
        <f ca="1">1-C83</f>
        <v>0.68700000000000006</v>
      </c>
    </row>
    <row r="83" spans="2:3">
      <c r="B83" s="273" t="s">
        <v>803</v>
      </c>
      <c r="C83" s="274">
        <f ca="1">ROUND(C13/C40,3)</f>
        <v>0.313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5" t="s">
        <v>2314</v>
      </c>
      <c r="B2" s="2841" t="e">
        <f>IF(D2="——",C40,C40+E2)</f>
        <v>#DIV/0!</v>
      </c>
      <c r="C2" s="2842" t="s">
        <v>2315</v>
      </c>
      <c r="D2" s="3440" t="s">
        <v>3361</v>
      </c>
      <c r="E2" s="3441"/>
      <c r="F2" s="2844"/>
      <c r="G2" s="2845"/>
      <c r="H2" s="2846"/>
      <c r="I2" s="2847"/>
      <c r="J2" s="3792" t="s">
        <v>2316</v>
      </c>
      <c r="K2" s="3793"/>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94" t="s">
        <v>2326</v>
      </c>
      <c r="K3" s="3795"/>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94" t="s">
        <v>2328</v>
      </c>
      <c r="K4" s="3795"/>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800" t="s">
        <v>2332</v>
      </c>
      <c r="B6" s="3801"/>
      <c r="C6" s="3802"/>
      <c r="D6" s="2868"/>
      <c r="E6" s="2869"/>
      <c r="F6" s="2870"/>
      <c r="G6" s="2871"/>
      <c r="H6" s="2846"/>
      <c r="I6" s="2847"/>
      <c r="J6" s="3786">
        <v>1</v>
      </c>
      <c r="K6" s="3787"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86"/>
      <c r="K7" s="3788"/>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803" t="s">
        <v>2346</v>
      </c>
      <c r="C8" s="3804"/>
      <c r="D8" s="2887" t="s">
        <v>2347</v>
      </c>
      <c r="E8" s="2888" t="s">
        <v>2348</v>
      </c>
      <c r="F8" s="2889" t="s">
        <v>2349</v>
      </c>
      <c r="G8" s="2890"/>
      <c r="H8" s="2846"/>
      <c r="I8" s="2847"/>
      <c r="J8" s="3786"/>
      <c r="K8" s="3788"/>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803" t="s">
        <v>2352</v>
      </c>
      <c r="C9" s="3804"/>
      <c r="D9" s="2887">
        <f>ROUND(D6*E9,0)</f>
        <v>0</v>
      </c>
      <c r="E9" s="2891"/>
      <c r="F9" s="2892" t="s">
        <v>2353</v>
      </c>
      <c r="G9" s="2871"/>
      <c r="H9" s="2846"/>
      <c r="I9" s="2847"/>
      <c r="J9" s="3786"/>
      <c r="K9" s="3788"/>
      <c r="L9" s="2881" t="s">
        <v>2354</v>
      </c>
      <c r="M9" s="2882"/>
      <c r="N9" s="2858"/>
      <c r="O9" s="2883"/>
      <c r="P9" s="2883"/>
      <c r="Q9" s="2884">
        <v>365</v>
      </c>
      <c r="R9" s="2885">
        <f t="shared" si="0"/>
        <v>0</v>
      </c>
      <c r="S9" s="2839"/>
      <c r="T9" s="2839"/>
      <c r="U9" s="2839"/>
      <c r="V9" s="2847"/>
    </row>
    <row r="10" spans="1:22" s="2851" customFormat="1" ht="13.15" customHeight="1">
      <c r="A10" s="2886">
        <v>2</v>
      </c>
      <c r="B10" s="3803" t="s">
        <v>2355</v>
      </c>
      <c r="C10" s="3804"/>
      <c r="D10" s="2887">
        <f>ROUND(D6*E10,0)</f>
        <v>0</v>
      </c>
      <c r="E10" s="2891"/>
      <c r="F10" s="2892" t="s">
        <v>2356</v>
      </c>
      <c r="G10" s="2871"/>
      <c r="H10" s="2846"/>
      <c r="I10" s="2847"/>
      <c r="J10" s="3786"/>
      <c r="K10" s="3788"/>
      <c r="L10" s="2881" t="s">
        <v>2357</v>
      </c>
      <c r="M10" s="2882"/>
      <c r="N10" s="2858"/>
      <c r="O10" s="2883"/>
      <c r="P10" s="2883"/>
      <c r="Q10" s="2884">
        <v>365</v>
      </c>
      <c r="R10" s="2885">
        <f t="shared" si="0"/>
        <v>0</v>
      </c>
      <c r="S10" s="2839"/>
      <c r="T10" s="2839"/>
      <c r="U10" s="2839"/>
      <c r="V10" s="2847"/>
    </row>
    <row r="11" spans="1:22" s="2851" customFormat="1" ht="13.15" customHeight="1">
      <c r="A11" s="2886">
        <v>3</v>
      </c>
      <c r="B11" s="3803" t="s">
        <v>2358</v>
      </c>
      <c r="C11" s="3804"/>
      <c r="D11" s="2887">
        <f>D12+D14+D15+D16</f>
        <v>0</v>
      </c>
      <c r="E11" s="2893" t="e">
        <f>D11/D6</f>
        <v>#DIV/0!</v>
      </c>
      <c r="F11" s="2889"/>
      <c r="G11" s="2890"/>
      <c r="H11" s="2846"/>
      <c r="I11" s="2847"/>
      <c r="J11" s="3786"/>
      <c r="K11" s="3788"/>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96" t="s">
        <v>2361</v>
      </c>
      <c r="C12" s="3797"/>
      <c r="D12" s="2895">
        <f>ROUND(D13*1.2%*(1-30%),0)</f>
        <v>0</v>
      </c>
      <c r="E12" s="2896">
        <v>1.2E-2</v>
      </c>
      <c r="F12" s="2889" t="s">
        <v>2362</v>
      </c>
      <c r="G12" s="2890"/>
      <c r="H12" s="2846"/>
      <c r="I12" s="2847"/>
      <c r="J12" s="3786"/>
      <c r="K12" s="3788"/>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86"/>
      <c r="K13" s="3788"/>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96" t="s">
        <v>2367</v>
      </c>
      <c r="C14" s="3797"/>
      <c r="D14" s="2895">
        <f>ROUND(E14*B5/10000,0)</f>
        <v>0</v>
      </c>
      <c r="E14" s="2884"/>
      <c r="F14" s="2889" t="s">
        <v>2368</v>
      </c>
      <c r="G14" s="2890"/>
      <c r="H14" s="2846"/>
      <c r="I14" s="2847"/>
      <c r="J14" s="3786"/>
      <c r="K14" s="3789"/>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96" t="s">
        <v>2371</v>
      </c>
      <c r="C15" s="3797"/>
      <c r="D15" s="2895">
        <f>ROUND(D6*E15,0)</f>
        <v>0</v>
      </c>
      <c r="E15" s="2896">
        <v>5.5E-2</v>
      </c>
      <c r="F15" s="2889" t="s">
        <v>2372</v>
      </c>
      <c r="G15" s="2871"/>
      <c r="H15" s="2846"/>
      <c r="I15" s="2847"/>
      <c r="J15" s="3786">
        <v>2</v>
      </c>
      <c r="K15" s="3787"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96" t="s">
        <v>2380</v>
      </c>
      <c r="C16" s="3797"/>
      <c r="D16" s="2906">
        <f>D6*E16</f>
        <v>0</v>
      </c>
      <c r="E16" s="2907"/>
      <c r="F16" s="2892" t="s">
        <v>2381</v>
      </c>
      <c r="G16" s="2871"/>
      <c r="H16" s="2846"/>
      <c r="I16" s="2847"/>
      <c r="J16" s="3786"/>
      <c r="K16" s="3788"/>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98" t="s">
        <v>2383</v>
      </c>
      <c r="C17" s="3799"/>
      <c r="D17" s="2909">
        <f>ROUND(D6*E17,0)</f>
        <v>0</v>
      </c>
      <c r="E17" s="2910"/>
      <c r="F17" s="2911" t="s">
        <v>2384</v>
      </c>
      <c r="G17" s="2871"/>
      <c r="H17" s="2846"/>
      <c r="I17" s="2847"/>
      <c r="J17" s="3786"/>
      <c r="K17" s="3788"/>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86"/>
      <c r="K18" s="3788"/>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86"/>
      <c r="K19" s="3789"/>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86">
        <v>3</v>
      </c>
      <c r="K20" s="3787"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86"/>
      <c r="K21" s="3788"/>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86"/>
      <c r="K22" s="3788"/>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86"/>
      <c r="K23" s="3788"/>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86"/>
      <c r="K24" s="3789"/>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90">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9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92" t="s">
        <v>2316</v>
      </c>
      <c r="K32" s="3793"/>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94" t="s">
        <v>2326</v>
      </c>
      <c r="K33" s="3795"/>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94" t="s">
        <v>2328</v>
      </c>
      <c r="K34" s="379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86">
        <v>1</v>
      </c>
      <c r="K36" s="3787"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86"/>
      <c r="K37" s="3788"/>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86"/>
      <c r="K38" s="3788"/>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86"/>
      <c r="K39" s="3788"/>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86"/>
      <c r="K40" s="3789"/>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90">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9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797.40539999999999</v>
      </c>
      <c r="C2" s="1872" t="s">
        <v>1651</v>
      </c>
      <c r="D2" s="1873" t="s">
        <v>1652</v>
      </c>
      <c r="E2" s="2605">
        <f>SUM(E6:E13)</f>
        <v>359.87</v>
      </c>
      <c r="F2" s="2705"/>
      <c r="G2" s="1489"/>
      <c r="H2" s="1489"/>
      <c r="I2" s="1489"/>
      <c r="J2" s="1489"/>
      <c r="K2" s="1489"/>
      <c r="L2" s="1489"/>
      <c r="M2" s="1489"/>
      <c r="N2" s="1489"/>
      <c r="O2" s="1489"/>
      <c r="P2" s="1489"/>
      <c r="Q2" s="1489"/>
      <c r="R2" s="1489"/>
      <c r="S2" s="1489"/>
    </row>
    <row r="3" spans="1:22" ht="15.75">
      <c r="A3" s="1870" t="s">
        <v>686</v>
      </c>
      <c r="B3" s="2599">
        <f ca="1">ROUND(B2*10000/E2,0)</f>
        <v>22158</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805" t="s">
        <v>1654</v>
      </c>
      <c r="C5" s="3806"/>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797.40539999999999</v>
      </c>
      <c r="C6" s="1872" t="s">
        <v>1651</v>
      </c>
      <c r="D6" s="2707"/>
      <c r="E6" s="2604">
        <f>IF(OR(A6=0,F6="否"),0,'数据-取费表'!K6+'数据-取费表'!S6)</f>
        <v>359.87</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359.87</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54" t="s">
        <v>1667</v>
      </c>
      <c r="D4" s="3755"/>
      <c r="E4" s="3756" t="s">
        <v>1668</v>
      </c>
      <c r="F4" s="3757"/>
      <c r="G4" s="3754" t="s">
        <v>1669</v>
      </c>
      <c r="H4" s="3755"/>
      <c r="I4" s="3754" t="s">
        <v>1670</v>
      </c>
      <c r="J4" s="3755"/>
      <c r="K4" s="1889" t="s">
        <v>1671</v>
      </c>
      <c r="L4" s="2713"/>
      <c r="M4" s="2714"/>
      <c r="N4" s="2714"/>
      <c r="O4" s="2714"/>
      <c r="P4" s="3758" t="s">
        <v>1672</v>
      </c>
      <c r="Q4" s="3759"/>
      <c r="R4" s="3764" t="s">
        <v>1668</v>
      </c>
      <c r="S4" s="3765"/>
      <c r="T4" s="3764" t="s">
        <v>1669</v>
      </c>
      <c r="U4" s="3765"/>
      <c r="V4" s="3749" t="s">
        <v>1670</v>
      </c>
      <c r="W4" s="3749"/>
      <c r="X4" s="1355"/>
      <c r="Y4" s="3764" t="s">
        <v>1672</v>
      </c>
      <c r="Z4" s="3765"/>
      <c r="AA4" s="3751" t="s">
        <v>1668</v>
      </c>
      <c r="AB4" s="3751" t="s">
        <v>1669</v>
      </c>
      <c r="AC4" s="3751" t="s">
        <v>1670</v>
      </c>
    </row>
    <row r="5" spans="1:29" ht="15">
      <c r="A5" s="358"/>
      <c r="B5" s="359"/>
      <c r="C5" s="3772" t="s">
        <v>1673</v>
      </c>
      <c r="D5" s="3773"/>
      <c r="E5" s="3779" t="s">
        <v>1674</v>
      </c>
      <c r="F5" s="3780"/>
      <c r="G5" s="3772" t="s">
        <v>1675</v>
      </c>
      <c r="H5" s="3773"/>
      <c r="I5" s="3772" t="s">
        <v>1676</v>
      </c>
      <c r="J5" s="3773"/>
      <c r="K5" s="1890"/>
      <c r="L5" s="2713"/>
      <c r="M5" s="2714"/>
      <c r="N5" s="2714"/>
      <c r="O5" s="2714"/>
      <c r="P5" s="3760"/>
      <c r="Q5" s="3761"/>
      <c r="R5" s="3766"/>
      <c r="S5" s="3767"/>
      <c r="T5" s="3766"/>
      <c r="U5" s="3767"/>
      <c r="V5" s="3749"/>
      <c r="W5" s="3749"/>
      <c r="X5" s="1355"/>
      <c r="Y5" s="3766"/>
      <c r="Z5" s="3767"/>
      <c r="AA5" s="3752"/>
      <c r="AB5" s="3752"/>
      <c r="AC5" s="3752"/>
    </row>
    <row r="6" spans="1:29" ht="15.75" thickBot="1">
      <c r="A6" s="360"/>
      <c r="B6" s="361"/>
      <c r="C6" s="3770" t="s">
        <v>1677</v>
      </c>
      <c r="D6" s="3771"/>
      <c r="E6" s="3777" t="s">
        <v>1677</v>
      </c>
      <c r="F6" s="3778"/>
      <c r="G6" s="3770" t="s">
        <v>1677</v>
      </c>
      <c r="H6" s="3771"/>
      <c r="I6" s="3770" t="s">
        <v>1677</v>
      </c>
      <c r="J6" s="3771"/>
      <c r="K6" s="1890" t="s">
        <v>1678</v>
      </c>
      <c r="L6" s="2713"/>
      <c r="M6" s="2714"/>
      <c r="N6" s="2714"/>
      <c r="O6" s="2714"/>
      <c r="P6" s="3762"/>
      <c r="Q6" s="3763"/>
      <c r="R6" s="3766"/>
      <c r="S6" s="3767"/>
      <c r="T6" s="3768"/>
      <c r="U6" s="3769"/>
      <c r="V6" s="3749"/>
      <c r="W6" s="3749"/>
      <c r="X6" s="1355"/>
      <c r="Y6" s="3768"/>
      <c r="Z6" s="3769"/>
      <c r="AA6" s="3753"/>
      <c r="AB6" s="3753"/>
      <c r="AC6" s="3753"/>
    </row>
    <row r="7" spans="1:29" s="108" customFormat="1" ht="15.75" thickBot="1">
      <c r="A7" s="362" t="s">
        <v>1679</v>
      </c>
      <c r="B7" s="363"/>
      <c r="C7" s="364">
        <f>'数据-取费表'!B2</f>
        <v>45023</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74" t="s">
        <v>1680</v>
      </c>
      <c r="Q7" s="3776"/>
      <c r="R7" s="701" t="s">
        <v>20</v>
      </c>
      <c r="S7" s="702">
        <f t="shared" ref="S7:S15" si="0">F7</f>
        <v>0</v>
      </c>
      <c r="T7" s="701" t="s">
        <v>20</v>
      </c>
      <c r="U7" s="702">
        <f t="shared" ref="U7:U15" si="1">H7</f>
        <v>0</v>
      </c>
      <c r="V7" s="701" t="s">
        <v>20</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74" t="s">
        <v>1683</v>
      </c>
      <c r="Q8" s="3775"/>
      <c r="R8" s="701" t="s">
        <v>20</v>
      </c>
      <c r="S8" s="702">
        <f t="shared" si="0"/>
        <v>100</v>
      </c>
      <c r="T8" s="701" t="s">
        <v>20</v>
      </c>
      <c r="U8" s="702">
        <f t="shared" si="1"/>
        <v>100</v>
      </c>
      <c r="V8" s="701" t="s">
        <v>20</v>
      </c>
      <c r="W8" s="702">
        <f t="shared" si="2"/>
        <v>100</v>
      </c>
      <c r="X8" s="703"/>
      <c r="Y8" s="3774" t="s">
        <v>1683</v>
      </c>
      <c r="Z8" s="37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50"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50"/>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50"/>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50"/>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50"/>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50"/>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40" t="s">
        <v>1691</v>
      </c>
      <c r="Q15" s="1352" t="str">
        <f t="shared" si="6"/>
        <v>居住社区成熟度</v>
      </c>
      <c r="R15" s="705" t="s">
        <v>18</v>
      </c>
      <c r="S15" s="706">
        <f t="shared" si="0"/>
        <v>100</v>
      </c>
      <c r="T15" s="705" t="s">
        <v>18</v>
      </c>
      <c r="U15" s="706">
        <f t="shared" si="1"/>
        <v>100</v>
      </c>
      <c r="V15" s="705" t="s">
        <v>18</v>
      </c>
      <c r="W15" s="706">
        <f t="shared" si="2"/>
        <v>100</v>
      </c>
      <c r="X15" s="1355"/>
      <c r="Y15" s="374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41"/>
      <c r="Q16" s="1352"/>
      <c r="R16" s="705"/>
      <c r="S16" s="706"/>
      <c r="T16" s="705"/>
      <c r="U16" s="706"/>
      <c r="V16" s="705"/>
      <c r="W16" s="706"/>
      <c r="X16" s="1355"/>
      <c r="Y16" s="3743"/>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1"/>
      <c r="Q17" s="1352" t="str">
        <f>B17</f>
        <v>交通便捷度</v>
      </c>
      <c r="R17" s="705" t="s">
        <v>18</v>
      </c>
      <c r="S17" s="706">
        <f>F17</f>
        <v>100</v>
      </c>
      <c r="T17" s="705" t="s">
        <v>18</v>
      </c>
      <c r="U17" s="706">
        <f>H17</f>
        <v>100</v>
      </c>
      <c r="V17" s="705" t="s">
        <v>18</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41"/>
      <c r="Q18" s="1352"/>
      <c r="R18" s="705"/>
      <c r="S18" s="706"/>
      <c r="T18" s="705"/>
      <c r="U18" s="706"/>
      <c r="V18" s="705"/>
      <c r="W18" s="706"/>
      <c r="X18" s="1355"/>
      <c r="Y18" s="3743"/>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1"/>
      <c r="Q19" s="1352" t="str">
        <f>B19</f>
        <v>公共配套设施</v>
      </c>
      <c r="R19" s="705" t="s">
        <v>18</v>
      </c>
      <c r="S19" s="706">
        <f>F19</f>
        <v>100</v>
      </c>
      <c r="T19" s="705" t="s">
        <v>18</v>
      </c>
      <c r="U19" s="706">
        <f>H19</f>
        <v>100</v>
      </c>
      <c r="V19" s="705" t="s">
        <v>18</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41"/>
      <c r="Q20" s="1352"/>
      <c r="R20" s="705"/>
      <c r="S20" s="706"/>
      <c r="T20" s="705"/>
      <c r="U20" s="706"/>
      <c r="V20" s="705"/>
      <c r="W20" s="706"/>
      <c r="X20" s="1355"/>
      <c r="Y20" s="374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1"/>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41"/>
      <c r="Q22" s="1352"/>
      <c r="R22" s="705"/>
      <c r="S22" s="706"/>
      <c r="T22" s="705"/>
      <c r="U22" s="706"/>
      <c r="V22" s="705"/>
      <c r="W22" s="706"/>
      <c r="X22" s="1355"/>
      <c r="Y22" s="3743"/>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1"/>
      <c r="Q23" s="1352" t="str">
        <f>B23</f>
        <v>自然及人文环境</v>
      </c>
      <c r="R23" s="705" t="s">
        <v>18</v>
      </c>
      <c r="S23" s="706">
        <f>F23</f>
        <v>100</v>
      </c>
      <c r="T23" s="705" t="s">
        <v>18</v>
      </c>
      <c r="U23" s="706">
        <f>H23</f>
        <v>100</v>
      </c>
      <c r="V23" s="705" t="s">
        <v>18</v>
      </c>
      <c r="W23" s="706">
        <f>J23</f>
        <v>100</v>
      </c>
      <c r="X23" s="1355"/>
      <c r="Y23" s="374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41"/>
      <c r="Q24" s="1352"/>
      <c r="R24" s="705"/>
      <c r="S24" s="706"/>
      <c r="T24" s="705"/>
      <c r="U24" s="706"/>
      <c r="V24" s="705"/>
      <c r="W24" s="706"/>
      <c r="X24" s="1355"/>
      <c r="Y24" s="374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41"/>
      <c r="Q26" s="1352" t="str">
        <f t="shared" si="11"/>
        <v>朝向</v>
      </c>
      <c r="R26" s="705" t="s">
        <v>18</v>
      </c>
      <c r="S26" s="706">
        <f t="shared" si="12"/>
        <v>100</v>
      </c>
      <c r="T26" s="705" t="s">
        <v>18</v>
      </c>
      <c r="U26" s="706">
        <f t="shared" si="13"/>
        <v>100</v>
      </c>
      <c r="V26" s="705" t="s">
        <v>18</v>
      </c>
      <c r="W26" s="706">
        <f t="shared" si="14"/>
        <v>100</v>
      </c>
      <c r="X26" s="1355"/>
      <c r="Y26" s="374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41"/>
      <c r="Q27" s="1343">
        <f t="shared" si="11"/>
        <v>111</v>
      </c>
      <c r="R27" s="701" t="s">
        <v>18</v>
      </c>
      <c r="S27" s="702">
        <f t="shared" si="12"/>
        <v>100</v>
      </c>
      <c r="T27" s="701" t="s">
        <v>18</v>
      </c>
      <c r="U27" s="702">
        <f t="shared" si="13"/>
        <v>100</v>
      </c>
      <c r="V27" s="701" t="s">
        <v>18</v>
      </c>
      <c r="W27" s="702">
        <f t="shared" si="14"/>
        <v>100</v>
      </c>
      <c r="X27" s="703"/>
      <c r="Y27" s="374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41"/>
      <c r="Q28" s="1352">
        <f t="shared" si="11"/>
        <v>111</v>
      </c>
      <c r="R28" s="705" t="s">
        <v>18</v>
      </c>
      <c r="S28" s="706">
        <f t="shared" si="12"/>
        <v>100</v>
      </c>
      <c r="T28" s="705" t="s">
        <v>18</v>
      </c>
      <c r="U28" s="706">
        <f t="shared" si="13"/>
        <v>100</v>
      </c>
      <c r="V28" s="705" t="s">
        <v>18</v>
      </c>
      <c r="W28" s="706">
        <f t="shared" si="14"/>
        <v>100</v>
      </c>
      <c r="X28" s="1355"/>
      <c r="Y28" s="374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41"/>
      <c r="Q29" s="1352">
        <f t="shared" si="11"/>
        <v>111</v>
      </c>
      <c r="R29" s="705" t="s">
        <v>18</v>
      </c>
      <c r="S29" s="706">
        <f t="shared" si="12"/>
        <v>100</v>
      </c>
      <c r="T29" s="705" t="s">
        <v>18</v>
      </c>
      <c r="U29" s="706">
        <f t="shared" si="13"/>
        <v>100</v>
      </c>
      <c r="V29" s="705" t="s">
        <v>18</v>
      </c>
      <c r="W29" s="706">
        <f t="shared" si="14"/>
        <v>100</v>
      </c>
      <c r="X29" s="1355"/>
      <c r="Y29" s="374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41"/>
      <c r="Q30" s="1352">
        <f t="shared" si="11"/>
        <v>111</v>
      </c>
      <c r="R30" s="705" t="s">
        <v>18</v>
      </c>
      <c r="S30" s="706">
        <f t="shared" si="12"/>
        <v>100</v>
      </c>
      <c r="T30" s="705" t="s">
        <v>18</v>
      </c>
      <c r="U30" s="706">
        <f t="shared" si="13"/>
        <v>100</v>
      </c>
      <c r="V30" s="705" t="s">
        <v>18</v>
      </c>
      <c r="W30" s="706">
        <f t="shared" si="14"/>
        <v>100</v>
      </c>
      <c r="X30" s="1355"/>
      <c r="Y30" s="374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41"/>
      <c r="Q31" s="1352">
        <f t="shared" si="11"/>
        <v>111</v>
      </c>
      <c r="R31" s="705" t="s">
        <v>18</v>
      </c>
      <c r="S31" s="706">
        <f t="shared" si="12"/>
        <v>100</v>
      </c>
      <c r="T31" s="705" t="s">
        <v>18</v>
      </c>
      <c r="U31" s="706">
        <f t="shared" si="13"/>
        <v>100</v>
      </c>
      <c r="V31" s="705" t="s">
        <v>18</v>
      </c>
      <c r="W31" s="706">
        <f t="shared" si="14"/>
        <v>100</v>
      </c>
      <c r="X31" s="1355"/>
      <c r="Y31" s="374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44" t="s">
        <v>1696</v>
      </c>
      <c r="Q32" s="1352" t="str">
        <f t="shared" si="11"/>
        <v>建筑类型</v>
      </c>
      <c r="R32" s="705" t="s">
        <v>18</v>
      </c>
      <c r="S32" s="706">
        <f t="shared" si="12"/>
        <v>100</v>
      </c>
      <c r="T32" s="705" t="s">
        <v>18</v>
      </c>
      <c r="U32" s="706">
        <f t="shared" si="13"/>
        <v>100</v>
      </c>
      <c r="V32" s="705" t="s">
        <v>18</v>
      </c>
      <c r="W32" s="706">
        <f t="shared" si="14"/>
        <v>100</v>
      </c>
      <c r="X32" s="1355"/>
      <c r="Y32" s="374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45"/>
      <c r="Q33" s="707" t="str">
        <f t="shared" si="11"/>
        <v>项目建筑规模</v>
      </c>
      <c r="R33" s="708" t="s">
        <v>18</v>
      </c>
      <c r="S33" s="709" t="e">
        <f t="shared" si="12"/>
        <v>#N/A</v>
      </c>
      <c r="T33" s="708" t="s">
        <v>18</v>
      </c>
      <c r="U33" s="709" t="e">
        <f t="shared" si="13"/>
        <v>#N/A</v>
      </c>
      <c r="V33" s="708" t="s">
        <v>18</v>
      </c>
      <c r="W33" s="709" t="e">
        <f t="shared" si="14"/>
        <v>#N/A</v>
      </c>
      <c r="X33" s="710"/>
      <c r="Y33" s="374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45"/>
      <c r="Q34" s="1352" t="str">
        <f t="shared" si="11"/>
        <v>建筑结构</v>
      </c>
      <c r="R34" s="705" t="s">
        <v>18</v>
      </c>
      <c r="S34" s="706">
        <f t="shared" si="12"/>
        <v>100</v>
      </c>
      <c r="T34" s="705" t="s">
        <v>18</v>
      </c>
      <c r="U34" s="706">
        <f t="shared" si="13"/>
        <v>100</v>
      </c>
      <c r="V34" s="705" t="s">
        <v>18</v>
      </c>
      <c r="W34" s="706">
        <f t="shared" si="14"/>
        <v>100</v>
      </c>
      <c r="X34" s="1355"/>
      <c r="Y34" s="374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45"/>
      <c r="Q35" s="1352" t="str">
        <f t="shared" si="11"/>
        <v>建筑品质</v>
      </c>
      <c r="R35" s="705" t="s">
        <v>18</v>
      </c>
      <c r="S35" s="706">
        <f t="shared" si="12"/>
        <v>100</v>
      </c>
      <c r="T35" s="705" t="s">
        <v>18</v>
      </c>
      <c r="U35" s="706">
        <f t="shared" si="13"/>
        <v>100</v>
      </c>
      <c r="V35" s="705" t="s">
        <v>18</v>
      </c>
      <c r="W35" s="706">
        <f t="shared" si="14"/>
        <v>100</v>
      </c>
      <c r="X35" s="1355"/>
      <c r="Y35" s="374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45"/>
      <c r="Q36" s="1352" t="str">
        <f t="shared" si="11"/>
        <v>公共部分装修</v>
      </c>
      <c r="R36" s="705" t="s">
        <v>18</v>
      </c>
      <c r="S36" s="706">
        <f t="shared" si="12"/>
        <v>100</v>
      </c>
      <c r="T36" s="705" t="s">
        <v>18</v>
      </c>
      <c r="U36" s="706">
        <f t="shared" si="13"/>
        <v>100</v>
      </c>
      <c r="V36" s="705" t="s">
        <v>18</v>
      </c>
      <c r="W36" s="706">
        <f t="shared" si="14"/>
        <v>100</v>
      </c>
      <c r="X36" s="1355"/>
      <c r="Y36" s="374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45"/>
      <c r="Q37" s="1343" t="str">
        <f t="shared" si="11"/>
        <v>成新度</v>
      </c>
      <c r="R37" s="701" t="s">
        <v>18</v>
      </c>
      <c r="S37" s="702" t="e">
        <f t="shared" si="12"/>
        <v>#N/A</v>
      </c>
      <c r="T37" s="701" t="s">
        <v>18</v>
      </c>
      <c r="U37" s="702" t="e">
        <f t="shared" si="13"/>
        <v>#N/A</v>
      </c>
      <c r="V37" s="701" t="s">
        <v>18</v>
      </c>
      <c r="W37" s="702" t="e">
        <f t="shared" si="14"/>
        <v>#N/A</v>
      </c>
      <c r="X37" s="703"/>
      <c r="Y37" s="374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45" t="s">
        <v>1696</v>
      </c>
      <c r="Q38" s="1352" t="str">
        <f t="shared" si="11"/>
        <v>物业管理</v>
      </c>
      <c r="R38" s="705" t="s">
        <v>18</v>
      </c>
      <c r="S38" s="706">
        <f t="shared" si="12"/>
        <v>100</v>
      </c>
      <c r="T38" s="705" t="s">
        <v>18</v>
      </c>
      <c r="U38" s="706">
        <f t="shared" si="13"/>
        <v>100</v>
      </c>
      <c r="V38" s="705" t="s">
        <v>18</v>
      </c>
      <c r="W38" s="706">
        <f t="shared" si="14"/>
        <v>100</v>
      </c>
      <c r="X38" s="1355"/>
      <c r="Y38" s="374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45"/>
      <c r="Q39" s="1352" t="str">
        <f t="shared" si="11"/>
        <v>市政基础设施</v>
      </c>
      <c r="R39" s="705" t="s">
        <v>18</v>
      </c>
      <c r="S39" s="706">
        <f t="shared" si="12"/>
        <v>100</v>
      </c>
      <c r="T39" s="705" t="s">
        <v>18</v>
      </c>
      <c r="U39" s="706">
        <f t="shared" si="13"/>
        <v>100</v>
      </c>
      <c r="V39" s="705" t="s">
        <v>18</v>
      </c>
      <c r="W39" s="706">
        <f t="shared" si="14"/>
        <v>100</v>
      </c>
      <c r="X39" s="1355"/>
      <c r="Y39" s="374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45"/>
      <c r="Q40" s="1352" t="str">
        <f t="shared" si="11"/>
        <v>房型</v>
      </c>
      <c r="R40" s="705" t="s">
        <v>18</v>
      </c>
      <c r="S40" s="706">
        <f t="shared" si="12"/>
        <v>100</v>
      </c>
      <c r="T40" s="705" t="s">
        <v>18</v>
      </c>
      <c r="U40" s="706">
        <f t="shared" si="13"/>
        <v>100</v>
      </c>
      <c r="V40" s="705" t="s">
        <v>18</v>
      </c>
      <c r="W40" s="706">
        <f t="shared" si="14"/>
        <v>100</v>
      </c>
      <c r="X40" s="1355"/>
      <c r="Y40" s="374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45"/>
      <c r="Q41" s="707" t="str">
        <f t="shared" si="11"/>
        <v>单套/主力户型建筑面积</v>
      </c>
      <c r="R41" s="708" t="s">
        <v>18</v>
      </c>
      <c r="S41" s="709">
        <f t="shared" si="12"/>
        <v>100</v>
      </c>
      <c r="T41" s="708" t="s">
        <v>18</v>
      </c>
      <c r="U41" s="709">
        <f t="shared" si="13"/>
        <v>100</v>
      </c>
      <c r="V41" s="708" t="s">
        <v>18</v>
      </c>
      <c r="W41" s="709">
        <f t="shared" si="14"/>
        <v>100</v>
      </c>
      <c r="X41" s="710"/>
      <c r="Y41" s="374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45"/>
      <c r="Q42" s="1352" t="str">
        <f t="shared" si="11"/>
        <v>内部装修</v>
      </c>
      <c r="R42" s="705" t="s">
        <v>18</v>
      </c>
      <c r="S42" s="706">
        <f t="shared" si="12"/>
        <v>100</v>
      </c>
      <c r="T42" s="705" t="s">
        <v>18</v>
      </c>
      <c r="U42" s="706">
        <f t="shared" si="13"/>
        <v>100</v>
      </c>
      <c r="V42" s="705" t="s">
        <v>18</v>
      </c>
      <c r="W42" s="706">
        <f t="shared" si="14"/>
        <v>100</v>
      </c>
      <c r="X42" s="1355"/>
      <c r="Y42" s="374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45"/>
      <c r="Q43" s="1352" t="str">
        <f t="shared" si="11"/>
        <v>内部装修维护情况</v>
      </c>
      <c r="R43" s="705" t="s">
        <v>18</v>
      </c>
      <c r="S43" s="706">
        <f t="shared" si="12"/>
        <v>100</v>
      </c>
      <c r="T43" s="705" t="s">
        <v>18</v>
      </c>
      <c r="U43" s="706">
        <f t="shared" si="13"/>
        <v>100</v>
      </c>
      <c r="V43" s="705" t="s">
        <v>18</v>
      </c>
      <c r="W43" s="706">
        <f t="shared" si="14"/>
        <v>100</v>
      </c>
      <c r="X43" s="1355"/>
      <c r="Y43" s="374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45"/>
      <c r="Q44" s="1343">
        <f t="shared" si="11"/>
        <v>111</v>
      </c>
      <c r="R44" s="701" t="s">
        <v>18</v>
      </c>
      <c r="S44" s="702">
        <f t="shared" si="12"/>
        <v>100</v>
      </c>
      <c r="T44" s="701" t="s">
        <v>18</v>
      </c>
      <c r="U44" s="702">
        <f t="shared" si="13"/>
        <v>100</v>
      </c>
      <c r="V44" s="701" t="s">
        <v>18</v>
      </c>
      <c r="W44" s="702">
        <f t="shared" si="14"/>
        <v>100</v>
      </c>
      <c r="X44" s="703"/>
      <c r="Y44" s="374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45"/>
      <c r="Q45" s="1352">
        <f t="shared" si="11"/>
        <v>111</v>
      </c>
      <c r="R45" s="705" t="s">
        <v>18</v>
      </c>
      <c r="S45" s="706">
        <f t="shared" si="12"/>
        <v>100</v>
      </c>
      <c r="T45" s="705" t="s">
        <v>18</v>
      </c>
      <c r="U45" s="706">
        <f t="shared" si="13"/>
        <v>100</v>
      </c>
      <c r="V45" s="705" t="s">
        <v>18</v>
      </c>
      <c r="W45" s="706">
        <f t="shared" si="14"/>
        <v>100</v>
      </c>
      <c r="X45" s="1355"/>
      <c r="Y45" s="374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46"/>
      <c r="Q46" s="1352">
        <f t="shared" si="11"/>
        <v>111</v>
      </c>
      <c r="R46" s="705" t="s">
        <v>17</v>
      </c>
      <c r="S46" s="706">
        <f t="shared" si="12"/>
        <v>100</v>
      </c>
      <c r="T46" s="705" t="s">
        <v>17</v>
      </c>
      <c r="U46" s="706">
        <f t="shared" si="13"/>
        <v>100</v>
      </c>
      <c r="V46" s="705" t="s">
        <v>17</v>
      </c>
      <c r="W46" s="706">
        <f t="shared" si="14"/>
        <v>100</v>
      </c>
      <c r="X46" s="1355"/>
      <c r="Y46" s="374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35" t="str">
        <f>A47</f>
        <v>成交单价（元/平方米）</v>
      </c>
      <c r="Q47" s="3735"/>
      <c r="R47" s="3736">
        <f>E47</f>
        <v>0</v>
      </c>
      <c r="S47" s="3736"/>
      <c r="T47" s="3736">
        <f>G47</f>
        <v>0</v>
      </c>
      <c r="U47" s="3736"/>
      <c r="V47" s="3736">
        <f>I47</f>
        <v>0</v>
      </c>
      <c r="W47" s="373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359.87</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54" t="s">
        <v>1770</v>
      </c>
      <c r="D4" s="3755"/>
      <c r="E4" s="3756" t="s">
        <v>1771</v>
      </c>
      <c r="F4" s="3757"/>
      <c r="G4" s="3754" t="s">
        <v>1772</v>
      </c>
      <c r="H4" s="3755"/>
      <c r="I4" s="3754" t="s">
        <v>1773</v>
      </c>
      <c r="J4" s="3755"/>
      <c r="K4" s="559" t="s">
        <v>1774</v>
      </c>
      <c r="L4" s="2713"/>
      <c r="M4" s="2714"/>
      <c r="N4" s="2714"/>
      <c r="O4" s="2714"/>
      <c r="P4" s="3813" t="s">
        <v>1775</v>
      </c>
      <c r="Q4" s="3814"/>
      <c r="R4" s="3817" t="s">
        <v>1771</v>
      </c>
      <c r="S4" s="3818"/>
      <c r="T4" s="3817" t="s">
        <v>1772</v>
      </c>
      <c r="U4" s="3818"/>
      <c r="V4" s="3819" t="s">
        <v>1773</v>
      </c>
      <c r="W4" s="3819"/>
      <c r="X4" s="1958"/>
      <c r="Y4" s="3817" t="s">
        <v>1775</v>
      </c>
      <c r="Z4" s="3818"/>
      <c r="AA4" s="3821" t="s">
        <v>1771</v>
      </c>
      <c r="AB4" s="3821" t="s">
        <v>1772</v>
      </c>
      <c r="AC4" s="3810" t="s">
        <v>1773</v>
      </c>
    </row>
    <row r="5" spans="1:29" ht="15">
      <c r="A5" s="358"/>
      <c r="B5" s="359"/>
      <c r="C5" s="3772" t="s">
        <v>1673</v>
      </c>
      <c r="D5" s="3773"/>
      <c r="E5" s="3779" t="s">
        <v>1674</v>
      </c>
      <c r="F5" s="3780"/>
      <c r="G5" s="3772" t="s">
        <v>1675</v>
      </c>
      <c r="H5" s="3773"/>
      <c r="I5" s="3772" t="s">
        <v>1676</v>
      </c>
      <c r="J5" s="3773"/>
      <c r="K5" s="559"/>
      <c r="L5" s="2713"/>
      <c r="M5" s="2714"/>
      <c r="N5" s="2714"/>
      <c r="O5" s="2714"/>
      <c r="P5" s="3815"/>
      <c r="Q5" s="3761"/>
      <c r="R5" s="3766"/>
      <c r="S5" s="3767"/>
      <c r="T5" s="3766"/>
      <c r="U5" s="3767"/>
      <c r="V5" s="3749"/>
      <c r="W5" s="3749"/>
      <c r="X5" s="1355"/>
      <c r="Y5" s="3766"/>
      <c r="Z5" s="3767"/>
      <c r="AA5" s="3752"/>
      <c r="AB5" s="3752"/>
      <c r="AC5" s="3811"/>
    </row>
    <row r="6" spans="1:29" ht="15.75" thickBot="1">
      <c r="A6" s="360"/>
      <c r="B6" s="361"/>
      <c r="C6" s="3770" t="s">
        <v>1677</v>
      </c>
      <c r="D6" s="3771"/>
      <c r="E6" s="3777" t="s">
        <v>1677</v>
      </c>
      <c r="F6" s="3778"/>
      <c r="G6" s="3770" t="s">
        <v>1677</v>
      </c>
      <c r="H6" s="3771"/>
      <c r="I6" s="3770" t="s">
        <v>1677</v>
      </c>
      <c r="J6" s="3771"/>
      <c r="K6" s="559" t="s">
        <v>1678</v>
      </c>
      <c r="L6" s="2713"/>
      <c r="M6" s="2714"/>
      <c r="N6" s="2714"/>
      <c r="O6" s="2714"/>
      <c r="P6" s="3816"/>
      <c r="Q6" s="3763"/>
      <c r="R6" s="3766"/>
      <c r="S6" s="3767"/>
      <c r="T6" s="3768"/>
      <c r="U6" s="3769"/>
      <c r="V6" s="3749"/>
      <c r="W6" s="3749"/>
      <c r="X6" s="1355"/>
      <c r="Y6" s="3768"/>
      <c r="Z6" s="3769"/>
      <c r="AA6" s="3753"/>
      <c r="AB6" s="3753"/>
      <c r="AC6" s="3812"/>
    </row>
    <row r="7" spans="1:29" s="108" customFormat="1" ht="15.75" thickBot="1">
      <c r="A7" s="362" t="s">
        <v>1679</v>
      </c>
      <c r="B7" s="363"/>
      <c r="C7" s="364">
        <f>'数据-取费表'!B2</f>
        <v>45023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20"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20" t="s">
        <v>1683</v>
      </c>
      <c r="Q8" s="3775"/>
      <c r="R8" s="701" t="s">
        <v>14</v>
      </c>
      <c r="S8" s="702">
        <f t="shared" si="0"/>
        <v>100</v>
      </c>
      <c r="T8" s="701" t="s">
        <v>14</v>
      </c>
      <c r="U8" s="702">
        <f t="shared" si="1"/>
        <v>100</v>
      </c>
      <c r="V8" s="701" t="s">
        <v>14</v>
      </c>
      <c r="W8" s="702">
        <f t="shared" si="2"/>
        <v>100</v>
      </c>
      <c r="X8" s="703"/>
      <c r="Y8" s="3774" t="s">
        <v>1683</v>
      </c>
      <c r="Z8" s="377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50"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50"/>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50"/>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50"/>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50"/>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50"/>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40" t="s">
        <v>1691</v>
      </c>
      <c r="Q15" s="1352" t="str">
        <f t="shared" si="6"/>
        <v>办公集聚程度</v>
      </c>
      <c r="R15" s="705" t="s">
        <v>14</v>
      </c>
      <c r="S15" s="706">
        <f t="shared" si="0"/>
        <v>100</v>
      </c>
      <c r="T15" s="705" t="s">
        <v>14</v>
      </c>
      <c r="U15" s="706">
        <f t="shared" si="1"/>
        <v>100</v>
      </c>
      <c r="V15" s="705" t="s">
        <v>14</v>
      </c>
      <c r="W15" s="706">
        <f t="shared" si="2"/>
        <v>100</v>
      </c>
      <c r="X15" s="1355"/>
      <c r="Y15" s="374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41"/>
      <c r="Q16" s="1352"/>
      <c r="R16" s="705"/>
      <c r="S16" s="706"/>
      <c r="T16" s="705"/>
      <c r="U16" s="706"/>
      <c r="V16" s="705"/>
      <c r="W16" s="706"/>
      <c r="X16" s="1355"/>
      <c r="Y16" s="3743"/>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1"/>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41"/>
      <c r="Q18" s="1352"/>
      <c r="R18" s="705"/>
      <c r="S18" s="706"/>
      <c r="T18" s="705"/>
      <c r="U18" s="706"/>
      <c r="V18" s="705"/>
      <c r="W18" s="706"/>
      <c r="X18" s="1355"/>
      <c r="Y18" s="3743"/>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1"/>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41"/>
      <c r="Q20" s="1352"/>
      <c r="R20" s="705"/>
      <c r="S20" s="706"/>
      <c r="T20" s="705"/>
      <c r="U20" s="706"/>
      <c r="V20" s="705"/>
      <c r="W20" s="706"/>
      <c r="X20" s="1355"/>
      <c r="Y20" s="3743"/>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1"/>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41"/>
      <c r="Q22" s="1352"/>
      <c r="R22" s="705"/>
      <c r="S22" s="706"/>
      <c r="T22" s="705"/>
      <c r="U22" s="706"/>
      <c r="V22" s="705"/>
      <c r="W22" s="706"/>
      <c r="X22" s="1355"/>
      <c r="Y22" s="3743"/>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1"/>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41"/>
      <c r="Q24" s="1352"/>
      <c r="R24" s="705"/>
      <c r="S24" s="706"/>
      <c r="T24" s="705"/>
      <c r="U24" s="706"/>
      <c r="V24" s="705"/>
      <c r="W24" s="706"/>
      <c r="X24" s="1355"/>
      <c r="Y24" s="374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41"/>
      <c r="Q25" s="1352" t="str">
        <f>B25</f>
        <v>毗邻道路的类型与等级</v>
      </c>
      <c r="R25" s="705" t="s">
        <v>14</v>
      </c>
      <c r="S25" s="706">
        <f>F25</f>
        <v>100</v>
      </c>
      <c r="T25" s="705" t="s">
        <v>14</v>
      </c>
      <c r="U25" s="706">
        <f>H25</f>
        <v>100</v>
      </c>
      <c r="V25" s="705" t="s">
        <v>14</v>
      </c>
      <c r="W25" s="706">
        <f>J25</f>
        <v>100</v>
      </c>
      <c r="X25" s="1355"/>
      <c r="Y25" s="374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41"/>
      <c r="Q26" s="1352"/>
      <c r="R26" s="705"/>
      <c r="S26" s="706"/>
      <c r="T26" s="705"/>
      <c r="U26" s="706"/>
      <c r="V26" s="705"/>
      <c r="W26" s="706"/>
      <c r="X26" s="1355"/>
      <c r="Y26" s="374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1"/>
      <c r="Q27" s="1352" t="str">
        <f t="shared" ref="Q27:Q47" si="11">B27</f>
        <v>楼层</v>
      </c>
      <c r="R27" s="705" t="s">
        <v>14</v>
      </c>
      <c r="S27" s="706">
        <f>F27</f>
        <v>100</v>
      </c>
      <c r="T27" s="705" t="s">
        <v>14</v>
      </c>
      <c r="U27" s="706">
        <f>H27</f>
        <v>100</v>
      </c>
      <c r="V27" s="705" t="s">
        <v>14</v>
      </c>
      <c r="W27" s="706">
        <f>J27</f>
        <v>100</v>
      </c>
      <c r="X27" s="1355"/>
      <c r="Y27" s="374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41"/>
      <c r="Q28" s="1343" t="str">
        <f t="shared" si="11"/>
        <v>朝向</v>
      </c>
      <c r="R28" s="701" t="s">
        <v>14</v>
      </c>
      <c r="S28" s="702">
        <f>F28</f>
        <v>100</v>
      </c>
      <c r="T28" s="701" t="s">
        <v>14</v>
      </c>
      <c r="U28" s="702">
        <f>H28</f>
        <v>100</v>
      </c>
      <c r="V28" s="701" t="s">
        <v>14</v>
      </c>
      <c r="W28" s="702">
        <f>J28</f>
        <v>100</v>
      </c>
      <c r="X28" s="703"/>
      <c r="Y28" s="374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41"/>
      <c r="Q29" s="1352">
        <f t="shared" si="11"/>
        <v>111</v>
      </c>
      <c r="R29" s="705" t="s">
        <v>14</v>
      </c>
      <c r="S29" s="706">
        <f t="shared" ref="S29:S47" si="12">F29</f>
        <v>100</v>
      </c>
      <c r="T29" s="705" t="s">
        <v>14</v>
      </c>
      <c r="U29" s="706">
        <f t="shared" ref="U29:U47" si="13">H29</f>
        <v>100</v>
      </c>
      <c r="V29" s="705" t="s">
        <v>14</v>
      </c>
      <c r="W29" s="706">
        <f t="shared" ref="W29:W47" si="14">J29</f>
        <v>100</v>
      </c>
      <c r="X29" s="1355"/>
      <c r="Y29" s="374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41"/>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41"/>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41"/>
      <c r="Q32" s="1352">
        <f t="shared" si="11"/>
        <v>111</v>
      </c>
      <c r="R32" s="705" t="s">
        <v>14</v>
      </c>
      <c r="S32" s="706">
        <f t="shared" si="12"/>
        <v>100</v>
      </c>
      <c r="T32" s="705" t="s">
        <v>14</v>
      </c>
      <c r="U32" s="706">
        <f t="shared" si="13"/>
        <v>100</v>
      </c>
      <c r="V32" s="705" t="s">
        <v>14</v>
      </c>
      <c r="W32" s="706">
        <f t="shared" si="14"/>
        <v>100</v>
      </c>
      <c r="X32" s="1355"/>
      <c r="Y32" s="374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44" t="s">
        <v>1696</v>
      </c>
      <c r="Q33" s="1352" t="str">
        <f t="shared" si="11"/>
        <v>建筑类型</v>
      </c>
      <c r="R33" s="705" t="s">
        <v>14</v>
      </c>
      <c r="S33" s="706">
        <f t="shared" si="12"/>
        <v>100</v>
      </c>
      <c r="T33" s="705" t="s">
        <v>14</v>
      </c>
      <c r="U33" s="706">
        <f t="shared" si="13"/>
        <v>100</v>
      </c>
      <c r="V33" s="705" t="s">
        <v>14</v>
      </c>
      <c r="W33" s="706">
        <f t="shared" si="14"/>
        <v>100</v>
      </c>
      <c r="X33" s="1355"/>
      <c r="Y33" s="374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45"/>
      <c r="Q34" s="707" t="str">
        <f t="shared" si="11"/>
        <v>项目建筑规模</v>
      </c>
      <c r="R34" s="708" t="s">
        <v>14</v>
      </c>
      <c r="S34" s="709" t="e">
        <f t="shared" si="12"/>
        <v>#N/A</v>
      </c>
      <c r="T34" s="708" t="s">
        <v>14</v>
      </c>
      <c r="U34" s="709" t="e">
        <f t="shared" si="13"/>
        <v>#N/A</v>
      </c>
      <c r="V34" s="708" t="s">
        <v>14</v>
      </c>
      <c r="W34" s="709" t="e">
        <f t="shared" si="14"/>
        <v>#N/A</v>
      </c>
      <c r="X34" s="710"/>
      <c r="Y34" s="374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45"/>
      <c r="Q35" s="1352" t="str">
        <f t="shared" si="11"/>
        <v>建筑结构</v>
      </c>
      <c r="R35" s="705" t="s">
        <v>14</v>
      </c>
      <c r="S35" s="706">
        <f t="shared" si="12"/>
        <v>100</v>
      </c>
      <c r="T35" s="705" t="s">
        <v>14</v>
      </c>
      <c r="U35" s="706">
        <f t="shared" si="13"/>
        <v>100</v>
      </c>
      <c r="V35" s="705" t="s">
        <v>14</v>
      </c>
      <c r="W35" s="706">
        <f t="shared" si="14"/>
        <v>100</v>
      </c>
      <c r="X35" s="1355"/>
      <c r="Y35" s="374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45"/>
      <c r="Q36" s="1352" t="str">
        <f t="shared" si="11"/>
        <v>公共部分装修</v>
      </c>
      <c r="R36" s="705" t="s">
        <v>14</v>
      </c>
      <c r="S36" s="706">
        <f t="shared" si="12"/>
        <v>100</v>
      </c>
      <c r="T36" s="705" t="s">
        <v>14</v>
      </c>
      <c r="U36" s="706">
        <f t="shared" si="13"/>
        <v>100</v>
      </c>
      <c r="V36" s="705" t="s">
        <v>14</v>
      </c>
      <c r="W36" s="706">
        <f t="shared" si="14"/>
        <v>100</v>
      </c>
      <c r="X36" s="1355"/>
      <c r="Y36" s="374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45"/>
      <c r="Q37" s="1352" t="str">
        <f t="shared" si="11"/>
        <v>成新度</v>
      </c>
      <c r="R37" s="705" t="s">
        <v>14</v>
      </c>
      <c r="S37" s="706" t="e">
        <f t="shared" si="12"/>
        <v>#N/A</v>
      </c>
      <c r="T37" s="705" t="s">
        <v>14</v>
      </c>
      <c r="U37" s="706" t="e">
        <f t="shared" si="13"/>
        <v>#N/A</v>
      </c>
      <c r="V37" s="705" t="s">
        <v>14</v>
      </c>
      <c r="W37" s="706" t="e">
        <f t="shared" si="14"/>
        <v>#N/A</v>
      </c>
      <c r="X37" s="1355"/>
      <c r="Y37" s="374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45"/>
      <c r="Q38" s="1343" t="str">
        <f t="shared" si="11"/>
        <v>写字楼等级</v>
      </c>
      <c r="R38" s="701" t="s">
        <v>14</v>
      </c>
      <c r="S38" s="702">
        <f t="shared" si="12"/>
        <v>100</v>
      </c>
      <c r="T38" s="701" t="s">
        <v>14</v>
      </c>
      <c r="U38" s="702">
        <f t="shared" si="13"/>
        <v>100</v>
      </c>
      <c r="V38" s="701" t="s">
        <v>14</v>
      </c>
      <c r="W38" s="702">
        <f t="shared" si="14"/>
        <v>100</v>
      </c>
      <c r="X38" s="703"/>
      <c r="Y38" s="374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45" t="s">
        <v>1696</v>
      </c>
      <c r="Q39" s="1352" t="str">
        <f t="shared" si="11"/>
        <v>物业管理</v>
      </c>
      <c r="R39" s="705" t="s">
        <v>14</v>
      </c>
      <c r="S39" s="706">
        <f t="shared" si="12"/>
        <v>100</v>
      </c>
      <c r="T39" s="705" t="s">
        <v>14</v>
      </c>
      <c r="U39" s="706">
        <f t="shared" si="13"/>
        <v>100</v>
      </c>
      <c r="V39" s="705" t="s">
        <v>14</v>
      </c>
      <c r="W39" s="706">
        <f t="shared" si="14"/>
        <v>100</v>
      </c>
      <c r="X39" s="1355"/>
      <c r="Y39" s="374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45"/>
      <c r="Q40" s="1352" t="str">
        <f t="shared" si="11"/>
        <v>市政基础设施</v>
      </c>
      <c r="R40" s="705" t="s">
        <v>14</v>
      </c>
      <c r="S40" s="706">
        <f t="shared" si="12"/>
        <v>100</v>
      </c>
      <c r="T40" s="705" t="s">
        <v>14</v>
      </c>
      <c r="U40" s="706">
        <f t="shared" si="13"/>
        <v>100</v>
      </c>
      <c r="V40" s="705" t="s">
        <v>14</v>
      </c>
      <c r="W40" s="706">
        <f t="shared" si="14"/>
        <v>100</v>
      </c>
      <c r="X40" s="1355"/>
      <c r="Y40" s="374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45"/>
      <c r="Q41" s="1352" t="str">
        <f t="shared" si="11"/>
        <v>层高</v>
      </c>
      <c r="R41" s="705" t="s">
        <v>14</v>
      </c>
      <c r="S41" s="706">
        <f t="shared" si="12"/>
        <v>100</v>
      </c>
      <c r="T41" s="705" t="s">
        <v>14</v>
      </c>
      <c r="U41" s="706">
        <f t="shared" si="13"/>
        <v>100</v>
      </c>
      <c r="V41" s="705" t="s">
        <v>14</v>
      </c>
      <c r="W41" s="706">
        <f t="shared" si="14"/>
        <v>100</v>
      </c>
      <c r="X41" s="1355"/>
      <c r="Y41" s="374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45"/>
      <c r="Q42" s="707" t="str">
        <f t="shared" si="11"/>
        <v>单套建筑面积</v>
      </c>
      <c r="R42" s="708" t="s">
        <v>14</v>
      </c>
      <c r="S42" s="709">
        <f t="shared" si="12"/>
        <v>100</v>
      </c>
      <c r="T42" s="708" t="s">
        <v>14</v>
      </c>
      <c r="U42" s="709">
        <f t="shared" si="13"/>
        <v>100</v>
      </c>
      <c r="V42" s="708" t="s">
        <v>14</v>
      </c>
      <c r="W42" s="709">
        <f t="shared" si="14"/>
        <v>100</v>
      </c>
      <c r="X42" s="710"/>
      <c r="Y42" s="374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45"/>
      <c r="Q43" s="1352" t="str">
        <f t="shared" si="11"/>
        <v>内部装修</v>
      </c>
      <c r="R43" s="705" t="s">
        <v>14</v>
      </c>
      <c r="S43" s="706">
        <f t="shared" si="12"/>
        <v>100</v>
      </c>
      <c r="T43" s="705" t="s">
        <v>14</v>
      </c>
      <c r="U43" s="706">
        <f t="shared" si="13"/>
        <v>100</v>
      </c>
      <c r="V43" s="705" t="s">
        <v>14</v>
      </c>
      <c r="W43" s="706">
        <f t="shared" si="14"/>
        <v>100</v>
      </c>
      <c r="X43" s="1355"/>
      <c r="Y43" s="374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45"/>
      <c r="Q44" s="1352" t="str">
        <f t="shared" si="11"/>
        <v>内部装修维护情况</v>
      </c>
      <c r="R44" s="705" t="s">
        <v>14</v>
      </c>
      <c r="S44" s="706">
        <f t="shared" si="12"/>
        <v>100</v>
      </c>
      <c r="T44" s="705" t="s">
        <v>14</v>
      </c>
      <c r="U44" s="706">
        <f t="shared" si="13"/>
        <v>100</v>
      </c>
      <c r="V44" s="705" t="s">
        <v>14</v>
      </c>
      <c r="W44" s="706">
        <f t="shared" si="14"/>
        <v>100</v>
      </c>
      <c r="X44" s="1355"/>
      <c r="Y44" s="374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45"/>
      <c r="Q45" s="1343">
        <f t="shared" si="11"/>
        <v>111</v>
      </c>
      <c r="R45" s="701" t="s">
        <v>14</v>
      </c>
      <c r="S45" s="702">
        <f t="shared" si="12"/>
        <v>100</v>
      </c>
      <c r="T45" s="701" t="s">
        <v>14</v>
      </c>
      <c r="U45" s="702">
        <f t="shared" si="13"/>
        <v>100</v>
      </c>
      <c r="V45" s="701" t="s">
        <v>14</v>
      </c>
      <c r="W45" s="702">
        <f t="shared" si="14"/>
        <v>100</v>
      </c>
      <c r="X45" s="703"/>
      <c r="Y45" s="374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46"/>
      <c r="Q47" s="1352">
        <f t="shared" si="11"/>
        <v>111</v>
      </c>
      <c r="R47" s="705" t="s">
        <v>14</v>
      </c>
      <c r="S47" s="706">
        <f t="shared" si="12"/>
        <v>100</v>
      </c>
      <c r="T47" s="705" t="s">
        <v>14</v>
      </c>
      <c r="U47" s="706">
        <f t="shared" si="13"/>
        <v>100</v>
      </c>
      <c r="V47" s="705" t="s">
        <v>14</v>
      </c>
      <c r="W47" s="706">
        <f t="shared" si="14"/>
        <v>100</v>
      </c>
      <c r="X47" s="1355"/>
      <c r="Y47" s="374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50" t="str">
        <f>A48</f>
        <v>成交单价（元/平方米）</v>
      </c>
      <c r="Q48" s="3735"/>
      <c r="R48" s="3736">
        <f>E48</f>
        <v>0</v>
      </c>
      <c r="S48" s="3736"/>
      <c r="T48" s="3736">
        <f>G48</f>
        <v>0</v>
      </c>
      <c r="U48" s="3736"/>
      <c r="V48" s="3736">
        <f>I48</f>
        <v>0</v>
      </c>
      <c r="W48" s="373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50"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807" t="str">
        <f>A50</f>
        <v>估价对象XX用房的比较价值（楼面单价，元/平方米）</v>
      </c>
      <c r="Q50" s="3808"/>
      <c r="R50" s="3809" t="e">
        <f>IF(F1="售价",ROUND(IF(D49="简单平均",AVERAGE(R49:V49),R49*F49+T49*H49+V49*J49),0),ROUND(IF(D49="简单平均",AVERAGE(R49:V49),R49*F49+T49*H49+V49*J49),1))</f>
        <v>#DIV/0!</v>
      </c>
      <c r="S50" s="3809"/>
      <c r="T50" s="3809"/>
      <c r="U50" s="3809"/>
      <c r="V50" s="3809"/>
      <c r="W50" s="380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359.87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4" t="s">
        <v>1770</v>
      </c>
      <c r="D4" s="3755"/>
      <c r="E4" s="3756" t="s">
        <v>1771</v>
      </c>
      <c r="F4" s="3757"/>
      <c r="G4" s="3754" t="s">
        <v>1772</v>
      </c>
      <c r="H4" s="3755"/>
      <c r="I4" s="3754" t="s">
        <v>1773</v>
      </c>
      <c r="J4" s="3755"/>
      <c r="K4" s="559" t="s">
        <v>1774</v>
      </c>
      <c r="L4" s="913"/>
      <c r="M4" s="914"/>
      <c r="N4" s="914"/>
      <c r="O4" s="914"/>
      <c r="P4" s="3758" t="s">
        <v>1775</v>
      </c>
      <c r="Q4" s="3759"/>
      <c r="R4" s="3764" t="s">
        <v>1771</v>
      </c>
      <c r="S4" s="3765"/>
      <c r="T4" s="3764" t="s">
        <v>1772</v>
      </c>
      <c r="U4" s="3765"/>
      <c r="V4" s="3749" t="s">
        <v>1773</v>
      </c>
      <c r="W4" s="3749"/>
      <c r="X4" s="1355"/>
      <c r="Y4" s="3764" t="s">
        <v>1775</v>
      </c>
      <c r="Z4" s="3765"/>
      <c r="AA4" s="3751" t="s">
        <v>1771</v>
      </c>
      <c r="AB4" s="3752" t="s">
        <v>1772</v>
      </c>
      <c r="AC4" s="3751" t="s">
        <v>1773</v>
      </c>
    </row>
    <row r="5" spans="1:29" ht="15">
      <c r="A5" s="358"/>
      <c r="B5" s="359"/>
      <c r="C5" s="3772" t="s">
        <v>1673</v>
      </c>
      <c r="D5" s="3773"/>
      <c r="E5" s="3779" t="s">
        <v>1674</v>
      </c>
      <c r="F5" s="3780"/>
      <c r="G5" s="3772" t="s">
        <v>1675</v>
      </c>
      <c r="H5" s="3773"/>
      <c r="I5" s="3772" t="s">
        <v>1676</v>
      </c>
      <c r="J5" s="3773"/>
      <c r="K5" s="559"/>
      <c r="L5" s="913"/>
      <c r="M5" s="914"/>
      <c r="N5" s="914"/>
      <c r="O5" s="914"/>
      <c r="P5" s="3760"/>
      <c r="Q5" s="3761"/>
      <c r="R5" s="3766"/>
      <c r="S5" s="3767"/>
      <c r="T5" s="3766"/>
      <c r="U5" s="3767"/>
      <c r="V5" s="3749"/>
      <c r="W5" s="3749"/>
      <c r="X5" s="1355"/>
      <c r="Y5" s="3766"/>
      <c r="Z5" s="3767"/>
      <c r="AA5" s="3752"/>
      <c r="AB5" s="3752"/>
      <c r="AC5" s="3752"/>
    </row>
    <row r="6" spans="1:29" ht="15.75" thickBot="1">
      <c r="A6" s="360"/>
      <c r="B6" s="361"/>
      <c r="C6" s="3770" t="s">
        <v>1677</v>
      </c>
      <c r="D6" s="3771"/>
      <c r="E6" s="3777" t="s">
        <v>1677</v>
      </c>
      <c r="F6" s="3778"/>
      <c r="G6" s="3770" t="s">
        <v>1677</v>
      </c>
      <c r="H6" s="3771"/>
      <c r="I6" s="3770" t="s">
        <v>1677</v>
      </c>
      <c r="J6" s="3771"/>
      <c r="K6" s="559" t="s">
        <v>1678</v>
      </c>
      <c r="L6" s="913"/>
      <c r="M6" s="914"/>
      <c r="N6" s="914"/>
      <c r="O6" s="914"/>
      <c r="P6" s="3762"/>
      <c r="Q6" s="3763"/>
      <c r="R6" s="3766"/>
      <c r="S6" s="3767"/>
      <c r="T6" s="3768"/>
      <c r="U6" s="3769"/>
      <c r="V6" s="3749"/>
      <c r="W6" s="3749"/>
      <c r="X6" s="1355"/>
      <c r="Y6" s="3768"/>
      <c r="Z6" s="3769"/>
      <c r="AA6" s="3753"/>
      <c r="AB6" s="3753"/>
      <c r="AC6" s="3753"/>
    </row>
    <row r="7" spans="1:29" s="108" customFormat="1" ht="15.75" thickBot="1">
      <c r="A7" s="362" t="s">
        <v>1679</v>
      </c>
      <c r="B7" s="363"/>
      <c r="C7" s="364">
        <f>'数据-取费表'!B2</f>
        <v>45023</v>
      </c>
      <c r="D7" s="365">
        <v>100</v>
      </c>
      <c r="E7" s="366"/>
      <c r="F7" s="367">
        <f>SUMIF(52:52,YEAR(E7)&amp;"-"&amp;MONTH(E7),53:53)</f>
        <v>0</v>
      </c>
      <c r="G7" s="366"/>
      <c r="H7" s="365">
        <f>SUMIF(52:52,YEAR(G7)&amp;"-"&amp;MONTH(G7),53:53)</f>
        <v>0</v>
      </c>
      <c r="I7" s="366"/>
      <c r="J7" s="365">
        <f>SUMIF(52:52,YEAR(I7)&amp;"-"&amp;MONTH(I7),53:53)</f>
        <v>0</v>
      </c>
      <c r="K7" s="560"/>
      <c r="L7" s="915"/>
      <c r="M7" s="916"/>
      <c r="N7" s="916"/>
      <c r="O7" s="916"/>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4" t="s">
        <v>1683</v>
      </c>
      <c r="Q8" s="3775"/>
      <c r="R8" s="701" t="s">
        <v>14</v>
      </c>
      <c r="S8" s="702">
        <f t="shared" si="0"/>
        <v>100</v>
      </c>
      <c r="T8" s="701" t="s">
        <v>14</v>
      </c>
      <c r="U8" s="702">
        <f t="shared" si="1"/>
        <v>100</v>
      </c>
      <c r="V8" s="701" t="s">
        <v>14</v>
      </c>
      <c r="W8" s="702">
        <f t="shared" si="2"/>
        <v>100</v>
      </c>
      <c r="X8" s="703"/>
      <c r="Y8" s="3774" t="s">
        <v>1683</v>
      </c>
      <c r="Z8" s="37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35"/>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5"/>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5"/>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5"/>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3"/>
      <c r="Q16" s="1352"/>
      <c r="R16" s="705"/>
      <c r="S16" s="706"/>
      <c r="T16" s="705"/>
      <c r="U16" s="706"/>
      <c r="V16" s="705"/>
      <c r="W16" s="706"/>
      <c r="X16" s="1355"/>
      <c r="Y16" s="374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3"/>
      <c r="Q18" s="1352"/>
      <c r="R18" s="705"/>
      <c r="S18" s="706"/>
      <c r="T18" s="705"/>
      <c r="U18" s="706"/>
      <c r="V18" s="705"/>
      <c r="W18" s="706"/>
      <c r="X18" s="1355"/>
      <c r="Y18" s="374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3"/>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3"/>
      <c r="Q20" s="1352"/>
      <c r="R20" s="705"/>
      <c r="S20" s="706"/>
      <c r="T20" s="705"/>
      <c r="U20" s="706"/>
      <c r="V20" s="705"/>
      <c r="W20" s="706"/>
      <c r="X20" s="1355"/>
      <c r="Y20" s="374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3"/>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3"/>
      <c r="Q22" s="1352"/>
      <c r="R22" s="705"/>
      <c r="S22" s="706"/>
      <c r="T22" s="705"/>
      <c r="U22" s="706"/>
      <c r="V22" s="705"/>
      <c r="W22" s="706"/>
      <c r="X22" s="1355"/>
      <c r="Y22" s="374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3"/>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3"/>
      <c r="Q24" s="1352"/>
      <c r="R24" s="705"/>
      <c r="S24" s="706"/>
      <c r="T24" s="705"/>
      <c r="U24" s="706"/>
      <c r="V24" s="705"/>
      <c r="W24" s="706"/>
      <c r="X24" s="1355"/>
      <c r="Y24" s="374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3"/>
      <c r="Q25" s="1352">
        <f>B25</f>
        <v>111</v>
      </c>
      <c r="R25" s="705" t="s">
        <v>14</v>
      </c>
      <c r="S25" s="706">
        <f>F25</f>
        <v>100</v>
      </c>
      <c r="T25" s="705" t="s">
        <v>14</v>
      </c>
      <c r="U25" s="706">
        <f>H25</f>
        <v>100</v>
      </c>
      <c r="V25" s="705" t="s">
        <v>14</v>
      </c>
      <c r="W25" s="706">
        <f>J25</f>
        <v>100</v>
      </c>
      <c r="X25" s="1355"/>
      <c r="Y25" s="374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3"/>
      <c r="Q26" s="1352">
        <f t="shared" ref="Q26:Q40" si="11">B26</f>
        <v>111</v>
      </c>
      <c r="R26" s="705" t="s">
        <v>14</v>
      </c>
      <c r="S26" s="706">
        <f>F26</f>
        <v>100</v>
      </c>
      <c r="T26" s="705" t="s">
        <v>14</v>
      </c>
      <c r="U26" s="706">
        <f>H26</f>
        <v>100</v>
      </c>
      <c r="V26" s="705" t="s">
        <v>14</v>
      </c>
      <c r="W26" s="706">
        <f>J26</f>
        <v>100</v>
      </c>
      <c r="X26" s="1355"/>
      <c r="Y26" s="374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3"/>
      <c r="Q27" s="1343">
        <f t="shared" si="11"/>
        <v>111</v>
      </c>
      <c r="R27" s="701" t="s">
        <v>14</v>
      </c>
      <c r="S27" s="702">
        <f>F27</f>
        <v>100</v>
      </c>
      <c r="T27" s="701" t="s">
        <v>14</v>
      </c>
      <c r="U27" s="702">
        <f>H27</f>
        <v>100</v>
      </c>
      <c r="V27" s="701" t="s">
        <v>14</v>
      </c>
      <c r="W27" s="702">
        <f>J27</f>
        <v>100</v>
      </c>
      <c r="X27" s="703"/>
      <c r="Y27" s="374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3"/>
      <c r="Q28" s="1352">
        <f t="shared" si="11"/>
        <v>111</v>
      </c>
      <c r="R28" s="705" t="s">
        <v>14</v>
      </c>
      <c r="S28" s="706">
        <f t="shared" ref="S28:S40" si="12">F28</f>
        <v>100</v>
      </c>
      <c r="T28" s="705" t="s">
        <v>14</v>
      </c>
      <c r="U28" s="706">
        <f t="shared" ref="U28:U40" si="13">H28</f>
        <v>100</v>
      </c>
      <c r="V28" s="705" t="s">
        <v>14</v>
      </c>
      <c r="W28" s="706">
        <f t="shared" ref="W28:W40" si="14">J28</f>
        <v>100</v>
      </c>
      <c r="X28" s="1355"/>
      <c r="Y28" s="374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22" t="s">
        <v>1696</v>
      </c>
      <c r="Q29" s="1352" t="str">
        <f t="shared" si="11"/>
        <v>建筑类型</v>
      </c>
      <c r="R29" s="705" t="s">
        <v>14</v>
      </c>
      <c r="S29" s="706">
        <f t="shared" si="12"/>
        <v>100</v>
      </c>
      <c r="T29" s="705" t="s">
        <v>14</v>
      </c>
      <c r="U29" s="706">
        <f t="shared" si="13"/>
        <v>100</v>
      </c>
      <c r="V29" s="705" t="s">
        <v>14</v>
      </c>
      <c r="W29" s="706">
        <f t="shared" si="14"/>
        <v>100</v>
      </c>
      <c r="X29" s="1355"/>
      <c r="Y29" s="374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7"/>
      <c r="Q30" s="707" t="str">
        <f t="shared" si="11"/>
        <v>项目建筑规模</v>
      </c>
      <c r="R30" s="708" t="s">
        <v>14</v>
      </c>
      <c r="S30" s="709" t="e">
        <f t="shared" si="12"/>
        <v>#N/A</v>
      </c>
      <c r="T30" s="708" t="s">
        <v>14</v>
      </c>
      <c r="U30" s="709" t="e">
        <f t="shared" si="13"/>
        <v>#N/A</v>
      </c>
      <c r="V30" s="708" t="s">
        <v>14</v>
      </c>
      <c r="W30" s="709" t="e">
        <f t="shared" si="14"/>
        <v>#N/A</v>
      </c>
      <c r="X30" s="710"/>
      <c r="Y30" s="374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7"/>
      <c r="Q31" s="1352" t="str">
        <f t="shared" si="11"/>
        <v>建筑结构</v>
      </c>
      <c r="R31" s="705" t="s">
        <v>14</v>
      </c>
      <c r="S31" s="706">
        <f t="shared" si="12"/>
        <v>100</v>
      </c>
      <c r="T31" s="705" t="s">
        <v>14</v>
      </c>
      <c r="U31" s="706">
        <f t="shared" si="13"/>
        <v>100</v>
      </c>
      <c r="V31" s="705" t="s">
        <v>14</v>
      </c>
      <c r="W31" s="706">
        <f t="shared" si="14"/>
        <v>100</v>
      </c>
      <c r="X31" s="1355"/>
      <c r="Y31" s="374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7"/>
      <c r="Q32" s="1352" t="str">
        <f t="shared" si="11"/>
        <v>公共部分装修</v>
      </c>
      <c r="R32" s="705" t="s">
        <v>14</v>
      </c>
      <c r="S32" s="706">
        <f t="shared" si="12"/>
        <v>100</v>
      </c>
      <c r="T32" s="705" t="s">
        <v>14</v>
      </c>
      <c r="U32" s="706">
        <f t="shared" si="13"/>
        <v>100</v>
      </c>
      <c r="V32" s="705" t="s">
        <v>14</v>
      </c>
      <c r="W32" s="706">
        <f t="shared" si="14"/>
        <v>100</v>
      </c>
      <c r="X32" s="1355"/>
      <c r="Y32" s="374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7"/>
      <c r="Q33" s="1352" t="str">
        <f t="shared" si="11"/>
        <v>成新度</v>
      </c>
      <c r="R33" s="705" t="s">
        <v>14</v>
      </c>
      <c r="S33" s="706" t="e">
        <f t="shared" si="12"/>
        <v>#N/A</v>
      </c>
      <c r="T33" s="705" t="s">
        <v>14</v>
      </c>
      <c r="U33" s="706" t="e">
        <f t="shared" si="13"/>
        <v>#N/A</v>
      </c>
      <c r="V33" s="705" t="s">
        <v>14</v>
      </c>
      <c r="W33" s="706" t="e">
        <f t="shared" si="14"/>
        <v>#N/A</v>
      </c>
      <c r="X33" s="1355"/>
      <c r="Y33" s="374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7"/>
      <c r="Q34" s="1343" t="str">
        <f t="shared" si="11"/>
        <v>物业管理</v>
      </c>
      <c r="R34" s="701" t="s">
        <v>14</v>
      </c>
      <c r="S34" s="702">
        <f t="shared" si="12"/>
        <v>100</v>
      </c>
      <c r="T34" s="701" t="s">
        <v>14</v>
      </c>
      <c r="U34" s="702">
        <f t="shared" si="13"/>
        <v>100</v>
      </c>
      <c r="V34" s="701" t="s">
        <v>14</v>
      </c>
      <c r="W34" s="702">
        <f t="shared" si="14"/>
        <v>100</v>
      </c>
      <c r="X34" s="703"/>
      <c r="Y34" s="374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7" t="s">
        <v>1696</v>
      </c>
      <c r="Q35" s="1352" t="str">
        <f t="shared" si="11"/>
        <v>市政基础设施</v>
      </c>
      <c r="R35" s="705" t="s">
        <v>14</v>
      </c>
      <c r="S35" s="706">
        <f t="shared" si="12"/>
        <v>100</v>
      </c>
      <c r="T35" s="705" t="s">
        <v>14</v>
      </c>
      <c r="U35" s="706">
        <f t="shared" si="13"/>
        <v>100</v>
      </c>
      <c r="V35" s="705" t="s">
        <v>14</v>
      </c>
      <c r="W35" s="706">
        <f t="shared" si="14"/>
        <v>100</v>
      </c>
      <c r="X35" s="1355"/>
      <c r="Y35" s="374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7"/>
      <c r="Q36" s="1352" t="str">
        <f t="shared" si="11"/>
        <v>内部装修</v>
      </c>
      <c r="R36" s="705" t="s">
        <v>14</v>
      </c>
      <c r="S36" s="706">
        <f t="shared" si="12"/>
        <v>100</v>
      </c>
      <c r="T36" s="705" t="s">
        <v>14</v>
      </c>
      <c r="U36" s="706">
        <f t="shared" si="13"/>
        <v>100</v>
      </c>
      <c r="V36" s="705" t="s">
        <v>14</v>
      </c>
      <c r="W36" s="706">
        <f t="shared" si="14"/>
        <v>100</v>
      </c>
      <c r="X36" s="1355"/>
      <c r="Y36" s="374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7"/>
      <c r="Q37" s="1352" t="str">
        <f t="shared" si="11"/>
        <v>内部装修状况</v>
      </c>
      <c r="R37" s="705" t="s">
        <v>14</v>
      </c>
      <c r="S37" s="706">
        <f t="shared" si="12"/>
        <v>100</v>
      </c>
      <c r="T37" s="705" t="s">
        <v>14</v>
      </c>
      <c r="U37" s="706">
        <f t="shared" si="13"/>
        <v>100</v>
      </c>
      <c r="V37" s="705" t="s">
        <v>14</v>
      </c>
      <c r="W37" s="706">
        <f t="shared" si="14"/>
        <v>100</v>
      </c>
      <c r="X37" s="1355"/>
      <c r="Y37" s="374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7"/>
      <c r="Q38" s="707">
        <f t="shared" si="11"/>
        <v>111</v>
      </c>
      <c r="R38" s="708" t="s">
        <v>14</v>
      </c>
      <c r="S38" s="709">
        <f t="shared" si="12"/>
        <v>100</v>
      </c>
      <c r="T38" s="708" t="s">
        <v>14</v>
      </c>
      <c r="U38" s="709">
        <f t="shared" si="13"/>
        <v>100</v>
      </c>
      <c r="V38" s="708" t="s">
        <v>14</v>
      </c>
      <c r="W38" s="709">
        <f t="shared" si="14"/>
        <v>100</v>
      </c>
      <c r="X38" s="710"/>
      <c r="Y38" s="374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7"/>
      <c r="Q39" s="1352">
        <f t="shared" si="11"/>
        <v>111</v>
      </c>
      <c r="R39" s="705" t="s">
        <v>14</v>
      </c>
      <c r="S39" s="706">
        <f t="shared" si="12"/>
        <v>100</v>
      </c>
      <c r="T39" s="705" t="s">
        <v>14</v>
      </c>
      <c r="U39" s="706">
        <f t="shared" si="13"/>
        <v>100</v>
      </c>
      <c r="V39" s="705" t="s">
        <v>14</v>
      </c>
      <c r="W39" s="706">
        <f t="shared" si="14"/>
        <v>100</v>
      </c>
      <c r="X39" s="1355"/>
      <c r="Y39" s="374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2">
        <f t="shared" si="11"/>
        <v>111</v>
      </c>
      <c r="R40" s="705" t="s">
        <v>14</v>
      </c>
      <c r="S40" s="706">
        <f t="shared" si="12"/>
        <v>100</v>
      </c>
      <c r="T40" s="705" t="s">
        <v>14</v>
      </c>
      <c r="U40" s="706">
        <f t="shared" si="13"/>
        <v>100</v>
      </c>
      <c r="V40" s="705" t="s">
        <v>14</v>
      </c>
      <c r="W40" s="706">
        <f t="shared" si="14"/>
        <v>100</v>
      </c>
      <c r="X40" s="1355"/>
      <c r="Y40" s="374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5" t="str">
        <f>A41</f>
        <v>成交单价（元/平方米）</v>
      </c>
      <c r="Q41" s="3735"/>
      <c r="R41" s="3736">
        <f>E41</f>
        <v>0</v>
      </c>
      <c r="S41" s="3736"/>
      <c r="T41" s="3736">
        <f>G41</f>
        <v>0</v>
      </c>
      <c r="U41" s="3736"/>
      <c r="V41" s="3736">
        <f>I41</f>
        <v>0</v>
      </c>
      <c r="W41" s="373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754" t="s">
        <v>1770</v>
      </c>
      <c r="D4" s="3755"/>
      <c r="E4" s="3756" t="s">
        <v>1771</v>
      </c>
      <c r="F4" s="3757"/>
      <c r="G4" s="3754" t="s">
        <v>1772</v>
      </c>
      <c r="H4" s="3755"/>
      <c r="I4" s="3754" t="s">
        <v>1773</v>
      </c>
      <c r="J4" s="3755"/>
      <c r="K4" s="559" t="s">
        <v>1774</v>
      </c>
      <c r="L4" s="2713"/>
      <c r="M4" s="2714"/>
      <c r="N4" s="2714"/>
      <c r="O4" s="2714"/>
      <c r="P4" s="3758" t="s">
        <v>1775</v>
      </c>
      <c r="Q4" s="3759"/>
      <c r="R4" s="3764" t="s">
        <v>1771</v>
      </c>
      <c r="S4" s="3765"/>
      <c r="T4" s="3764" t="s">
        <v>1772</v>
      </c>
      <c r="U4" s="3765"/>
      <c r="V4" s="3749" t="s">
        <v>1773</v>
      </c>
      <c r="W4" s="3749"/>
      <c r="X4" s="1355"/>
      <c r="Y4" s="3764" t="s">
        <v>1775</v>
      </c>
      <c r="Z4" s="3765"/>
      <c r="AA4" s="3751" t="s">
        <v>1771</v>
      </c>
      <c r="AB4" s="3752" t="s">
        <v>1772</v>
      </c>
      <c r="AC4" s="3751" t="s">
        <v>1773</v>
      </c>
    </row>
    <row r="5" spans="1:29" ht="15">
      <c r="A5" s="358"/>
      <c r="B5" s="359"/>
      <c r="C5" s="3772" t="s">
        <v>1673</v>
      </c>
      <c r="D5" s="3773"/>
      <c r="E5" s="3779" t="s">
        <v>1674</v>
      </c>
      <c r="F5" s="3780"/>
      <c r="G5" s="3772" t="s">
        <v>1675</v>
      </c>
      <c r="H5" s="3773"/>
      <c r="I5" s="3772" t="s">
        <v>1676</v>
      </c>
      <c r="J5" s="3773"/>
      <c r="K5" s="559"/>
      <c r="L5" s="2713"/>
      <c r="M5" s="2714"/>
      <c r="N5" s="2714"/>
      <c r="O5" s="2714"/>
      <c r="P5" s="3760"/>
      <c r="Q5" s="3761"/>
      <c r="R5" s="3766"/>
      <c r="S5" s="3767"/>
      <c r="T5" s="3766"/>
      <c r="U5" s="3767"/>
      <c r="V5" s="3749"/>
      <c r="W5" s="3749"/>
      <c r="X5" s="1355"/>
      <c r="Y5" s="3766"/>
      <c r="Z5" s="3767"/>
      <c r="AA5" s="3752"/>
      <c r="AB5" s="3752"/>
      <c r="AC5" s="3752"/>
    </row>
    <row r="6" spans="1:29" ht="15.75" thickBot="1">
      <c r="A6" s="360"/>
      <c r="B6" s="361"/>
      <c r="C6" s="3770" t="s">
        <v>1677</v>
      </c>
      <c r="D6" s="3771"/>
      <c r="E6" s="3777" t="s">
        <v>1677</v>
      </c>
      <c r="F6" s="3778"/>
      <c r="G6" s="3770" t="s">
        <v>1677</v>
      </c>
      <c r="H6" s="3771"/>
      <c r="I6" s="3770" t="s">
        <v>1677</v>
      </c>
      <c r="J6" s="3771"/>
      <c r="K6" s="559" t="s">
        <v>1678</v>
      </c>
      <c r="L6" s="2713"/>
      <c r="M6" s="2714"/>
      <c r="N6" s="2714"/>
      <c r="O6" s="2714"/>
      <c r="P6" s="3762"/>
      <c r="Q6" s="3763"/>
      <c r="R6" s="3766"/>
      <c r="S6" s="3767"/>
      <c r="T6" s="3768"/>
      <c r="U6" s="3769"/>
      <c r="V6" s="3749"/>
      <c r="W6" s="3749"/>
      <c r="X6" s="1355"/>
      <c r="Y6" s="3768"/>
      <c r="Z6" s="3769"/>
      <c r="AA6" s="3753"/>
      <c r="AB6" s="3753"/>
      <c r="AC6" s="3753"/>
    </row>
    <row r="7" spans="1:29" s="108" customFormat="1" ht="15.75" thickBot="1">
      <c r="A7" s="362" t="s">
        <v>1679</v>
      </c>
      <c r="B7" s="363"/>
      <c r="C7" s="364">
        <f>'数据-取费表'!B2</f>
        <v>45023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74" t="s">
        <v>1680</v>
      </c>
      <c r="Q7" s="3776"/>
      <c r="R7" s="701" t="s">
        <v>14</v>
      </c>
      <c r="S7" s="702">
        <f t="shared" ref="S7:S14" si="0">F7</f>
        <v>0</v>
      </c>
      <c r="T7" s="701" t="s">
        <v>14</v>
      </c>
      <c r="U7" s="702">
        <f t="shared" ref="U7:U14" si="1">H7</f>
        <v>0</v>
      </c>
      <c r="V7" s="701" t="s">
        <v>14</v>
      </c>
      <c r="W7" s="702">
        <f t="shared" ref="W7:W14"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74" t="s">
        <v>1683</v>
      </c>
      <c r="Q8" s="3775"/>
      <c r="R8" s="701" t="s">
        <v>14</v>
      </c>
      <c r="S8" s="702">
        <f t="shared" si="0"/>
        <v>100</v>
      </c>
      <c r="T8" s="701" t="s">
        <v>14</v>
      </c>
      <c r="U8" s="702">
        <f t="shared" si="1"/>
        <v>100</v>
      </c>
      <c r="V8" s="701" t="s">
        <v>14</v>
      </c>
      <c r="W8" s="702">
        <f t="shared" si="2"/>
        <v>100</v>
      </c>
      <c r="X8" s="703"/>
      <c r="Y8" s="3774" t="s">
        <v>1683</v>
      </c>
      <c r="Z8" s="37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5"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5"/>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5"/>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5"/>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5"/>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43"/>
      <c r="Q15" s="1352"/>
      <c r="R15" s="705"/>
      <c r="S15" s="706"/>
      <c r="T15" s="705"/>
      <c r="U15" s="706"/>
      <c r="V15" s="705"/>
      <c r="W15" s="706"/>
      <c r="X15" s="1355"/>
      <c r="Y15" s="3743"/>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43"/>
      <c r="Q17" s="1352"/>
      <c r="R17" s="705"/>
      <c r="S17" s="706"/>
      <c r="T17" s="705"/>
      <c r="U17" s="706"/>
      <c r="V17" s="705"/>
      <c r="W17" s="706"/>
      <c r="X17" s="1355"/>
      <c r="Y17" s="3743"/>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43"/>
      <c r="Q19" s="1352"/>
      <c r="R19" s="705"/>
      <c r="S19" s="706"/>
      <c r="T19" s="705"/>
      <c r="U19" s="706"/>
      <c r="V19" s="705"/>
      <c r="W19" s="706"/>
      <c r="X19" s="1355"/>
      <c r="Y19" s="3743"/>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43"/>
      <c r="Q21" s="1352"/>
      <c r="R21" s="705"/>
      <c r="S21" s="706"/>
      <c r="T21" s="705"/>
      <c r="U21" s="706"/>
      <c r="V21" s="705"/>
      <c r="W21" s="706"/>
      <c r="X21" s="1355"/>
      <c r="Y21" s="374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3"/>
      <c r="Q24" s="1352">
        <f t="shared" ref="Q24:Q36"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47"/>
      <c r="Q27" s="707" t="str">
        <f t="shared" si="11"/>
        <v>项目停车位配比</v>
      </c>
      <c r="R27" s="708" t="s">
        <v>14</v>
      </c>
      <c r="S27" s="709">
        <f t="shared" si="12"/>
        <v>100</v>
      </c>
      <c r="T27" s="708" t="s">
        <v>14</v>
      </c>
      <c r="U27" s="709">
        <f t="shared" si="13"/>
        <v>100</v>
      </c>
      <c r="V27" s="708" t="s">
        <v>14</v>
      </c>
      <c r="W27" s="709">
        <f t="shared" si="14"/>
        <v>100</v>
      </c>
      <c r="X27" s="710"/>
      <c r="Y27" s="374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47"/>
      <c r="Q28" s="1352" t="str">
        <f t="shared" si="11"/>
        <v>公共部分装修</v>
      </c>
      <c r="R28" s="705" t="s">
        <v>14</v>
      </c>
      <c r="S28" s="706">
        <f t="shared" si="12"/>
        <v>100</v>
      </c>
      <c r="T28" s="705" t="s">
        <v>14</v>
      </c>
      <c r="U28" s="706">
        <f t="shared" si="13"/>
        <v>100</v>
      </c>
      <c r="V28" s="705" t="s">
        <v>14</v>
      </c>
      <c r="W28" s="706">
        <f t="shared" si="14"/>
        <v>100</v>
      </c>
      <c r="X28" s="1355"/>
      <c r="Y28" s="374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47"/>
      <c r="Q29" s="1352" t="str">
        <f t="shared" si="11"/>
        <v>成新率</v>
      </c>
      <c r="R29" s="705" t="s">
        <v>14</v>
      </c>
      <c r="S29" s="706" t="e">
        <f t="shared" si="12"/>
        <v>#N/A</v>
      </c>
      <c r="T29" s="705" t="s">
        <v>14</v>
      </c>
      <c r="U29" s="706" t="e">
        <f t="shared" si="13"/>
        <v>#N/A</v>
      </c>
      <c r="V29" s="705" t="s">
        <v>14</v>
      </c>
      <c r="W29" s="706" t="e">
        <f t="shared" si="14"/>
        <v>#N/A</v>
      </c>
      <c r="X29" s="1355"/>
      <c r="Y29" s="374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47"/>
      <c r="Q30" s="1352" t="str">
        <f t="shared" si="11"/>
        <v>物业等级</v>
      </c>
      <c r="R30" s="705" t="s">
        <v>14</v>
      </c>
      <c r="S30" s="706">
        <f t="shared" si="12"/>
        <v>100</v>
      </c>
      <c r="T30" s="705" t="s">
        <v>14</v>
      </c>
      <c r="U30" s="706">
        <f t="shared" si="13"/>
        <v>100</v>
      </c>
      <c r="V30" s="705" t="s">
        <v>14</v>
      </c>
      <c r="W30" s="706">
        <f t="shared" si="14"/>
        <v>100</v>
      </c>
      <c r="X30" s="1355"/>
      <c r="Y30" s="374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47"/>
      <c r="Q31" s="1343" t="str">
        <f t="shared" si="11"/>
        <v>停车位面积</v>
      </c>
      <c r="R31" s="701" t="s">
        <v>14</v>
      </c>
      <c r="S31" s="702" t="e">
        <f t="shared" si="12"/>
        <v>#N/A</v>
      </c>
      <c r="T31" s="701" t="s">
        <v>14</v>
      </c>
      <c r="U31" s="702" t="e">
        <f t="shared" si="13"/>
        <v>#N/A</v>
      </c>
      <c r="V31" s="701" t="s">
        <v>14</v>
      </c>
      <c r="W31" s="702" t="e">
        <f t="shared" si="14"/>
        <v>#N/A</v>
      </c>
      <c r="X31" s="703"/>
      <c r="Y31" s="374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47" t="s">
        <v>1696</v>
      </c>
      <c r="Q32" s="1352" t="str">
        <f t="shared" si="11"/>
        <v>车位类型</v>
      </c>
      <c r="R32" s="705" t="s">
        <v>14</v>
      </c>
      <c r="S32" s="706">
        <f t="shared" si="12"/>
        <v>100</v>
      </c>
      <c r="T32" s="705" t="s">
        <v>14</v>
      </c>
      <c r="U32" s="706">
        <f t="shared" si="13"/>
        <v>100</v>
      </c>
      <c r="V32" s="705" t="s">
        <v>14</v>
      </c>
      <c r="W32" s="706">
        <f t="shared" si="14"/>
        <v>100</v>
      </c>
      <c r="X32" s="1355"/>
      <c r="Y32" s="374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47"/>
      <c r="Q33" s="1352" t="str">
        <f t="shared" si="11"/>
        <v>是否直接入户</v>
      </c>
      <c r="R33" s="705" t="s">
        <v>14</v>
      </c>
      <c r="S33" s="706">
        <f t="shared" si="12"/>
        <v>100</v>
      </c>
      <c r="T33" s="705" t="s">
        <v>14</v>
      </c>
      <c r="U33" s="706">
        <f t="shared" si="13"/>
        <v>100</v>
      </c>
      <c r="V33" s="705" t="s">
        <v>14</v>
      </c>
      <c r="W33" s="706">
        <f t="shared" si="14"/>
        <v>100</v>
      </c>
      <c r="X33" s="1355"/>
      <c r="Y33" s="374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47"/>
      <c r="Q35" s="707">
        <f t="shared" si="11"/>
        <v>111</v>
      </c>
      <c r="R35" s="708" t="s">
        <v>14</v>
      </c>
      <c r="S35" s="709">
        <f t="shared" si="12"/>
        <v>100</v>
      </c>
      <c r="T35" s="708" t="s">
        <v>14</v>
      </c>
      <c r="U35" s="709">
        <f t="shared" si="13"/>
        <v>100</v>
      </c>
      <c r="V35" s="708" t="s">
        <v>14</v>
      </c>
      <c r="W35" s="709">
        <f t="shared" si="14"/>
        <v>100</v>
      </c>
      <c r="X35" s="710"/>
      <c r="Y35" s="374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47"/>
      <c r="Q36" s="1352">
        <f t="shared" si="11"/>
        <v>111</v>
      </c>
      <c r="R36" s="705" t="s">
        <v>14</v>
      </c>
      <c r="S36" s="706">
        <f t="shared" si="12"/>
        <v>100</v>
      </c>
      <c r="T36" s="705" t="s">
        <v>14</v>
      </c>
      <c r="U36" s="706">
        <f t="shared" si="13"/>
        <v>100</v>
      </c>
      <c r="V36" s="705" t="s">
        <v>14</v>
      </c>
      <c r="W36" s="706">
        <f t="shared" si="14"/>
        <v>100</v>
      </c>
      <c r="X36" s="1355"/>
      <c r="Y36" s="3747"/>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2"/>
      <c r="M37" s="2723"/>
      <c r="N37" s="2714"/>
      <c r="O37" s="2723"/>
      <c r="P37" s="3735" t="str">
        <f>A37</f>
        <v>成交单价</v>
      </c>
      <c r="Q37" s="3735"/>
      <c r="R37" s="3736">
        <f>E37</f>
        <v>0</v>
      </c>
      <c r="S37" s="3736"/>
      <c r="T37" s="3736">
        <f>G37</f>
        <v>0</v>
      </c>
      <c r="U37" s="3736"/>
      <c r="V37" s="3736">
        <f>I37</f>
        <v>0</v>
      </c>
      <c r="W37" s="373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37" t="str">
        <f>A39</f>
        <v>估价对象XX用房的比较价值（楼面单价，元/平方米）</v>
      </c>
      <c r="Q39" s="3738"/>
      <c r="R39" s="3823" t="e">
        <f>IF(F1="售价",ROUND(IF(D38="简单平均",AVERAGE(R38:W38),R38*F38+T38*H38+V38*J38),0),ROUND(IF(D38="简单平均",AVERAGE(R38:V38),R38*F38+T38*H38+V38*J38),1))</f>
        <v>#DIV/0!</v>
      </c>
      <c r="S39" s="3823"/>
      <c r="T39" s="3823"/>
      <c r="U39" s="3823"/>
      <c r="V39" s="3823"/>
      <c r="W39" s="382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估价对象为北京市房地产，为所有。根据《国有土地使用证》[]，估价对象（分摊）出让国有建设用地使用权面积为0平方米，建筑面积为359.87平方米。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估价对象为北京市房地产,属开发建设的办公项目，该项目尚在开发建设中。根据《国有土地使用证》[]，估价对象（分摊）出让国有建设用地使用权面积为0平方米，规划建筑面积为359.87平方米。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2023年4月7日（评估专业人员实地查勘之日）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54" t="s">
        <v>1770</v>
      </c>
      <c r="D4" s="3755"/>
      <c r="E4" s="3756" t="s">
        <v>1771</v>
      </c>
      <c r="F4" s="3757"/>
      <c r="G4" s="3754" t="s">
        <v>1772</v>
      </c>
      <c r="H4" s="3755"/>
      <c r="I4" s="3754" t="s">
        <v>1773</v>
      </c>
      <c r="J4" s="3755"/>
      <c r="K4" s="559" t="s">
        <v>1774</v>
      </c>
      <c r="L4" s="2713"/>
      <c r="M4" s="2714"/>
      <c r="N4" s="2714"/>
      <c r="O4" s="2714"/>
      <c r="P4" s="3758" t="s">
        <v>1775</v>
      </c>
      <c r="Q4" s="3759"/>
      <c r="R4" s="3764" t="s">
        <v>1771</v>
      </c>
      <c r="S4" s="3765"/>
      <c r="T4" s="3764" t="s">
        <v>1772</v>
      </c>
      <c r="U4" s="3765"/>
      <c r="V4" s="3749" t="s">
        <v>1773</v>
      </c>
      <c r="W4" s="3749"/>
      <c r="X4" s="1355"/>
      <c r="Y4" s="3764" t="s">
        <v>1775</v>
      </c>
      <c r="Z4" s="3765"/>
      <c r="AA4" s="3751" t="s">
        <v>1771</v>
      </c>
      <c r="AB4" s="3752" t="s">
        <v>1772</v>
      </c>
      <c r="AC4" s="3751" t="s">
        <v>1773</v>
      </c>
    </row>
    <row r="5" spans="1:29" ht="15">
      <c r="A5" s="358"/>
      <c r="B5" s="359"/>
      <c r="C5" s="3772" t="s">
        <v>1673</v>
      </c>
      <c r="D5" s="3773"/>
      <c r="E5" s="3779" t="s">
        <v>1674</v>
      </c>
      <c r="F5" s="3780"/>
      <c r="G5" s="3772" t="s">
        <v>1675</v>
      </c>
      <c r="H5" s="3773"/>
      <c r="I5" s="3772" t="s">
        <v>1676</v>
      </c>
      <c r="J5" s="3773"/>
      <c r="K5" s="559"/>
      <c r="L5" s="2713"/>
      <c r="M5" s="2714"/>
      <c r="N5" s="2714"/>
      <c r="O5" s="2714"/>
      <c r="P5" s="3760"/>
      <c r="Q5" s="3761"/>
      <c r="R5" s="3766"/>
      <c r="S5" s="3767"/>
      <c r="T5" s="3766"/>
      <c r="U5" s="3767"/>
      <c r="V5" s="3749"/>
      <c r="W5" s="3749"/>
      <c r="X5" s="1355"/>
      <c r="Y5" s="3766"/>
      <c r="Z5" s="3767"/>
      <c r="AA5" s="3752"/>
      <c r="AB5" s="3752"/>
      <c r="AC5" s="3752"/>
    </row>
    <row r="6" spans="1:29" ht="15.75" thickBot="1">
      <c r="A6" s="360"/>
      <c r="B6" s="361"/>
      <c r="C6" s="3770" t="s">
        <v>1677</v>
      </c>
      <c r="D6" s="3771"/>
      <c r="E6" s="3777" t="s">
        <v>1677</v>
      </c>
      <c r="F6" s="3778"/>
      <c r="G6" s="3770" t="s">
        <v>1677</v>
      </c>
      <c r="H6" s="3771"/>
      <c r="I6" s="3770" t="s">
        <v>1677</v>
      </c>
      <c r="J6" s="3771"/>
      <c r="K6" s="559" t="s">
        <v>1678</v>
      </c>
      <c r="L6" s="2713"/>
      <c r="M6" s="2714"/>
      <c r="N6" s="2714"/>
      <c r="O6" s="2714"/>
      <c r="P6" s="3762"/>
      <c r="Q6" s="3763"/>
      <c r="R6" s="3766"/>
      <c r="S6" s="3767"/>
      <c r="T6" s="3768"/>
      <c r="U6" s="3769"/>
      <c r="V6" s="3749"/>
      <c r="W6" s="3749"/>
      <c r="X6" s="1355"/>
      <c r="Y6" s="3768"/>
      <c r="Z6" s="3769"/>
      <c r="AA6" s="3753"/>
      <c r="AB6" s="3753"/>
      <c r="AC6" s="3753"/>
    </row>
    <row r="7" spans="1:29" s="108" customFormat="1" ht="15.75" thickBot="1">
      <c r="A7" s="362" t="s">
        <v>1679</v>
      </c>
      <c r="B7" s="363"/>
      <c r="C7" s="364">
        <f>'数据-取费表'!B2</f>
        <v>45023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74" t="s">
        <v>1680</v>
      </c>
      <c r="Q7" s="3776"/>
      <c r="R7" s="701" t="s">
        <v>14</v>
      </c>
      <c r="S7" s="702">
        <f t="shared" ref="S7:S14" si="0">F7</f>
        <v>0</v>
      </c>
      <c r="T7" s="701" t="s">
        <v>14</v>
      </c>
      <c r="U7" s="702">
        <f t="shared" ref="U7:U14" si="1">H7</f>
        <v>0</v>
      </c>
      <c r="V7" s="701" t="s">
        <v>14</v>
      </c>
      <c r="W7" s="702">
        <f t="shared" ref="W7:W14"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74" t="s">
        <v>1683</v>
      </c>
      <c r="Q8" s="3775"/>
      <c r="R8" s="701" t="s">
        <v>14</v>
      </c>
      <c r="S8" s="702">
        <f t="shared" si="0"/>
        <v>100</v>
      </c>
      <c r="T8" s="701" t="s">
        <v>14</v>
      </c>
      <c r="U8" s="702">
        <f t="shared" si="1"/>
        <v>100</v>
      </c>
      <c r="V8" s="701" t="s">
        <v>14</v>
      </c>
      <c r="W8" s="702">
        <f t="shared" si="2"/>
        <v>100</v>
      </c>
      <c r="X8" s="703"/>
      <c r="Y8" s="3774" t="s">
        <v>1683</v>
      </c>
      <c r="Z8" s="37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5"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5"/>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5"/>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5"/>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35"/>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43"/>
      <c r="Q15" s="1352"/>
      <c r="R15" s="705"/>
      <c r="S15" s="706"/>
      <c r="T15" s="705"/>
      <c r="U15" s="706"/>
      <c r="V15" s="705"/>
      <c r="W15" s="706"/>
      <c r="X15" s="1355"/>
      <c r="Y15" s="3743"/>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43"/>
      <c r="Q17" s="1352"/>
      <c r="R17" s="705"/>
      <c r="S17" s="706"/>
      <c r="T17" s="705"/>
      <c r="U17" s="706"/>
      <c r="V17" s="705"/>
      <c r="W17" s="706"/>
      <c r="X17" s="1355"/>
      <c r="Y17" s="3743"/>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43"/>
      <c r="Q19" s="1352"/>
      <c r="R19" s="705"/>
      <c r="S19" s="706"/>
      <c r="T19" s="705"/>
      <c r="U19" s="706"/>
      <c r="V19" s="705"/>
      <c r="W19" s="706"/>
      <c r="X19" s="1355"/>
      <c r="Y19" s="3743"/>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43"/>
      <c r="Q21" s="1352"/>
      <c r="R21" s="705"/>
      <c r="S21" s="706"/>
      <c r="T21" s="705"/>
      <c r="U21" s="706"/>
      <c r="V21" s="705"/>
      <c r="W21" s="706"/>
      <c r="X21" s="1355"/>
      <c r="Y21" s="374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3"/>
      <c r="Q24" s="1352">
        <f t="shared" ref="Q24:Q34"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8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47"/>
      <c r="Q27" s="707" t="str">
        <f t="shared" si="11"/>
        <v>成新率</v>
      </c>
      <c r="R27" s="708" t="s">
        <v>14</v>
      </c>
      <c r="S27" s="709" t="e">
        <f t="shared" si="12"/>
        <v>#N/A</v>
      </c>
      <c r="T27" s="708" t="s">
        <v>14</v>
      </c>
      <c r="U27" s="709" t="e">
        <f t="shared" si="13"/>
        <v>#N/A</v>
      </c>
      <c r="V27" s="708" t="s">
        <v>14</v>
      </c>
      <c r="W27" s="709" t="e">
        <f t="shared" si="14"/>
        <v>#N/A</v>
      </c>
      <c r="X27" s="710"/>
      <c r="Y27" s="374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47"/>
      <c r="Q28" s="1352" t="str">
        <f t="shared" si="11"/>
        <v>物业等级</v>
      </c>
      <c r="R28" s="705" t="s">
        <v>14</v>
      </c>
      <c r="S28" s="706">
        <f t="shared" si="12"/>
        <v>100</v>
      </c>
      <c r="T28" s="705" t="s">
        <v>14</v>
      </c>
      <c r="U28" s="706">
        <f t="shared" si="13"/>
        <v>100</v>
      </c>
      <c r="V28" s="705" t="s">
        <v>14</v>
      </c>
      <c r="W28" s="706">
        <f t="shared" si="14"/>
        <v>100</v>
      </c>
      <c r="X28" s="1355"/>
      <c r="Y28" s="374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47"/>
      <c r="Q29" s="1352" t="str">
        <f t="shared" si="11"/>
        <v>有无电梯</v>
      </c>
      <c r="R29" s="705" t="s">
        <v>14</v>
      </c>
      <c r="S29" s="706">
        <f t="shared" si="12"/>
        <v>100</v>
      </c>
      <c r="T29" s="705" t="s">
        <v>14</v>
      </c>
      <c r="U29" s="706">
        <f t="shared" si="13"/>
        <v>100</v>
      </c>
      <c r="V29" s="705" t="s">
        <v>14</v>
      </c>
      <c r="W29" s="706">
        <f t="shared" si="14"/>
        <v>100</v>
      </c>
      <c r="X29" s="1355"/>
      <c r="Y29" s="374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47"/>
      <c r="Q30" s="1352" t="str">
        <f t="shared" si="11"/>
        <v>建筑面积</v>
      </c>
      <c r="R30" s="705" t="s">
        <v>14</v>
      </c>
      <c r="S30" s="706" t="e">
        <f t="shared" si="12"/>
        <v>#N/A</v>
      </c>
      <c r="T30" s="705" t="s">
        <v>14</v>
      </c>
      <c r="U30" s="706" t="e">
        <f t="shared" si="13"/>
        <v>#N/A</v>
      </c>
      <c r="V30" s="705" t="s">
        <v>14</v>
      </c>
      <c r="W30" s="706" t="e">
        <f t="shared" si="14"/>
        <v>#N/A</v>
      </c>
      <c r="X30" s="1355"/>
      <c r="Y30" s="374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47"/>
      <c r="Q31" s="1343" t="str">
        <f t="shared" si="11"/>
        <v>是否封闭</v>
      </c>
      <c r="R31" s="701" t="s">
        <v>14</v>
      </c>
      <c r="S31" s="702">
        <f t="shared" si="12"/>
        <v>100</v>
      </c>
      <c r="T31" s="701" t="s">
        <v>14</v>
      </c>
      <c r="U31" s="702">
        <f t="shared" si="13"/>
        <v>100</v>
      </c>
      <c r="V31" s="701" t="s">
        <v>14</v>
      </c>
      <c r="W31" s="702">
        <f t="shared" si="14"/>
        <v>100</v>
      </c>
      <c r="X31" s="703"/>
      <c r="Y31" s="374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47" t="s">
        <v>1696</v>
      </c>
      <c r="Q32" s="1352">
        <f t="shared" si="11"/>
        <v>111</v>
      </c>
      <c r="R32" s="705" t="s">
        <v>14</v>
      </c>
      <c r="S32" s="706">
        <f t="shared" si="12"/>
        <v>100</v>
      </c>
      <c r="T32" s="705" t="s">
        <v>14</v>
      </c>
      <c r="U32" s="706">
        <f t="shared" si="13"/>
        <v>100</v>
      </c>
      <c r="V32" s="705" t="s">
        <v>14</v>
      </c>
      <c r="W32" s="706">
        <f t="shared" si="14"/>
        <v>100</v>
      </c>
      <c r="X32" s="1355"/>
      <c r="Y32" s="374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47"/>
      <c r="Q33" s="1352">
        <f t="shared" si="11"/>
        <v>111</v>
      </c>
      <c r="R33" s="705" t="s">
        <v>14</v>
      </c>
      <c r="S33" s="706">
        <f t="shared" si="12"/>
        <v>100</v>
      </c>
      <c r="T33" s="705" t="s">
        <v>14</v>
      </c>
      <c r="U33" s="706">
        <f t="shared" si="13"/>
        <v>100</v>
      </c>
      <c r="V33" s="705" t="s">
        <v>14</v>
      </c>
      <c r="W33" s="706">
        <f t="shared" si="14"/>
        <v>100</v>
      </c>
      <c r="X33" s="1355"/>
      <c r="Y33" s="374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35" t="str">
        <f>A35</f>
        <v>成交单价（元/平方米）</v>
      </c>
      <c r="Q35" s="3735"/>
      <c r="R35" s="3736">
        <f>E35</f>
        <v>0</v>
      </c>
      <c r="S35" s="3736"/>
      <c r="T35" s="3736">
        <f>G35</f>
        <v>0</v>
      </c>
      <c r="U35" s="3736"/>
      <c r="V35" s="3736">
        <f>I35</f>
        <v>0</v>
      </c>
      <c r="W35" s="373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37" t="str">
        <f>A37</f>
        <v>估价对象XX用房的比较价值（楼面单价，元/平方米）</v>
      </c>
      <c r="Q37" s="3738"/>
      <c r="R37" s="3823" t="e">
        <f>IF(F1="售价",ROUND(IF(D36="简单平均",AVERAGE(R36:W36),R36*F36+T36*H36+V36*J36),0),ROUND(IF(D36="简单平均",AVERAGE(R36:V36),R36*F36+T36*H36+V36*J36),1))</f>
        <v>#DIV/0!</v>
      </c>
      <c r="S37" s="3823"/>
      <c r="T37" s="3823"/>
      <c r="U37" s="3823"/>
      <c r="V37" s="3823"/>
      <c r="W37" s="382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54" t="s">
        <v>1770</v>
      </c>
      <c r="D4" s="3755"/>
      <c r="E4" s="3756" t="s">
        <v>1771</v>
      </c>
      <c r="F4" s="3757"/>
      <c r="G4" s="3754" t="s">
        <v>1772</v>
      </c>
      <c r="H4" s="3755"/>
      <c r="I4" s="3754" t="s">
        <v>1773</v>
      </c>
      <c r="J4" s="3755"/>
      <c r="K4" s="559" t="s">
        <v>1774</v>
      </c>
      <c r="L4" s="2713"/>
      <c r="M4" s="2714"/>
      <c r="N4" s="2714"/>
      <c r="O4" s="2714"/>
      <c r="P4" s="3758" t="s">
        <v>1775</v>
      </c>
      <c r="Q4" s="3759"/>
      <c r="R4" s="3764" t="s">
        <v>1771</v>
      </c>
      <c r="S4" s="3765"/>
      <c r="T4" s="3764" t="s">
        <v>1772</v>
      </c>
      <c r="U4" s="3765"/>
      <c r="V4" s="3749" t="s">
        <v>1773</v>
      </c>
      <c r="W4" s="3749"/>
      <c r="X4" s="1355"/>
      <c r="Y4" s="3764" t="s">
        <v>1775</v>
      </c>
      <c r="Z4" s="3765"/>
      <c r="AA4" s="3751" t="s">
        <v>1771</v>
      </c>
      <c r="AB4" s="3752" t="s">
        <v>1772</v>
      </c>
      <c r="AC4" s="3751" t="s">
        <v>1773</v>
      </c>
    </row>
    <row r="5" spans="1:30" ht="15">
      <c r="A5" s="358"/>
      <c r="B5" s="359"/>
      <c r="C5" s="3772" t="s">
        <v>1673</v>
      </c>
      <c r="D5" s="3773"/>
      <c r="E5" s="3779" t="s">
        <v>1674</v>
      </c>
      <c r="F5" s="3780"/>
      <c r="G5" s="3772" t="s">
        <v>1675</v>
      </c>
      <c r="H5" s="3773"/>
      <c r="I5" s="3772" t="s">
        <v>1676</v>
      </c>
      <c r="J5" s="3773"/>
      <c r="K5" s="559"/>
      <c r="L5" s="2713"/>
      <c r="M5" s="2714"/>
      <c r="N5" s="2714"/>
      <c r="O5" s="2714"/>
      <c r="P5" s="3760"/>
      <c r="Q5" s="3761"/>
      <c r="R5" s="3766"/>
      <c r="S5" s="3767"/>
      <c r="T5" s="3766"/>
      <c r="U5" s="3767"/>
      <c r="V5" s="3749"/>
      <c r="W5" s="3749"/>
      <c r="X5" s="1355"/>
      <c r="Y5" s="3766"/>
      <c r="Z5" s="3767"/>
      <c r="AA5" s="3752"/>
      <c r="AB5" s="3752"/>
      <c r="AC5" s="3752"/>
    </row>
    <row r="6" spans="1:30" ht="15.75" thickBot="1">
      <c r="A6" s="360"/>
      <c r="B6" s="361"/>
      <c r="C6" s="3770" t="s">
        <v>1677</v>
      </c>
      <c r="D6" s="3771"/>
      <c r="E6" s="3777" t="s">
        <v>1677</v>
      </c>
      <c r="F6" s="3778"/>
      <c r="G6" s="3770" t="s">
        <v>1677</v>
      </c>
      <c r="H6" s="3771"/>
      <c r="I6" s="3770" t="s">
        <v>1677</v>
      </c>
      <c r="J6" s="3771"/>
      <c r="K6" s="559" t="s">
        <v>1678</v>
      </c>
      <c r="L6" s="2713"/>
      <c r="M6" s="2714"/>
      <c r="N6" s="2714"/>
      <c r="O6" s="2714"/>
      <c r="P6" s="3762"/>
      <c r="Q6" s="3763"/>
      <c r="R6" s="3766"/>
      <c r="S6" s="3767"/>
      <c r="T6" s="3768"/>
      <c r="U6" s="3769"/>
      <c r="V6" s="3749"/>
      <c r="W6" s="3749"/>
      <c r="X6" s="1355"/>
      <c r="Y6" s="3768"/>
      <c r="Z6" s="3769"/>
      <c r="AA6" s="3753"/>
      <c r="AB6" s="3753"/>
      <c r="AC6" s="3753"/>
    </row>
    <row r="7" spans="1:30" s="108" customFormat="1" ht="15.75" thickBot="1">
      <c r="A7" s="362" t="s">
        <v>1679</v>
      </c>
      <c r="B7" s="363"/>
      <c r="C7" s="364">
        <f>'数据-取费表'!B2</f>
        <v>45023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74" t="s">
        <v>1683</v>
      </c>
      <c r="Q8" s="3775"/>
      <c r="R8" s="701" t="s">
        <v>14</v>
      </c>
      <c r="S8" s="702">
        <f t="shared" si="0"/>
        <v>0</v>
      </c>
      <c r="T8" s="701" t="s">
        <v>14</v>
      </c>
      <c r="U8" s="702">
        <f t="shared" si="1"/>
        <v>0</v>
      </c>
      <c r="V8" s="701" t="s">
        <v>14</v>
      </c>
      <c r="W8" s="702">
        <f t="shared" si="2"/>
        <v>0</v>
      </c>
      <c r="X8" s="703"/>
      <c r="Y8" s="3774" t="s">
        <v>1683</v>
      </c>
      <c r="Z8" s="37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35"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735"/>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35"/>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35"/>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5"/>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5"/>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42" t="s">
        <v>1691</v>
      </c>
      <c r="Q15" s="1352" t="str">
        <f t="shared" si="6"/>
        <v>居住社区成熟度</v>
      </c>
      <c r="R15" s="705" t="s">
        <v>14</v>
      </c>
      <c r="S15" s="706">
        <f t="shared" si="0"/>
        <v>100</v>
      </c>
      <c r="T15" s="705" t="s">
        <v>14</v>
      </c>
      <c r="U15" s="706">
        <f t="shared" si="1"/>
        <v>100</v>
      </c>
      <c r="V15" s="705" t="s">
        <v>14</v>
      </c>
      <c r="W15" s="706">
        <f t="shared" si="2"/>
        <v>100</v>
      </c>
      <c r="X15" s="1355"/>
      <c r="Y15" s="374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43"/>
      <c r="Q16" s="1352"/>
      <c r="R16" s="705"/>
      <c r="S16" s="706"/>
      <c r="T16" s="705"/>
      <c r="U16" s="706"/>
      <c r="V16" s="705"/>
      <c r="W16" s="706"/>
      <c r="X16" s="1355"/>
      <c r="Y16" s="3743"/>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3"/>
      <c r="Q17" s="1352" t="str">
        <f>B17</f>
        <v>商业繁华度</v>
      </c>
      <c r="R17" s="705" t="s">
        <v>14</v>
      </c>
      <c r="S17" s="706">
        <f>F17</f>
        <v>100</v>
      </c>
      <c r="T17" s="705" t="s">
        <v>14</v>
      </c>
      <c r="U17" s="706">
        <f>H17</f>
        <v>100</v>
      </c>
      <c r="V17" s="705" t="s">
        <v>14</v>
      </c>
      <c r="W17" s="706">
        <f>J17</f>
        <v>100</v>
      </c>
      <c r="X17" s="1355"/>
      <c r="Y17" s="374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43"/>
      <c r="Q18" s="1352"/>
      <c r="R18" s="705"/>
      <c r="S18" s="706"/>
      <c r="T18" s="705"/>
      <c r="U18" s="706"/>
      <c r="V18" s="705"/>
      <c r="W18" s="706"/>
      <c r="X18" s="1355"/>
      <c r="Y18" s="3743"/>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3"/>
      <c r="Q19" s="1352" t="str">
        <f>B19</f>
        <v>办公集聚程度</v>
      </c>
      <c r="R19" s="705" t="s">
        <v>14</v>
      </c>
      <c r="S19" s="706">
        <f>F19</f>
        <v>100</v>
      </c>
      <c r="T19" s="705" t="s">
        <v>14</v>
      </c>
      <c r="U19" s="706">
        <f>H19</f>
        <v>100</v>
      </c>
      <c r="V19" s="705" t="s">
        <v>14</v>
      </c>
      <c r="W19" s="706">
        <f>J19</f>
        <v>100</v>
      </c>
      <c r="X19" s="1355"/>
      <c r="Y19" s="374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43"/>
      <c r="Q20" s="1352"/>
      <c r="R20" s="705"/>
      <c r="S20" s="706"/>
      <c r="T20" s="705"/>
      <c r="U20" s="706"/>
      <c r="V20" s="705"/>
      <c r="W20" s="706"/>
      <c r="X20" s="1355"/>
      <c r="Y20" s="3743"/>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3"/>
      <c r="Q21" s="1352" t="str">
        <f>B21</f>
        <v>交通便捷度</v>
      </c>
      <c r="R21" s="705" t="s">
        <v>14</v>
      </c>
      <c r="S21" s="706">
        <f>F21</f>
        <v>100</v>
      </c>
      <c r="T21" s="705" t="s">
        <v>14</v>
      </c>
      <c r="U21" s="706">
        <f>H21</f>
        <v>100</v>
      </c>
      <c r="V21" s="705" t="s">
        <v>14</v>
      </c>
      <c r="W21" s="706">
        <f>J21</f>
        <v>100</v>
      </c>
      <c r="X21" s="1355"/>
      <c r="Y21" s="374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43"/>
      <c r="Q22" s="1352"/>
      <c r="R22" s="705"/>
      <c r="S22" s="706"/>
      <c r="T22" s="705"/>
      <c r="U22" s="706"/>
      <c r="V22" s="705"/>
      <c r="W22" s="706"/>
      <c r="X22" s="1355"/>
      <c r="Y22" s="374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3"/>
      <c r="Q23" s="1352" t="str">
        <f t="shared" ref="Q23:Q37" si="8">B23</f>
        <v>区域土地利用方向</v>
      </c>
      <c r="R23" s="705" t="s">
        <v>14</v>
      </c>
      <c r="S23" s="706">
        <f>F23</f>
        <v>100</v>
      </c>
      <c r="T23" s="705" t="s">
        <v>14</v>
      </c>
      <c r="U23" s="706">
        <f>H23</f>
        <v>100</v>
      </c>
      <c r="V23" s="705" t="s">
        <v>14</v>
      </c>
      <c r="W23" s="706">
        <f>J23</f>
        <v>100</v>
      </c>
      <c r="X23" s="1355"/>
      <c r="Y23" s="374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43"/>
      <c r="Q24" s="1352"/>
      <c r="R24" s="705"/>
      <c r="S24" s="706"/>
      <c r="T24" s="705"/>
      <c r="U24" s="706"/>
      <c r="V24" s="705"/>
      <c r="W24" s="706"/>
      <c r="X24" s="1355"/>
      <c r="Y24" s="3743"/>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3"/>
      <c r="Q25" s="1352" t="str">
        <f t="shared" si="8"/>
        <v>自然及人文环境状况</v>
      </c>
      <c r="R25" s="705" t="s">
        <v>14</v>
      </c>
      <c r="S25" s="706">
        <f>F25</f>
        <v>100</v>
      </c>
      <c r="T25" s="705" t="s">
        <v>14</v>
      </c>
      <c r="U25" s="706">
        <f>H25</f>
        <v>100</v>
      </c>
      <c r="V25" s="705" t="s">
        <v>14</v>
      </c>
      <c r="W25" s="706">
        <f>J25</f>
        <v>100</v>
      </c>
      <c r="X25" s="1355"/>
      <c r="Y25" s="374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43"/>
      <c r="Q26" s="1352"/>
      <c r="R26" s="705"/>
      <c r="S26" s="706"/>
      <c r="T26" s="705"/>
      <c r="U26" s="706"/>
      <c r="V26" s="705"/>
      <c r="W26" s="706"/>
      <c r="X26" s="1355"/>
      <c r="Y26" s="3743"/>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3"/>
      <c r="Q27" s="1343" t="str">
        <f t="shared" si="8"/>
        <v>公共配套设施</v>
      </c>
      <c r="R27" s="701" t="s">
        <v>14</v>
      </c>
      <c r="S27" s="702">
        <f>F27</f>
        <v>100</v>
      </c>
      <c r="T27" s="701" t="s">
        <v>14</v>
      </c>
      <c r="U27" s="702">
        <f>H27</f>
        <v>100</v>
      </c>
      <c r="V27" s="701" t="s">
        <v>14</v>
      </c>
      <c r="W27" s="702">
        <f>J27</f>
        <v>100</v>
      </c>
      <c r="X27" s="703"/>
      <c r="Y27" s="374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43"/>
      <c r="Q28" s="1343"/>
      <c r="R28" s="701"/>
      <c r="S28" s="702"/>
      <c r="T28" s="701"/>
      <c r="U28" s="702"/>
      <c r="V28" s="701"/>
      <c r="W28" s="702"/>
      <c r="X28" s="703"/>
      <c r="Y28" s="3743"/>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3"/>
      <c r="Q29" s="1343" t="str">
        <f t="shared" ref="Q29" si="9">B29</f>
        <v>基础设施水平</v>
      </c>
      <c r="R29" s="701" t="s">
        <v>14</v>
      </c>
      <c r="S29" s="702">
        <f>F29</f>
        <v>100</v>
      </c>
      <c r="T29" s="701" t="s">
        <v>14</v>
      </c>
      <c r="U29" s="702">
        <f>H29</f>
        <v>100</v>
      </c>
      <c r="V29" s="701" t="s">
        <v>14</v>
      </c>
      <c r="W29" s="702">
        <f>J29</f>
        <v>100</v>
      </c>
      <c r="X29" s="703"/>
      <c r="Y29" s="374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43"/>
      <c r="Q30" s="1343"/>
      <c r="R30" s="701"/>
      <c r="S30" s="702"/>
      <c r="T30" s="701"/>
      <c r="U30" s="702"/>
      <c r="V30" s="701"/>
      <c r="W30" s="702"/>
      <c r="X30" s="703"/>
      <c r="Y30" s="374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3"/>
      <c r="Q32" s="1352" t="str">
        <f t="shared" si="8"/>
        <v>毗邻道路的类型与等级</v>
      </c>
      <c r="R32" s="705" t="s">
        <v>14</v>
      </c>
      <c r="S32" s="706">
        <f t="shared" si="10"/>
        <v>100</v>
      </c>
      <c r="T32" s="705" t="s">
        <v>14</v>
      </c>
      <c r="U32" s="706">
        <f t="shared" si="11"/>
        <v>100</v>
      </c>
      <c r="V32" s="705" t="s">
        <v>14</v>
      </c>
      <c r="W32" s="706">
        <f t="shared" si="12"/>
        <v>100</v>
      </c>
      <c r="X32" s="1355"/>
      <c r="Y32" s="374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43"/>
      <c r="Q33" s="1352"/>
      <c r="R33" s="705"/>
      <c r="S33" s="706"/>
      <c r="T33" s="705"/>
      <c r="U33" s="706"/>
      <c r="V33" s="705"/>
      <c r="W33" s="706"/>
      <c r="X33" s="1355"/>
      <c r="Y33" s="374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3"/>
      <c r="Q34" s="1352" t="str">
        <f t="shared" si="8"/>
        <v>土地级别</v>
      </c>
      <c r="R34" s="705" t="s">
        <v>14</v>
      </c>
      <c r="S34" s="706">
        <f t="shared" si="10"/>
        <v>100</v>
      </c>
      <c r="T34" s="705" t="s">
        <v>14</v>
      </c>
      <c r="U34" s="706">
        <f t="shared" si="11"/>
        <v>100</v>
      </c>
      <c r="V34" s="705" t="s">
        <v>14</v>
      </c>
      <c r="W34" s="706">
        <f t="shared" si="12"/>
        <v>100</v>
      </c>
      <c r="X34" s="1355"/>
      <c r="Y34" s="374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3"/>
      <c r="Q35" s="1352">
        <f t="shared" si="8"/>
        <v>111</v>
      </c>
      <c r="R35" s="705" t="s">
        <v>14</v>
      </c>
      <c r="S35" s="706">
        <f t="shared" si="10"/>
        <v>100</v>
      </c>
      <c r="T35" s="705" t="s">
        <v>14</v>
      </c>
      <c r="U35" s="706">
        <f t="shared" si="11"/>
        <v>100</v>
      </c>
      <c r="V35" s="705" t="s">
        <v>14</v>
      </c>
      <c r="W35" s="706">
        <f t="shared" si="12"/>
        <v>100</v>
      </c>
      <c r="X35" s="1355"/>
      <c r="Y35" s="374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22" t="s">
        <v>1696</v>
      </c>
      <c r="Q36" s="1352">
        <f t="shared" si="8"/>
        <v>111</v>
      </c>
      <c r="R36" s="705" t="s">
        <v>14</v>
      </c>
      <c r="S36" s="706">
        <f t="shared" si="10"/>
        <v>100</v>
      </c>
      <c r="T36" s="705" t="s">
        <v>14</v>
      </c>
      <c r="U36" s="706">
        <f t="shared" si="11"/>
        <v>100</v>
      </c>
      <c r="V36" s="705" t="s">
        <v>14</v>
      </c>
      <c r="W36" s="706">
        <f t="shared" si="12"/>
        <v>100</v>
      </c>
      <c r="X36" s="1355"/>
      <c r="Y36" s="374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47"/>
      <c r="Q37" s="1352">
        <f t="shared" si="8"/>
        <v>111</v>
      </c>
      <c r="R37" s="708" t="s">
        <v>14</v>
      </c>
      <c r="S37" s="709">
        <f t="shared" si="10"/>
        <v>100</v>
      </c>
      <c r="T37" s="708" t="s">
        <v>14</v>
      </c>
      <c r="U37" s="709">
        <f t="shared" si="11"/>
        <v>100</v>
      </c>
      <c r="V37" s="708" t="s">
        <v>14</v>
      </c>
      <c r="W37" s="709">
        <f t="shared" si="12"/>
        <v>100</v>
      </c>
      <c r="X37" s="710"/>
      <c r="Y37" s="374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47"/>
      <c r="Q38" s="1352" t="str">
        <f>B38</f>
        <v>宗地面积</v>
      </c>
      <c r="R38" s="705" t="s">
        <v>14</v>
      </c>
      <c r="S38" s="706" t="e">
        <f t="shared" si="10"/>
        <v>#N/A</v>
      </c>
      <c r="T38" s="705" t="s">
        <v>14</v>
      </c>
      <c r="U38" s="706" t="e">
        <f t="shared" si="11"/>
        <v>#N/A</v>
      </c>
      <c r="V38" s="705" t="s">
        <v>14</v>
      </c>
      <c r="W38" s="706" t="e">
        <f t="shared" si="12"/>
        <v>#N/A</v>
      </c>
      <c r="X38" s="1355"/>
      <c r="Y38" s="374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47"/>
      <c r="Q39" s="1352" t="str">
        <f t="shared" ref="Q39:Q45" si="14">B39</f>
        <v>宗地形状</v>
      </c>
      <c r="R39" s="705" t="s">
        <v>14</v>
      </c>
      <c r="S39" s="706">
        <f t="shared" si="10"/>
        <v>100</v>
      </c>
      <c r="T39" s="705" t="s">
        <v>14</v>
      </c>
      <c r="U39" s="706">
        <f t="shared" si="11"/>
        <v>100</v>
      </c>
      <c r="V39" s="705" t="s">
        <v>14</v>
      </c>
      <c r="W39" s="706">
        <f t="shared" si="12"/>
        <v>100</v>
      </c>
      <c r="X39" s="1355"/>
      <c r="Y39" s="374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47"/>
      <c r="Q40" s="1352" t="str">
        <f t="shared" si="14"/>
        <v>临街宽度及深度</v>
      </c>
      <c r="R40" s="705" t="s">
        <v>14</v>
      </c>
      <c r="S40" s="706">
        <f t="shared" si="10"/>
        <v>100</v>
      </c>
      <c r="T40" s="705" t="s">
        <v>14</v>
      </c>
      <c r="U40" s="706">
        <f t="shared" si="11"/>
        <v>100</v>
      </c>
      <c r="V40" s="705" t="s">
        <v>14</v>
      </c>
      <c r="W40" s="706">
        <f t="shared" si="12"/>
        <v>100</v>
      </c>
      <c r="X40" s="1355"/>
      <c r="Y40" s="374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47"/>
      <c r="Q41" s="1352" t="str">
        <f t="shared" si="14"/>
        <v>宗地开发程度</v>
      </c>
      <c r="R41" s="701" t="s">
        <v>14</v>
      </c>
      <c r="S41" s="702">
        <f t="shared" si="10"/>
        <v>100</v>
      </c>
      <c r="T41" s="701" t="s">
        <v>14</v>
      </c>
      <c r="U41" s="702">
        <f t="shared" si="11"/>
        <v>100</v>
      </c>
      <c r="V41" s="701" t="s">
        <v>14</v>
      </c>
      <c r="W41" s="702">
        <f t="shared" si="12"/>
        <v>100</v>
      </c>
      <c r="X41" s="703"/>
      <c r="Y41" s="374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47" t="s">
        <v>1696</v>
      </c>
      <c r="Q42" s="1352" t="str">
        <f t="shared" si="14"/>
        <v>工程地质条件</v>
      </c>
      <c r="R42" s="705" t="s">
        <v>14</v>
      </c>
      <c r="S42" s="706">
        <f t="shared" si="10"/>
        <v>100</v>
      </c>
      <c r="T42" s="705" t="s">
        <v>14</v>
      </c>
      <c r="U42" s="706">
        <f t="shared" si="11"/>
        <v>100</v>
      </c>
      <c r="V42" s="705" t="s">
        <v>14</v>
      </c>
      <c r="W42" s="706">
        <f t="shared" si="12"/>
        <v>100</v>
      </c>
      <c r="X42" s="1355"/>
      <c r="Y42" s="374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47"/>
      <c r="Q43" s="1352">
        <f t="shared" si="14"/>
        <v>111</v>
      </c>
      <c r="R43" s="705" t="s">
        <v>14</v>
      </c>
      <c r="S43" s="706">
        <f t="shared" si="10"/>
        <v>100</v>
      </c>
      <c r="T43" s="705" t="s">
        <v>14</v>
      </c>
      <c r="U43" s="706">
        <f t="shared" si="11"/>
        <v>100</v>
      </c>
      <c r="V43" s="705" t="s">
        <v>14</v>
      </c>
      <c r="W43" s="706">
        <f t="shared" si="12"/>
        <v>100</v>
      </c>
      <c r="X43" s="1355"/>
      <c r="Y43" s="374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47"/>
      <c r="Q44" s="1352">
        <f t="shared" si="14"/>
        <v>111</v>
      </c>
      <c r="R44" s="705" t="s">
        <v>14</v>
      </c>
      <c r="S44" s="706">
        <f t="shared" si="10"/>
        <v>100</v>
      </c>
      <c r="T44" s="705" t="s">
        <v>14</v>
      </c>
      <c r="U44" s="706">
        <f t="shared" si="11"/>
        <v>100</v>
      </c>
      <c r="V44" s="705" t="s">
        <v>14</v>
      </c>
      <c r="W44" s="706">
        <f t="shared" si="12"/>
        <v>100</v>
      </c>
      <c r="X44" s="1355"/>
      <c r="Y44" s="374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47"/>
      <c r="Q45" s="1352">
        <f t="shared" si="14"/>
        <v>111</v>
      </c>
      <c r="R45" s="708" t="s">
        <v>14</v>
      </c>
      <c r="S45" s="709">
        <f t="shared" si="10"/>
        <v>100</v>
      </c>
      <c r="T45" s="708" t="s">
        <v>14</v>
      </c>
      <c r="U45" s="709">
        <f t="shared" si="11"/>
        <v>100</v>
      </c>
      <c r="V45" s="708" t="s">
        <v>14</v>
      </c>
      <c r="W45" s="709">
        <f t="shared" si="12"/>
        <v>100</v>
      </c>
      <c r="X45" s="710"/>
      <c r="Y45" s="374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35" t="str">
        <f>A46</f>
        <v>成交单价</v>
      </c>
      <c r="Q46" s="3735"/>
      <c r="R46" s="3749">
        <f>E46</f>
        <v>0</v>
      </c>
      <c r="S46" s="3749"/>
      <c r="T46" s="3749">
        <f>G46</f>
        <v>0</v>
      </c>
      <c r="U46" s="3749"/>
      <c r="V46" s="3749">
        <f>I46</f>
        <v>0</v>
      </c>
      <c r="W46" s="374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35" t="str">
        <f>A47</f>
        <v>比较价值（元/平方米）</v>
      </c>
      <c r="Q47" s="3735"/>
      <c r="R47" s="3824" t="e">
        <f>ROUND(PRODUCT(R46,AA7:AA45),0)</f>
        <v>#DIV/0!</v>
      </c>
      <c r="S47" s="3824"/>
      <c r="T47" s="3824" t="e">
        <f>ROUND(PRODUCT(T46,AB7:AB45),0)</f>
        <v>#DIV/0!</v>
      </c>
      <c r="U47" s="3824"/>
      <c r="V47" s="3824" t="e">
        <f>ROUND(PRODUCT(V46,AC7:AC45),0)</f>
        <v>#DIV/0!</v>
      </c>
      <c r="W47" s="38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37" t="str">
        <f>A48</f>
        <v>估价对象XX用房的比较价值（楼面单价，元/平方米）</v>
      </c>
      <c r="Q48" s="3738"/>
      <c r="R48" s="3825" t="e">
        <f>ROUND(IF(D47="简单平均",AVERAGE(R47:W47),R47*F47+T47*H47+V47*J47),0)</f>
        <v>#DIV/0!</v>
      </c>
      <c r="S48" s="3825"/>
      <c r="T48" s="3825"/>
      <c r="U48" s="3825"/>
      <c r="V48" s="3825"/>
      <c r="W48" s="382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754" t="s">
        <v>1887</v>
      </c>
      <c r="H55" s="3826"/>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359.87</v>
      </c>
      <c r="F56" s="886" t="e">
        <f t="shared" ref="F56:F64" si="15">ROUND(B56*E56/10000,0)</f>
        <v>#DIV/0!</v>
      </c>
      <c r="G56" s="3750"/>
      <c r="H56" s="373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359.87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54" t="s">
        <v>1770</v>
      </c>
      <c r="D4" s="3755"/>
      <c r="E4" s="3756" t="s">
        <v>1771</v>
      </c>
      <c r="F4" s="3757"/>
      <c r="G4" s="3754" t="s">
        <v>1772</v>
      </c>
      <c r="H4" s="3755"/>
      <c r="I4" s="3754" t="s">
        <v>1773</v>
      </c>
      <c r="J4" s="3755"/>
      <c r="K4" s="559" t="s">
        <v>1774</v>
      </c>
      <c r="L4" s="2713"/>
      <c r="M4" s="2714"/>
      <c r="N4" s="2714"/>
      <c r="O4" s="2714"/>
      <c r="P4" s="3758" t="s">
        <v>1775</v>
      </c>
      <c r="Q4" s="3759"/>
      <c r="R4" s="3764" t="s">
        <v>1771</v>
      </c>
      <c r="S4" s="3765"/>
      <c r="T4" s="3764" t="s">
        <v>1772</v>
      </c>
      <c r="U4" s="3765"/>
      <c r="V4" s="3749" t="s">
        <v>1773</v>
      </c>
      <c r="W4" s="3749"/>
      <c r="X4" s="1355"/>
      <c r="Y4" s="3764" t="s">
        <v>1775</v>
      </c>
      <c r="Z4" s="3765"/>
      <c r="AA4" s="3751" t="s">
        <v>1771</v>
      </c>
      <c r="AB4" s="3752" t="s">
        <v>1772</v>
      </c>
      <c r="AC4" s="3751" t="s">
        <v>1773</v>
      </c>
    </row>
    <row r="5" spans="1:29" ht="15">
      <c r="A5" s="358"/>
      <c r="B5" s="359"/>
      <c r="C5" s="3772" t="s">
        <v>1673</v>
      </c>
      <c r="D5" s="3773"/>
      <c r="E5" s="3779" t="s">
        <v>1674</v>
      </c>
      <c r="F5" s="3780"/>
      <c r="G5" s="3772" t="s">
        <v>1675</v>
      </c>
      <c r="H5" s="3773"/>
      <c r="I5" s="3772" t="s">
        <v>1676</v>
      </c>
      <c r="J5" s="3773"/>
      <c r="K5" s="559"/>
      <c r="L5" s="2713"/>
      <c r="M5" s="2714"/>
      <c r="N5" s="2714"/>
      <c r="O5" s="2714"/>
      <c r="P5" s="3760"/>
      <c r="Q5" s="3761"/>
      <c r="R5" s="3766"/>
      <c r="S5" s="3767"/>
      <c r="T5" s="3766"/>
      <c r="U5" s="3767"/>
      <c r="V5" s="3749"/>
      <c r="W5" s="3749"/>
      <c r="X5" s="1355"/>
      <c r="Y5" s="3766"/>
      <c r="Z5" s="3767"/>
      <c r="AA5" s="3752"/>
      <c r="AB5" s="3752"/>
      <c r="AC5" s="3752"/>
    </row>
    <row r="6" spans="1:29" ht="15.75" thickBot="1">
      <c r="A6" s="360"/>
      <c r="B6" s="361"/>
      <c r="C6" s="3827" t="s">
        <v>1919</v>
      </c>
      <c r="D6" s="3828"/>
      <c r="E6" s="3829" t="s">
        <v>1919</v>
      </c>
      <c r="F6" s="3830"/>
      <c r="G6" s="3827" t="s">
        <v>1919</v>
      </c>
      <c r="H6" s="3828"/>
      <c r="I6" s="3827" t="s">
        <v>1919</v>
      </c>
      <c r="J6" s="3828"/>
      <c r="K6" s="559" t="s">
        <v>1678</v>
      </c>
      <c r="L6" s="2713"/>
      <c r="M6" s="2714"/>
      <c r="N6" s="2714"/>
      <c r="O6" s="2714"/>
      <c r="P6" s="3762"/>
      <c r="Q6" s="3763"/>
      <c r="R6" s="3766"/>
      <c r="S6" s="3767"/>
      <c r="T6" s="3768"/>
      <c r="U6" s="3769"/>
      <c r="V6" s="3749"/>
      <c r="W6" s="3749"/>
      <c r="X6" s="1355"/>
      <c r="Y6" s="3768"/>
      <c r="Z6" s="3769"/>
      <c r="AA6" s="3753"/>
      <c r="AB6" s="3753"/>
      <c r="AC6" s="3753"/>
    </row>
    <row r="7" spans="1:29" s="108" customFormat="1" ht="15.75" thickBot="1">
      <c r="A7" s="362" t="s">
        <v>1679</v>
      </c>
      <c r="B7" s="363"/>
      <c r="C7" s="364">
        <f>'数据-取费表'!B2</f>
        <v>45023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74" t="s">
        <v>1680</v>
      </c>
      <c r="Q7" s="3776"/>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74" t="s">
        <v>1683</v>
      </c>
      <c r="Q8" s="3775"/>
      <c r="R8" s="701" t="s">
        <v>14</v>
      </c>
      <c r="S8" s="702">
        <f t="shared" si="0"/>
        <v>0</v>
      </c>
      <c r="T8" s="701" t="s">
        <v>14</v>
      </c>
      <c r="U8" s="702">
        <f t="shared" si="1"/>
        <v>0</v>
      </c>
      <c r="V8" s="701" t="s">
        <v>14</v>
      </c>
      <c r="W8" s="702">
        <f t="shared" si="2"/>
        <v>0</v>
      </c>
      <c r="X8" s="703"/>
      <c r="Y8" s="3774" t="s">
        <v>1683</v>
      </c>
      <c r="Z8" s="37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35"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735"/>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5"/>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5"/>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5"/>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5"/>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43"/>
      <c r="Q16" s="1352"/>
      <c r="R16" s="705"/>
      <c r="S16" s="706"/>
      <c r="T16" s="705"/>
      <c r="U16" s="706"/>
      <c r="V16" s="705"/>
      <c r="W16" s="706"/>
      <c r="X16" s="1355"/>
      <c r="Y16" s="374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43"/>
      <c r="Q18" s="1352"/>
      <c r="R18" s="705"/>
      <c r="S18" s="706"/>
      <c r="T18" s="705"/>
      <c r="U18" s="706"/>
      <c r="V18" s="705"/>
      <c r="W18" s="706"/>
      <c r="X18" s="1355"/>
      <c r="Y18" s="374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3"/>
      <c r="Q19" s="1352" t="str">
        <f t="shared" ref="Q19:Q33" si="8">B19</f>
        <v>区域土地利用方向</v>
      </c>
      <c r="R19" s="705" t="s">
        <v>14</v>
      </c>
      <c r="S19" s="706">
        <f>F19</f>
        <v>100</v>
      </c>
      <c r="T19" s="705" t="s">
        <v>14</v>
      </c>
      <c r="U19" s="706">
        <f>H19</f>
        <v>100</v>
      </c>
      <c r="V19" s="705" t="s">
        <v>14</v>
      </c>
      <c r="W19" s="706">
        <f>J19</f>
        <v>100</v>
      </c>
      <c r="X19" s="1355"/>
      <c r="Y19" s="374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43"/>
      <c r="Q20" s="1352"/>
      <c r="R20" s="705"/>
      <c r="S20" s="706"/>
      <c r="T20" s="705"/>
      <c r="U20" s="706"/>
      <c r="V20" s="705"/>
      <c r="W20" s="706"/>
      <c r="X20" s="1355"/>
      <c r="Y20" s="374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3"/>
      <c r="Q21" s="1352" t="str">
        <f t="shared" si="8"/>
        <v>环境状况</v>
      </c>
      <c r="R21" s="705" t="s">
        <v>14</v>
      </c>
      <c r="S21" s="706">
        <f>F21</f>
        <v>100</v>
      </c>
      <c r="T21" s="705" t="s">
        <v>14</v>
      </c>
      <c r="U21" s="706">
        <f>H21</f>
        <v>100</v>
      </c>
      <c r="V21" s="705" t="s">
        <v>14</v>
      </c>
      <c r="W21" s="706">
        <f>J21</f>
        <v>100</v>
      </c>
      <c r="X21" s="1355"/>
      <c r="Y21" s="374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43"/>
      <c r="Q22" s="1352"/>
      <c r="R22" s="705"/>
      <c r="S22" s="706"/>
      <c r="T22" s="705"/>
      <c r="U22" s="706"/>
      <c r="V22" s="705"/>
      <c r="W22" s="706"/>
      <c r="X22" s="1355"/>
      <c r="Y22" s="374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3"/>
      <c r="Q23" s="1343" t="str">
        <f t="shared" si="8"/>
        <v>公共配套设施</v>
      </c>
      <c r="R23" s="701" t="s">
        <v>14</v>
      </c>
      <c r="S23" s="702">
        <f>F23</f>
        <v>100</v>
      </c>
      <c r="T23" s="701" t="s">
        <v>14</v>
      </c>
      <c r="U23" s="702">
        <f>H23</f>
        <v>100</v>
      </c>
      <c r="V23" s="701" t="s">
        <v>14</v>
      </c>
      <c r="W23" s="702">
        <f>J23</f>
        <v>100</v>
      </c>
      <c r="X23" s="703"/>
      <c r="Y23" s="374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43"/>
      <c r="Q24" s="1343"/>
      <c r="R24" s="701"/>
      <c r="S24" s="702"/>
      <c r="T24" s="701"/>
      <c r="U24" s="702"/>
      <c r="V24" s="701"/>
      <c r="W24" s="702"/>
      <c r="X24" s="703"/>
      <c r="Y24" s="374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3"/>
      <c r="Q25" s="1343" t="str">
        <f t="shared" ref="Q25" si="9">B25</f>
        <v>基础设施水平</v>
      </c>
      <c r="R25" s="701" t="s">
        <v>14</v>
      </c>
      <c r="S25" s="702">
        <f>F25</f>
        <v>100</v>
      </c>
      <c r="T25" s="701" t="s">
        <v>14</v>
      </c>
      <c r="U25" s="702">
        <f>H25</f>
        <v>100</v>
      </c>
      <c r="V25" s="701" t="s">
        <v>14</v>
      </c>
      <c r="W25" s="702">
        <f>J25</f>
        <v>100</v>
      </c>
      <c r="X25" s="703"/>
      <c r="Y25" s="374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43"/>
      <c r="Q26" s="1343"/>
      <c r="R26" s="701"/>
      <c r="S26" s="702"/>
      <c r="T26" s="701"/>
      <c r="U26" s="702"/>
      <c r="V26" s="701"/>
      <c r="W26" s="702"/>
      <c r="X26" s="703"/>
      <c r="Y26" s="374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3"/>
      <c r="Q28" s="1352" t="str">
        <f t="shared" si="8"/>
        <v>毗邻道路的类型与等级</v>
      </c>
      <c r="R28" s="705" t="s">
        <v>14</v>
      </c>
      <c r="S28" s="706">
        <f t="shared" si="10"/>
        <v>100</v>
      </c>
      <c r="T28" s="705" t="s">
        <v>14</v>
      </c>
      <c r="U28" s="706">
        <f t="shared" si="11"/>
        <v>100</v>
      </c>
      <c r="V28" s="705" t="s">
        <v>14</v>
      </c>
      <c r="W28" s="706">
        <f t="shared" si="12"/>
        <v>100</v>
      </c>
      <c r="X28" s="1355"/>
      <c r="Y28" s="374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43"/>
      <c r="Q29" s="1352"/>
      <c r="R29" s="705"/>
      <c r="S29" s="706"/>
      <c r="T29" s="705"/>
      <c r="U29" s="706"/>
      <c r="V29" s="705"/>
      <c r="W29" s="706"/>
      <c r="X29" s="1355"/>
      <c r="Y29" s="374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3"/>
      <c r="Q30" s="1352" t="str">
        <f t="shared" si="8"/>
        <v>土地级别</v>
      </c>
      <c r="R30" s="705" t="s">
        <v>14</v>
      </c>
      <c r="S30" s="706">
        <f t="shared" si="10"/>
        <v>100</v>
      </c>
      <c r="T30" s="705" t="s">
        <v>14</v>
      </c>
      <c r="U30" s="706">
        <f t="shared" si="11"/>
        <v>100</v>
      </c>
      <c r="V30" s="705" t="s">
        <v>14</v>
      </c>
      <c r="W30" s="706">
        <f t="shared" si="12"/>
        <v>100</v>
      </c>
      <c r="X30" s="1355"/>
      <c r="Y30" s="374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3"/>
      <c r="Q31" s="1352">
        <f t="shared" si="8"/>
        <v>111</v>
      </c>
      <c r="R31" s="705" t="s">
        <v>14</v>
      </c>
      <c r="S31" s="706">
        <f t="shared" si="10"/>
        <v>100</v>
      </c>
      <c r="T31" s="705" t="s">
        <v>14</v>
      </c>
      <c r="U31" s="706">
        <f t="shared" si="11"/>
        <v>100</v>
      </c>
      <c r="V31" s="705" t="s">
        <v>14</v>
      </c>
      <c r="W31" s="706">
        <f t="shared" si="12"/>
        <v>100</v>
      </c>
      <c r="X31" s="1355"/>
      <c r="Y31" s="374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22" t="s">
        <v>1696</v>
      </c>
      <c r="Q32" s="1352">
        <f t="shared" si="8"/>
        <v>111</v>
      </c>
      <c r="R32" s="705" t="s">
        <v>14</v>
      </c>
      <c r="S32" s="706">
        <f t="shared" si="10"/>
        <v>100</v>
      </c>
      <c r="T32" s="705" t="s">
        <v>14</v>
      </c>
      <c r="U32" s="706">
        <f t="shared" si="11"/>
        <v>100</v>
      </c>
      <c r="V32" s="705" t="s">
        <v>14</v>
      </c>
      <c r="W32" s="706">
        <f t="shared" si="12"/>
        <v>100</v>
      </c>
      <c r="X32" s="1355"/>
      <c r="Y32" s="374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47"/>
      <c r="Q33" s="1352">
        <f t="shared" si="8"/>
        <v>111</v>
      </c>
      <c r="R33" s="708" t="s">
        <v>14</v>
      </c>
      <c r="S33" s="709">
        <f t="shared" si="10"/>
        <v>100</v>
      </c>
      <c r="T33" s="708" t="s">
        <v>14</v>
      </c>
      <c r="U33" s="709">
        <f t="shared" si="11"/>
        <v>100</v>
      </c>
      <c r="V33" s="708" t="s">
        <v>14</v>
      </c>
      <c r="W33" s="709">
        <f t="shared" si="12"/>
        <v>100</v>
      </c>
      <c r="X33" s="710"/>
      <c r="Y33" s="374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47"/>
      <c r="Q34" s="1352" t="str">
        <f>B34</f>
        <v>宗地面积</v>
      </c>
      <c r="R34" s="705" t="s">
        <v>14</v>
      </c>
      <c r="S34" s="706" t="e">
        <f t="shared" si="10"/>
        <v>#N/A</v>
      </c>
      <c r="T34" s="705" t="s">
        <v>14</v>
      </c>
      <c r="U34" s="706" t="e">
        <f t="shared" si="11"/>
        <v>#N/A</v>
      </c>
      <c r="V34" s="705" t="s">
        <v>14</v>
      </c>
      <c r="W34" s="706" t="e">
        <f t="shared" si="12"/>
        <v>#N/A</v>
      </c>
      <c r="X34" s="1355"/>
      <c r="Y34" s="374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47"/>
      <c r="Q35" s="1352" t="str">
        <f t="shared" ref="Q35:Q40" si="14">B35</f>
        <v>宗地形状</v>
      </c>
      <c r="R35" s="705" t="s">
        <v>14</v>
      </c>
      <c r="S35" s="706">
        <f t="shared" si="10"/>
        <v>100</v>
      </c>
      <c r="T35" s="705" t="s">
        <v>14</v>
      </c>
      <c r="U35" s="706">
        <f t="shared" si="11"/>
        <v>100</v>
      </c>
      <c r="V35" s="705" t="s">
        <v>14</v>
      </c>
      <c r="W35" s="706">
        <f t="shared" si="12"/>
        <v>100</v>
      </c>
      <c r="X35" s="1355"/>
      <c r="Y35" s="374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47"/>
      <c r="Q36" s="1352" t="str">
        <f t="shared" si="14"/>
        <v>宗地开发程度</v>
      </c>
      <c r="R36" s="701" t="s">
        <v>14</v>
      </c>
      <c r="S36" s="702">
        <f t="shared" si="10"/>
        <v>100</v>
      </c>
      <c r="T36" s="701" t="s">
        <v>14</v>
      </c>
      <c r="U36" s="702">
        <f t="shared" si="11"/>
        <v>100</v>
      </c>
      <c r="V36" s="701" t="s">
        <v>14</v>
      </c>
      <c r="W36" s="702">
        <f t="shared" si="12"/>
        <v>100</v>
      </c>
      <c r="X36" s="703"/>
      <c r="Y36" s="374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47" t="s">
        <v>1696</v>
      </c>
      <c r="Q37" s="1352" t="str">
        <f t="shared" si="14"/>
        <v>工程地质条件</v>
      </c>
      <c r="R37" s="705" t="s">
        <v>14</v>
      </c>
      <c r="S37" s="706">
        <f t="shared" si="10"/>
        <v>100</v>
      </c>
      <c r="T37" s="705" t="s">
        <v>14</v>
      </c>
      <c r="U37" s="706">
        <f t="shared" si="11"/>
        <v>100</v>
      </c>
      <c r="V37" s="705" t="s">
        <v>14</v>
      </c>
      <c r="W37" s="706">
        <f t="shared" si="12"/>
        <v>100</v>
      </c>
      <c r="X37" s="1355"/>
      <c r="Y37" s="374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47"/>
      <c r="Q38" s="1352">
        <f t="shared" si="14"/>
        <v>111</v>
      </c>
      <c r="R38" s="705" t="s">
        <v>14</v>
      </c>
      <c r="S38" s="706">
        <f t="shared" si="10"/>
        <v>100</v>
      </c>
      <c r="T38" s="705" t="s">
        <v>14</v>
      </c>
      <c r="U38" s="706">
        <f t="shared" si="11"/>
        <v>100</v>
      </c>
      <c r="V38" s="705" t="s">
        <v>14</v>
      </c>
      <c r="W38" s="706">
        <f t="shared" si="12"/>
        <v>100</v>
      </c>
      <c r="X38" s="1355"/>
      <c r="Y38" s="374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47"/>
      <c r="Q39" s="1352">
        <f t="shared" si="14"/>
        <v>111</v>
      </c>
      <c r="R39" s="705" t="s">
        <v>14</v>
      </c>
      <c r="S39" s="706">
        <f t="shared" si="10"/>
        <v>100</v>
      </c>
      <c r="T39" s="705" t="s">
        <v>14</v>
      </c>
      <c r="U39" s="706">
        <f t="shared" si="11"/>
        <v>100</v>
      </c>
      <c r="V39" s="705" t="s">
        <v>14</v>
      </c>
      <c r="W39" s="706">
        <f t="shared" si="12"/>
        <v>100</v>
      </c>
      <c r="X39" s="1355"/>
      <c r="Y39" s="374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47"/>
      <c r="Q40" s="1352">
        <f t="shared" si="14"/>
        <v>111</v>
      </c>
      <c r="R40" s="708" t="s">
        <v>14</v>
      </c>
      <c r="S40" s="709">
        <f t="shared" si="10"/>
        <v>100</v>
      </c>
      <c r="T40" s="708" t="s">
        <v>14</v>
      </c>
      <c r="U40" s="709">
        <f t="shared" si="11"/>
        <v>100</v>
      </c>
      <c r="V40" s="708" t="s">
        <v>14</v>
      </c>
      <c r="W40" s="709">
        <f t="shared" si="12"/>
        <v>100</v>
      </c>
      <c r="X40" s="710"/>
      <c r="Y40" s="374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35" t="str">
        <f>A41</f>
        <v>成交单价</v>
      </c>
      <c r="Q41" s="3735"/>
      <c r="R41" s="3749">
        <f>E41</f>
        <v>0</v>
      </c>
      <c r="S41" s="3749"/>
      <c r="T41" s="3749">
        <f>G41</f>
        <v>0</v>
      </c>
      <c r="U41" s="3749"/>
      <c r="V41" s="3749">
        <f>I41</f>
        <v>0</v>
      </c>
      <c r="W41" s="374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35" t="str">
        <f>A42</f>
        <v>比较价值（元/平方米）</v>
      </c>
      <c r="Q42" s="3735"/>
      <c r="R42" s="3824" t="e">
        <f>ROUND(PRODUCT(R41,AA7:AA40),0)</f>
        <v>#DIV/0!</v>
      </c>
      <c r="S42" s="3824"/>
      <c r="T42" s="3824" t="e">
        <f>ROUND(PRODUCT(T41,AB7:AB40),0)</f>
        <v>#DIV/0!</v>
      </c>
      <c r="U42" s="3824"/>
      <c r="V42" s="3824" t="e">
        <f>ROUND(PRODUCT(V41,AC7:AC40),0)</f>
        <v>#DIV/0!</v>
      </c>
      <c r="W42" s="38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37" t="str">
        <f>A43</f>
        <v>估价对象XX用房的比较价值（楼面单价，元/平方米）</v>
      </c>
      <c r="Q43" s="3738"/>
      <c r="R43" s="3825" t="e">
        <f>ROUND(IF(D42="简单平均",AVERAGE(R42:W42),R42*F42+T42*H42+V42*J42),0)</f>
        <v>#DIV/0!</v>
      </c>
      <c r="S43" s="3825"/>
      <c r="T43" s="3825"/>
      <c r="U43" s="3825"/>
      <c r="V43" s="3825"/>
      <c r="W43" s="382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754" t="s">
        <v>1887</v>
      </c>
      <c r="H50" s="3826"/>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359.87</v>
      </c>
      <c r="F51" s="639" t="e">
        <f t="shared" ref="F51:F60" si="15">ROUND(B51*E51/10000,0)</f>
        <v>#DIV/0!</v>
      </c>
      <c r="G51" s="3750"/>
      <c r="H51" s="373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34" t="s">
        <v>2084</v>
      </c>
      <c r="D1" s="3835"/>
      <c r="E1" s="3835"/>
      <c r="F1" s="3835"/>
      <c r="G1" s="3835"/>
      <c r="H1" s="3835"/>
      <c r="I1" s="3835"/>
      <c r="J1" s="3835"/>
      <c r="K1" s="3835"/>
      <c r="L1" s="3835"/>
      <c r="M1" s="3835"/>
      <c r="N1" s="3835"/>
      <c r="O1" s="3835"/>
      <c r="P1" s="3835"/>
      <c r="Q1" s="3835"/>
      <c r="R1" s="3835"/>
      <c r="S1" s="38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31" t="s">
        <v>27</v>
      </c>
      <c r="D22" s="3832"/>
      <c r="E22" s="3832"/>
      <c r="F22" s="3832"/>
      <c r="G22" s="3832"/>
      <c r="H22" s="3832"/>
      <c r="I22" s="3832"/>
      <c r="J22" s="3832"/>
      <c r="K22" s="3832"/>
      <c r="L22" s="3832"/>
      <c r="M22" s="3832"/>
      <c r="N22" s="3832"/>
      <c r="O22" s="3832"/>
      <c r="P22" s="3832"/>
      <c r="Q22" s="38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366</v>
      </c>
      <c r="C2" s="2145" t="s">
        <v>2074</v>
      </c>
      <c r="D2" s="2145" t="s">
        <v>2075</v>
      </c>
      <c r="E2" s="2610">
        <f ca="1">SUMIF(E6:E13,"&lt;&gt;#ref!",E6:E13)</f>
        <v>359.87</v>
      </c>
      <c r="F2" s="2791"/>
      <c r="G2" s="2791"/>
      <c r="H2" s="2791"/>
      <c r="I2" s="2791"/>
      <c r="J2" s="2791"/>
      <c r="K2" s="2791"/>
      <c r="L2" s="2791"/>
      <c r="M2" s="2791"/>
      <c r="N2" s="2791"/>
      <c r="O2" s="2791"/>
      <c r="P2" s="2791"/>
    </row>
    <row r="3" spans="1:16" ht="15.75">
      <c r="A3" s="2145" t="s">
        <v>2076</v>
      </c>
      <c r="B3" s="2600">
        <f ca="1">ROUND(B2*10000/E2,0)</f>
        <v>10170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366</v>
      </c>
      <c r="C6" s="2145" t="s">
        <v>2074</v>
      </c>
      <c r="D6" s="2791"/>
      <c r="E6" s="2610">
        <f ca="1">SUMIF(INDIRECT("'"&amp;A6&amp;"'"&amp;"!C:C"),"建筑面积",INDIRECT("'"&amp;A6&amp;"'"&amp;"!D:D"))</f>
        <v>359.87</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3"/>
  <sheetViews>
    <sheetView workbookViewId="0">
      <selection activeCell="N40" sqref="N40"/>
    </sheetView>
  </sheetViews>
  <sheetFormatPr defaultColWidth="8.875" defaultRowHeight="13.5"/>
  <cols>
    <col min="1" max="16384" width="8.875" style="3540"/>
  </cols>
  <sheetData>
    <row r="1" spans="2:6">
      <c r="C1" s="3540" t="s">
        <v>3573</v>
      </c>
      <c r="D1" s="3540" t="s">
        <v>3574</v>
      </c>
      <c r="E1" s="3540" t="s">
        <v>3575</v>
      </c>
      <c r="F1" s="3540" t="s">
        <v>3576</v>
      </c>
    </row>
    <row r="2" spans="2:6">
      <c r="B2" s="3540" t="s">
        <v>3577</v>
      </c>
      <c r="C2" s="3540">
        <v>10</v>
      </c>
      <c r="D2" s="3540" t="s">
        <v>3578</v>
      </c>
      <c r="E2" s="3540">
        <v>160</v>
      </c>
      <c r="F2" s="3540" t="s">
        <v>3579</v>
      </c>
    </row>
    <row r="3" spans="2:6">
      <c r="B3" s="3540" t="str">
        <f>[1]商业案例!F4</f>
        <v>酒仙桥六街坊</v>
      </c>
      <c r="C3" s="3540">
        <f>[1]商业案例!M4</f>
        <v>9.1</v>
      </c>
      <c r="D3" s="3540" t="s">
        <v>3580</v>
      </c>
      <c r="E3" s="3540">
        <f>[1]商业案例!G4</f>
        <v>150</v>
      </c>
      <c r="F3" s="3540" t="s">
        <v>3581</v>
      </c>
    </row>
    <row r="4" spans="2:6">
      <c r="B4" s="3540" t="s">
        <v>3582</v>
      </c>
      <c r="C4" s="3540">
        <v>9.33</v>
      </c>
      <c r="D4" s="3540" t="s">
        <v>3580</v>
      </c>
      <c r="E4" s="3540">
        <v>98.63</v>
      </c>
      <c r="F4" s="3540" t="s">
        <v>3581</v>
      </c>
    </row>
    <row r="5" spans="2:6">
      <c r="B5" t="s">
        <v>3594</v>
      </c>
      <c r="C5">
        <f>ROUND(478992/E5/365,1)</f>
        <v>8.6999999999999993</v>
      </c>
      <c r="D5" s="3540" t="s">
        <v>3580</v>
      </c>
      <c r="E5">
        <v>150.84</v>
      </c>
      <c r="F5" s="3540" t="s">
        <v>3595</v>
      </c>
    </row>
    <row r="22" spans="4:5">
      <c r="E22" s="3541"/>
    </row>
    <row r="24" spans="4:5">
      <c r="D24" s="3542"/>
    </row>
    <row r="57" spans="4:5">
      <c r="E57" s="3541"/>
    </row>
    <row r="59" spans="4:5">
      <c r="D59" s="3542"/>
    </row>
    <row r="91" spans="4:5">
      <c r="E91" s="3541"/>
    </row>
    <row r="93" spans="4:5">
      <c r="D93" s="3542"/>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view="pageBreakPreview" topLeftCell="B28" zoomScale="110" zoomScaleSheetLayoutView="110" workbookViewId="0">
      <selection activeCell="H49" sqref="H49"/>
    </sheetView>
  </sheetViews>
  <sheetFormatPr defaultColWidth="9" defaultRowHeight="13.5"/>
  <cols>
    <col min="1" max="1" width="6.375" style="3451" customWidth="1"/>
    <col min="2" max="2" width="19.375" style="3526" customWidth="1"/>
    <col min="3" max="3" width="10.125" style="3512" customWidth="1"/>
    <col min="4" max="4" width="6.375" style="3512" customWidth="1"/>
    <col min="5" max="5" width="7.375" style="3512" customWidth="1"/>
    <col min="6" max="6" width="6.5" style="3512" customWidth="1"/>
    <col min="7" max="7" width="19.375" style="3527" customWidth="1"/>
    <col min="8" max="8" width="19.5" style="3451" customWidth="1"/>
    <col min="9" max="9" width="8.625" style="3451" customWidth="1"/>
    <col min="10" max="10" width="10.5" style="3447" customWidth="1"/>
    <col min="11" max="11" width="4.875" style="3480" customWidth="1"/>
    <col min="12" max="12" width="16.375" style="3480" customWidth="1"/>
    <col min="13" max="16" width="8.125" style="3451" customWidth="1"/>
    <col min="17" max="16384" width="9" style="3451"/>
  </cols>
  <sheetData>
    <row r="1" spans="1:16">
      <c r="A1" s="3881" t="s">
        <v>3374</v>
      </c>
      <c r="B1" s="3881"/>
      <c r="C1" s="3881"/>
      <c r="D1" s="3881"/>
      <c r="E1" s="3881"/>
      <c r="F1" s="3881"/>
      <c r="G1" s="3881"/>
      <c r="H1" s="3881"/>
      <c r="I1" s="3881"/>
      <c r="K1" s="3882" t="s">
        <v>3375</v>
      </c>
      <c r="L1" s="3448" t="s">
        <v>3376</v>
      </c>
      <c r="M1" s="3449">
        <v>0</v>
      </c>
      <c r="N1" s="3450"/>
      <c r="O1" s="3450"/>
    </row>
    <row r="2" spans="1:16" ht="15.75" customHeight="1">
      <c r="A2" s="3452" t="s">
        <v>3377</v>
      </c>
      <c r="B2" s="3453" t="s">
        <v>3378</v>
      </c>
      <c r="C2" s="3846" t="s">
        <v>3379</v>
      </c>
      <c r="D2" s="3847"/>
      <c r="E2" s="3847"/>
      <c r="F2" s="3848"/>
      <c r="G2" s="3454" t="s">
        <v>3380</v>
      </c>
      <c r="H2" s="3857" t="s">
        <v>3381</v>
      </c>
      <c r="I2" s="3857"/>
      <c r="K2" s="3882"/>
      <c r="L2" s="3448" t="s">
        <v>3382</v>
      </c>
      <c r="M2" s="3455" t="s">
        <v>3383</v>
      </c>
      <c r="N2" s="3456"/>
      <c r="O2" s="3456"/>
    </row>
    <row r="3" spans="1:16">
      <c r="A3" s="3457" t="s">
        <v>3384</v>
      </c>
      <c r="B3" s="3458" t="s">
        <v>3385</v>
      </c>
      <c r="C3" s="3846">
        <f ca="1">'成本法 (元)'!C52</f>
        <v>7736107</v>
      </c>
      <c r="D3" s="3847"/>
      <c r="E3" s="3847"/>
      <c r="F3" s="3848"/>
      <c r="G3" s="3457" t="s">
        <v>3386</v>
      </c>
      <c r="H3" s="3459" t="s">
        <v>3387</v>
      </c>
      <c r="I3" s="3460">
        <f>'数据-汇总表'!E3</f>
        <v>359.87</v>
      </c>
      <c r="J3" s="3447">
        <f ca="1">C3/I3</f>
        <v>21496.948898213243</v>
      </c>
      <c r="K3" s="3882"/>
      <c r="L3" s="3448" t="s">
        <v>3388</v>
      </c>
      <c r="M3" s="3455" t="s">
        <v>3389</v>
      </c>
      <c r="N3" s="3456"/>
      <c r="O3" s="3461"/>
    </row>
    <row r="4" spans="1:16">
      <c r="A4" s="3849" t="s">
        <v>3390</v>
      </c>
      <c r="B4" s="3850" t="s">
        <v>3391</v>
      </c>
      <c r="C4" s="3883">
        <f ca="1">ROUND(C3*(I4-I6)/(1-((1+I6)/(1+I4))^I5),0)</f>
        <v>743410</v>
      </c>
      <c r="D4" s="3884"/>
      <c r="E4" s="3884"/>
      <c r="F4" s="3885"/>
      <c r="G4" s="3849" t="s">
        <v>3392</v>
      </c>
      <c r="H4" s="3462" t="s">
        <v>3393</v>
      </c>
      <c r="I4" s="3463">
        <v>0.11</v>
      </c>
      <c r="J4" s="3447">
        <f ca="1">'比较法-商业'!C49*365/J3</f>
        <v>0.14262489130514872</v>
      </c>
      <c r="K4" s="3882"/>
      <c r="L4" s="3448" t="s">
        <v>3394</v>
      </c>
      <c r="M4" s="3464">
        <f>ROUND(1-(1-M1)*M2/M3,2)</f>
        <v>0.57999999999999996</v>
      </c>
      <c r="N4" s="3456"/>
      <c r="O4" s="3456"/>
    </row>
    <row r="5" spans="1:16" s="3468" customFormat="1" ht="18" customHeight="1">
      <c r="A5" s="3849"/>
      <c r="B5" s="3850"/>
      <c r="C5" s="3886"/>
      <c r="D5" s="3887"/>
      <c r="E5" s="3887"/>
      <c r="F5" s="3888"/>
      <c r="G5" s="3849"/>
      <c r="H5" s="3458" t="s">
        <v>3395</v>
      </c>
      <c r="I5" s="3465">
        <f>项目基本情况!I15</f>
        <v>50</v>
      </c>
      <c r="J5" s="3466"/>
      <c r="K5" s="3882"/>
      <c r="L5" s="3448" t="s">
        <v>3396</v>
      </c>
      <c r="M5" s="3467">
        <v>0.5</v>
      </c>
      <c r="N5" s="3456"/>
      <c r="O5" s="3456"/>
    </row>
    <row r="6" spans="1:16" s="3468" customFormat="1" ht="18" customHeight="1">
      <c r="A6" s="3849"/>
      <c r="B6" s="3850"/>
      <c r="C6" s="3889"/>
      <c r="D6" s="3890"/>
      <c r="E6" s="3890"/>
      <c r="F6" s="3891"/>
      <c r="G6" s="3849"/>
      <c r="H6" s="3458" t="s">
        <v>3397</v>
      </c>
      <c r="I6" s="3463">
        <v>1.4999999999999999E-2</v>
      </c>
      <c r="J6" s="3469"/>
      <c r="K6" s="3892" t="s">
        <v>3398</v>
      </c>
      <c r="L6" s="3470" t="s">
        <v>3399</v>
      </c>
      <c r="M6" s="3471" t="s">
        <v>3400</v>
      </c>
      <c r="N6" s="3471" t="s">
        <v>3401</v>
      </c>
      <c r="O6" s="3471" t="s">
        <v>3402</v>
      </c>
      <c r="P6" s="3471" t="s">
        <v>3403</v>
      </c>
    </row>
    <row r="7" spans="1:16" s="3468" customFormat="1" ht="17.25" customHeight="1">
      <c r="A7" s="3457" t="s">
        <v>3404</v>
      </c>
      <c r="B7" s="3458" t="s">
        <v>3405</v>
      </c>
      <c r="C7" s="3846">
        <f ca="1">ROUND(C23*I7,0)</f>
        <v>2493854</v>
      </c>
      <c r="D7" s="3847"/>
      <c r="E7" s="3847"/>
      <c r="F7" s="3848"/>
      <c r="G7" s="3454" t="s">
        <v>3406</v>
      </c>
      <c r="H7" s="3458" t="s">
        <v>3407</v>
      </c>
      <c r="I7" s="3472">
        <f>'数据-取费表'!N6</f>
        <v>0.97</v>
      </c>
      <c r="K7" s="3892"/>
      <c r="L7" s="3470" t="s">
        <v>3408</v>
      </c>
      <c r="M7" s="3471">
        <v>100</v>
      </c>
      <c r="N7" s="3471" t="s">
        <v>3409</v>
      </c>
      <c r="O7" s="3471">
        <v>60</v>
      </c>
      <c r="P7" s="3473">
        <v>0.3</v>
      </c>
    </row>
    <row r="8" spans="1:16" s="3468" customFormat="1" ht="23.25" customHeight="1">
      <c r="A8" s="3452" t="s">
        <v>3410</v>
      </c>
      <c r="B8" s="3458" t="s">
        <v>3411</v>
      </c>
      <c r="C8" s="3846">
        <f>ROUND(I8*I3,0)</f>
        <v>1799350</v>
      </c>
      <c r="D8" s="3847"/>
      <c r="E8" s="3847"/>
      <c r="F8" s="3848"/>
      <c r="G8" s="3454" t="s">
        <v>3412</v>
      </c>
      <c r="H8" s="3458" t="s">
        <v>3413</v>
      </c>
      <c r="I8" s="3474">
        <v>5000</v>
      </c>
      <c r="J8" s="3475">
        <f>D36</f>
        <v>8.4</v>
      </c>
      <c r="K8" s="3892"/>
      <c r="L8" s="3470" t="s">
        <v>3414</v>
      </c>
      <c r="M8" s="3471">
        <v>100</v>
      </c>
      <c r="N8" s="3471" t="s">
        <v>3409</v>
      </c>
      <c r="O8" s="3471">
        <v>60</v>
      </c>
      <c r="P8" s="3473">
        <v>0.5</v>
      </c>
    </row>
    <row r="9" spans="1:16" s="3468" customFormat="1" ht="18" customHeight="1">
      <c r="A9" s="3452" t="s">
        <v>3415</v>
      </c>
      <c r="B9" s="3458" t="s">
        <v>3416</v>
      </c>
      <c r="C9" s="3846">
        <f>ROUND(C8*H9,0)</f>
        <v>53981</v>
      </c>
      <c r="D9" s="3847"/>
      <c r="E9" s="3847"/>
      <c r="F9" s="3848"/>
      <c r="G9" s="3454" t="s">
        <v>3417</v>
      </c>
      <c r="H9" s="3878">
        <f>'数据-取费表'!B33</f>
        <v>0.03</v>
      </c>
      <c r="I9" s="3878"/>
      <c r="J9" s="3475">
        <f ca="1">D37</f>
        <v>8.11</v>
      </c>
      <c r="K9" s="3892"/>
      <c r="L9" s="3470" t="s">
        <v>3418</v>
      </c>
      <c r="M9" s="3471">
        <v>100</v>
      </c>
      <c r="N9" s="3471" t="s">
        <v>3409</v>
      </c>
      <c r="O9" s="3471">
        <v>60</v>
      </c>
      <c r="P9" s="3473">
        <f>1-P7-P8</f>
        <v>0.19999999999999996</v>
      </c>
    </row>
    <row r="10" spans="1:16" s="3468" customFormat="1" ht="18" customHeight="1">
      <c r="A10" s="3452" t="s">
        <v>3419</v>
      </c>
      <c r="B10" s="3458" t="s">
        <v>3420</v>
      </c>
      <c r="C10" s="3846">
        <f>ROUND(C8*H10,0)</f>
        <v>0</v>
      </c>
      <c r="D10" s="3847"/>
      <c r="E10" s="3847"/>
      <c r="F10" s="3848"/>
      <c r="G10" s="3454" t="s">
        <v>3417</v>
      </c>
      <c r="H10" s="3878">
        <v>0</v>
      </c>
      <c r="I10" s="3878"/>
      <c r="J10" s="3475">
        <f ca="1">D38</f>
        <v>8.26</v>
      </c>
      <c r="K10" s="3892"/>
      <c r="L10" s="3476" t="s">
        <v>3396</v>
      </c>
      <c r="M10" s="3477">
        <f>1-M5</f>
        <v>0.5</v>
      </c>
      <c r="N10" s="3471" t="s">
        <v>3394</v>
      </c>
      <c r="O10" s="3478">
        <f>ROUND((O7*P7+O8*P8+O9*P9)/100,2)</f>
        <v>0.6</v>
      </c>
      <c r="P10" s="3479"/>
    </row>
    <row r="11" spans="1:16" s="3468" customFormat="1" ht="29.25" customHeight="1">
      <c r="A11" s="3452" t="s">
        <v>3421</v>
      </c>
      <c r="B11" s="3458" t="s">
        <v>3422</v>
      </c>
      <c r="C11" s="3846">
        <f>ROUND(I11*I3,0)</f>
        <v>71974</v>
      </c>
      <c r="D11" s="3847"/>
      <c r="E11" s="3847"/>
      <c r="F11" s="3848"/>
      <c r="G11" s="3454" t="s">
        <v>3423</v>
      </c>
      <c r="H11" s="3458" t="s">
        <v>3424</v>
      </c>
      <c r="I11" s="3454">
        <f>'数据-取费表'!B35</f>
        <v>200</v>
      </c>
      <c r="J11" s="3466"/>
      <c r="K11" s="3480"/>
      <c r="L11" s="3480"/>
      <c r="N11" s="3468">
        <f>(M4+O10)/2</f>
        <v>0.59</v>
      </c>
    </row>
    <row r="12" spans="1:16" s="3468" customFormat="1" ht="18" customHeight="1">
      <c r="A12" s="3452" t="s">
        <v>3425</v>
      </c>
      <c r="B12" s="3458" t="s">
        <v>3426</v>
      </c>
      <c r="C12" s="3846">
        <f>ROUND(C8*H12,0)</f>
        <v>26990</v>
      </c>
      <c r="D12" s="3847"/>
      <c r="E12" s="3847"/>
      <c r="F12" s="3848"/>
      <c r="G12" s="3454" t="s">
        <v>3417</v>
      </c>
      <c r="H12" s="3878">
        <f>'数据-取费表'!B36</f>
        <v>1.4999999999999999E-2</v>
      </c>
      <c r="I12" s="3878"/>
      <c r="J12" s="3481" t="s">
        <v>3427</v>
      </c>
      <c r="L12" s="3482"/>
    </row>
    <row r="13" spans="1:16" s="3468" customFormat="1" ht="18" customHeight="1">
      <c r="A13" s="3452" t="s">
        <v>438</v>
      </c>
      <c r="B13" s="3458" t="s">
        <v>3428</v>
      </c>
      <c r="C13" s="3846">
        <f>SUM(C8:F12)</f>
        <v>1952295</v>
      </c>
      <c r="D13" s="3847"/>
      <c r="E13" s="3847"/>
      <c r="F13" s="3848"/>
      <c r="G13" s="3857" t="s">
        <v>3429</v>
      </c>
      <c r="H13" s="3857"/>
      <c r="I13" s="3857"/>
      <c r="J13" s="3481" t="s">
        <v>3430</v>
      </c>
      <c r="L13" s="3482"/>
    </row>
    <row r="14" spans="1:16" s="3468" customFormat="1" ht="18" customHeight="1">
      <c r="A14" s="3452" t="s">
        <v>3431</v>
      </c>
      <c r="B14" s="3458" t="s">
        <v>3432</v>
      </c>
      <c r="C14" s="3846">
        <f>ROUND(C13*H14,0)</f>
        <v>39046</v>
      </c>
      <c r="D14" s="3847"/>
      <c r="E14" s="3847"/>
      <c r="F14" s="3848"/>
      <c r="G14" s="3454" t="s">
        <v>3433</v>
      </c>
      <c r="H14" s="3878">
        <f>'数据-取费表'!B37</f>
        <v>0.02</v>
      </c>
      <c r="I14" s="3878"/>
      <c r="J14" s="3466"/>
      <c r="L14" s="3482"/>
    </row>
    <row r="15" spans="1:16" s="3468" customFormat="1" ht="18" customHeight="1">
      <c r="A15" s="3452" t="s">
        <v>393</v>
      </c>
      <c r="B15" s="3458" t="s">
        <v>3434</v>
      </c>
      <c r="C15" s="3860">
        <f>H15</f>
        <v>0.02</v>
      </c>
      <c r="D15" s="3861"/>
      <c r="E15" s="3876" t="str">
        <f>E18</f>
        <v>V</v>
      </c>
      <c r="F15" s="3877"/>
      <c r="G15" s="3454" t="s">
        <v>3435</v>
      </c>
      <c r="H15" s="3878">
        <f>'数据-取费表'!B38</f>
        <v>0.02</v>
      </c>
      <c r="I15" s="3878"/>
      <c r="J15" s="3483"/>
      <c r="K15" s="3484"/>
    </row>
    <row r="16" spans="1:16" s="3468" customFormat="1" ht="18" customHeight="1">
      <c r="A16" s="3485" t="s">
        <v>394</v>
      </c>
      <c r="B16" s="3486" t="s">
        <v>3436</v>
      </c>
      <c r="C16" s="3487">
        <f ca="1">C17</f>
        <v>82641</v>
      </c>
      <c r="D16" s="3488" t="s">
        <v>3437</v>
      </c>
      <c r="E16" s="3489">
        <f ca="1">C18</f>
        <v>8.299999999999999E-4</v>
      </c>
      <c r="F16" s="3490" t="str">
        <f>E18</f>
        <v>V</v>
      </c>
      <c r="G16" s="3846" t="s">
        <v>3438</v>
      </c>
      <c r="H16" s="3847"/>
      <c r="I16" s="3848"/>
      <c r="J16" s="3466"/>
      <c r="K16" s="3480"/>
    </row>
    <row r="17" spans="1:12" s="3468" customFormat="1" ht="18" customHeight="1">
      <c r="A17" s="3452" t="s">
        <v>3439</v>
      </c>
      <c r="B17" s="3458" t="s">
        <v>3440</v>
      </c>
      <c r="C17" s="3846">
        <f ca="1">ROUND((C13+C14)*I18*(I17/2),0)</f>
        <v>82641</v>
      </c>
      <c r="D17" s="3847"/>
      <c r="E17" s="3847"/>
      <c r="F17" s="3848"/>
      <c r="G17" s="3487" t="s">
        <v>3441</v>
      </c>
      <c r="H17" s="3458" t="s">
        <v>3442</v>
      </c>
      <c r="I17" s="3491">
        <f>'数据-取费表'!B21</f>
        <v>2</v>
      </c>
      <c r="J17" s="3481" t="s">
        <v>3443</v>
      </c>
      <c r="K17" s="3480"/>
      <c r="L17" s="3480"/>
    </row>
    <row r="18" spans="1:12" s="3468" customFormat="1" ht="18" customHeight="1">
      <c r="A18" s="3452" t="s">
        <v>3444</v>
      </c>
      <c r="B18" s="3458" t="s">
        <v>3445</v>
      </c>
      <c r="C18" s="3879">
        <f ca="1">H15*I18*I17/2</f>
        <v>8.299999999999999E-4</v>
      </c>
      <c r="D18" s="3880"/>
      <c r="E18" s="3876" t="s">
        <v>3447</v>
      </c>
      <c r="F18" s="3877"/>
      <c r="G18" s="3487" t="s">
        <v>3448</v>
      </c>
      <c r="H18" s="3458" t="s">
        <v>3449</v>
      </c>
      <c r="I18" s="3492">
        <f ca="1">'数据-取费表'!B40</f>
        <v>4.1499999999999995E-2</v>
      </c>
      <c r="J18" s="3481" t="s">
        <v>3450</v>
      </c>
      <c r="K18" s="3480"/>
      <c r="L18" s="3480"/>
    </row>
    <row r="19" spans="1:12" s="3468" customFormat="1" ht="27" customHeight="1">
      <c r="A19" s="3452" t="s">
        <v>395</v>
      </c>
      <c r="B19" s="3458" t="s">
        <v>3451</v>
      </c>
      <c r="C19" s="3487">
        <f>C20</f>
        <v>298701</v>
      </c>
      <c r="D19" s="3488" t="s">
        <v>3437</v>
      </c>
      <c r="E19" s="3488">
        <f>C21</f>
        <v>3.0000000000000001E-3</v>
      </c>
      <c r="F19" s="3490" t="str">
        <f>E21</f>
        <v>V</v>
      </c>
      <c r="G19" s="3846" t="s">
        <v>3452</v>
      </c>
      <c r="H19" s="3847"/>
      <c r="I19" s="3848"/>
      <c r="J19" s="3466"/>
      <c r="K19" s="3480"/>
      <c r="L19" s="3480"/>
    </row>
    <row r="20" spans="1:12" s="3468" customFormat="1" ht="26.25" customHeight="1">
      <c r="A20" s="3452" t="s">
        <v>3453</v>
      </c>
      <c r="B20" s="3458" t="s">
        <v>3454</v>
      </c>
      <c r="C20" s="3846">
        <f>ROUND((C13+C14)*I20,0)</f>
        <v>298701</v>
      </c>
      <c r="D20" s="3847"/>
      <c r="E20" s="3847"/>
      <c r="F20" s="3848"/>
      <c r="G20" s="3454" t="s">
        <v>3455</v>
      </c>
      <c r="H20" s="3871" t="s">
        <v>3456</v>
      </c>
      <c r="I20" s="3873">
        <v>0.15</v>
      </c>
      <c r="J20" s="3481" t="s">
        <v>3457</v>
      </c>
      <c r="K20" s="3480"/>
      <c r="L20" s="3480"/>
    </row>
    <row r="21" spans="1:12" s="3468" customFormat="1" ht="27" customHeight="1">
      <c r="A21" s="3452" t="s">
        <v>3453</v>
      </c>
      <c r="B21" s="3458" t="s">
        <v>3458</v>
      </c>
      <c r="C21" s="3874">
        <f>H15*I20</f>
        <v>3.0000000000000001E-3</v>
      </c>
      <c r="D21" s="3875"/>
      <c r="E21" s="3876" t="s">
        <v>3446</v>
      </c>
      <c r="F21" s="3877"/>
      <c r="G21" s="3454" t="s">
        <v>3459</v>
      </c>
      <c r="H21" s="3872"/>
      <c r="I21" s="3873"/>
      <c r="J21" s="3466"/>
      <c r="K21" s="3480"/>
      <c r="L21" s="3480"/>
    </row>
    <row r="22" spans="1:12" s="3468" customFormat="1" ht="18" customHeight="1">
      <c r="A22" s="3452" t="s">
        <v>396</v>
      </c>
      <c r="B22" s="3458" t="s">
        <v>3460</v>
      </c>
      <c r="C22" s="3874">
        <f>ROUND(H22/1.05,4)</f>
        <v>5.33E-2</v>
      </c>
      <c r="D22" s="3875"/>
      <c r="E22" s="3876" t="s">
        <v>3446</v>
      </c>
      <c r="F22" s="3877"/>
      <c r="G22" s="3454" t="s">
        <v>3461</v>
      </c>
      <c r="H22" s="3878">
        <f>'数据-取费表'!B41</f>
        <v>5.6000000000000001E-2</v>
      </c>
      <c r="I22" s="3878"/>
      <c r="J22" s="3493"/>
      <c r="K22" s="3480"/>
      <c r="L22" s="3480"/>
    </row>
    <row r="23" spans="1:12" s="3468" customFormat="1" ht="18" customHeight="1">
      <c r="A23" s="3452" t="s">
        <v>3462</v>
      </c>
      <c r="B23" s="3458" t="s">
        <v>3463</v>
      </c>
      <c r="C23" s="3846">
        <f ca="1">ROUND((C13+C14+C17+C20)/(1-H15-C18-C21-C22),0)</f>
        <v>2570983</v>
      </c>
      <c r="D23" s="3847"/>
      <c r="E23" s="3847"/>
      <c r="F23" s="3848"/>
      <c r="G23" s="3846" t="s">
        <v>3464</v>
      </c>
      <c r="H23" s="3847"/>
      <c r="I23" s="3848"/>
      <c r="J23" s="3493"/>
      <c r="K23" s="3480"/>
      <c r="L23" s="3480"/>
    </row>
    <row r="24" spans="1:12" s="3468" customFormat="1" ht="18" customHeight="1">
      <c r="A24" s="3452" t="s">
        <v>3465</v>
      </c>
      <c r="B24" s="3458" t="s">
        <v>3466</v>
      </c>
      <c r="C24" s="3494">
        <f ca="1">C27+C28</f>
        <v>42306</v>
      </c>
      <c r="D24" s="3495" t="s">
        <v>3467</v>
      </c>
      <c r="E24" s="3870">
        <f>H29+E26+H25</f>
        <v>0.18028571428571427</v>
      </c>
      <c r="F24" s="3863"/>
      <c r="G24" s="3857" t="s">
        <v>3468</v>
      </c>
      <c r="H24" s="3857"/>
      <c r="I24" s="3857"/>
      <c r="J24" s="3493"/>
      <c r="K24" s="3480"/>
      <c r="L24" s="3480"/>
    </row>
    <row r="25" spans="1:12" s="3468" customFormat="1" ht="18" customHeight="1">
      <c r="A25" s="3452" t="s">
        <v>438</v>
      </c>
      <c r="B25" s="3458" t="s">
        <v>3469</v>
      </c>
      <c r="C25" s="3860" t="s">
        <v>3470</v>
      </c>
      <c r="D25" s="3861"/>
      <c r="E25" s="3864">
        <f>ROUND(H25/1.05,4)</f>
        <v>5.33E-2</v>
      </c>
      <c r="F25" s="3865"/>
      <c r="G25" s="3454" t="s">
        <v>3471</v>
      </c>
      <c r="H25" s="3858">
        <v>5.6000000000000001E-2</v>
      </c>
      <c r="I25" s="3858"/>
      <c r="J25" s="3483"/>
      <c r="K25" s="3480"/>
      <c r="L25" s="3480"/>
    </row>
    <row r="26" spans="1:12" s="3468" customFormat="1" ht="18" customHeight="1">
      <c r="A26" s="3452" t="s">
        <v>3431</v>
      </c>
      <c r="B26" s="3458" t="s">
        <v>3472</v>
      </c>
      <c r="C26" s="3860" t="s">
        <v>3470</v>
      </c>
      <c r="D26" s="3861"/>
      <c r="E26" s="3866">
        <f>12%/1.05</f>
        <v>0.11428571428571428</v>
      </c>
      <c r="F26" s="3867"/>
      <c r="G26" s="3454"/>
      <c r="H26" s="3868">
        <f>'数据-取费表'!B51</f>
        <v>0.12</v>
      </c>
      <c r="I26" s="3869"/>
      <c r="J26" s="3483"/>
      <c r="K26" s="3480"/>
      <c r="L26" s="3480"/>
    </row>
    <row r="27" spans="1:12" s="3468" customFormat="1" ht="18" customHeight="1">
      <c r="A27" s="3452" t="s">
        <v>393</v>
      </c>
      <c r="B27" s="3458" t="s">
        <v>3473</v>
      </c>
      <c r="C27" s="3846">
        <f ca="1">ROUND(C23*H27,0)</f>
        <v>38565</v>
      </c>
      <c r="D27" s="3847"/>
      <c r="E27" s="3847"/>
      <c r="F27" s="3848"/>
      <c r="G27" s="3454" t="s">
        <v>3474</v>
      </c>
      <c r="H27" s="3858">
        <f>'数据-取费表'!AK6</f>
        <v>1.4999999999999999E-2</v>
      </c>
      <c r="I27" s="3858"/>
      <c r="J27" s="3483"/>
      <c r="K27" s="3480"/>
      <c r="L27" s="3480"/>
    </row>
    <row r="28" spans="1:12" s="3468" customFormat="1" ht="18" customHeight="1">
      <c r="A28" s="3452" t="s">
        <v>394</v>
      </c>
      <c r="B28" s="3458" t="s">
        <v>3475</v>
      </c>
      <c r="C28" s="3846">
        <f ca="1">ROUND(C7*H28,0)</f>
        <v>3741</v>
      </c>
      <c r="D28" s="3847"/>
      <c r="E28" s="3847"/>
      <c r="F28" s="3848"/>
      <c r="G28" s="3454" t="s">
        <v>3476</v>
      </c>
      <c r="H28" s="3859">
        <f>'数据-取费表'!AL6</f>
        <v>1.5E-3</v>
      </c>
      <c r="I28" s="3859"/>
      <c r="J28" s="3466"/>
      <c r="K28" s="3480"/>
      <c r="L28" s="3480"/>
    </row>
    <row r="29" spans="1:12" s="3468" customFormat="1" ht="18" customHeight="1">
      <c r="A29" s="3452" t="s">
        <v>395</v>
      </c>
      <c r="B29" s="3458" t="s">
        <v>3477</v>
      </c>
      <c r="C29" s="3860" t="s">
        <v>3470</v>
      </c>
      <c r="D29" s="3861"/>
      <c r="E29" s="3862">
        <f>H29</f>
        <v>0.01</v>
      </c>
      <c r="F29" s="3863"/>
      <c r="G29" s="3454" t="s">
        <v>3478</v>
      </c>
      <c r="H29" s="3858">
        <f>'数据-取费表'!AM6</f>
        <v>0.01</v>
      </c>
      <c r="I29" s="3858"/>
      <c r="J29" s="3496"/>
      <c r="K29" s="3480"/>
      <c r="L29" s="3480"/>
    </row>
    <row r="30" spans="1:12" s="3468" customFormat="1" ht="18" customHeight="1">
      <c r="A30" s="3457" t="s">
        <v>3479</v>
      </c>
      <c r="B30" s="3458" t="s">
        <v>3480</v>
      </c>
      <c r="C30" s="3846">
        <f ca="1">ROUND((C4+C24)/(1-E24),0)</f>
        <v>958524</v>
      </c>
      <c r="D30" s="3847"/>
      <c r="E30" s="3847"/>
      <c r="F30" s="3848"/>
      <c r="G30" s="3849" t="s">
        <v>3481</v>
      </c>
      <c r="H30" s="3849"/>
      <c r="I30" s="3849"/>
      <c r="J30" s="3497" t="s">
        <v>3482</v>
      </c>
      <c r="K30" s="3480"/>
      <c r="L30" s="3480"/>
    </row>
    <row r="31" spans="1:12" s="3468" customFormat="1" ht="18" customHeight="1">
      <c r="A31" s="3849" t="s">
        <v>3483</v>
      </c>
      <c r="B31" s="3850" t="s">
        <v>3484</v>
      </c>
      <c r="C31" s="3851">
        <f ca="1">ROUND(C30/I31/I32/I3,2)</f>
        <v>8.11</v>
      </c>
      <c r="D31" s="3852"/>
      <c r="E31" s="3852"/>
      <c r="F31" s="3853"/>
      <c r="G31" s="3857" t="s">
        <v>3485</v>
      </c>
      <c r="H31" s="3458" t="s">
        <v>3486</v>
      </c>
      <c r="I31" s="3454">
        <v>365</v>
      </c>
      <c r="J31" s="3498"/>
      <c r="K31" s="3480"/>
      <c r="L31" s="3480"/>
    </row>
    <row r="32" spans="1:12" s="3468" customFormat="1" ht="18" customHeight="1">
      <c r="A32" s="3849"/>
      <c r="B32" s="3850"/>
      <c r="C32" s="3854"/>
      <c r="D32" s="3855"/>
      <c r="E32" s="3855"/>
      <c r="F32" s="3856"/>
      <c r="G32" s="3857"/>
      <c r="H32" s="3458" t="s">
        <v>3487</v>
      </c>
      <c r="I32" s="3499">
        <v>0.9</v>
      </c>
      <c r="J32" s="3500"/>
      <c r="K32" s="3480"/>
      <c r="L32" s="3501"/>
    </row>
    <row r="33" spans="1:13" s="3468" customFormat="1" ht="18" customHeight="1">
      <c r="A33" s="3451"/>
      <c r="B33" s="3502"/>
      <c r="C33" s="3503"/>
      <c r="D33" s="3503"/>
      <c r="E33" s="3503"/>
      <c r="F33" s="3503"/>
      <c r="G33" s="3504"/>
      <c r="H33" s="3505"/>
      <c r="I33" s="3451"/>
      <c r="J33" s="3506"/>
      <c r="K33" s="3480"/>
      <c r="L33" s="3501"/>
    </row>
    <row r="34" spans="1:13" s="3468" customFormat="1" ht="18" customHeight="1">
      <c r="A34" s="3451"/>
      <c r="B34" s="3839" t="s">
        <v>3488</v>
      </c>
      <c r="C34" s="3839"/>
      <c r="D34" s="3839"/>
      <c r="E34" s="3839"/>
      <c r="F34" s="3839"/>
      <c r="G34" s="3507"/>
      <c r="H34" s="3508"/>
      <c r="I34" s="3509"/>
      <c r="J34" s="3466"/>
      <c r="K34" s="3480"/>
      <c r="L34" s="3480"/>
      <c r="M34" s="3451"/>
    </row>
    <row r="35" spans="1:13" s="3468" customFormat="1" ht="18" customHeight="1">
      <c r="A35" s="3451"/>
      <c r="B35" s="3510" t="s">
        <v>3489</v>
      </c>
      <c r="C35" s="3511" t="s">
        <v>3403</v>
      </c>
      <c r="D35" s="3840" t="s">
        <v>3490</v>
      </c>
      <c r="E35" s="3840"/>
      <c r="F35" s="3840"/>
      <c r="G35" s="3507"/>
      <c r="H35" s="3508"/>
      <c r="I35" s="3512"/>
      <c r="J35" s="3493"/>
      <c r="K35" s="3451"/>
      <c r="L35" s="3451"/>
      <c r="M35" s="3451"/>
    </row>
    <row r="36" spans="1:13">
      <c r="B36" s="3510" t="s">
        <v>3491</v>
      </c>
      <c r="C36" s="3513">
        <v>0.5</v>
      </c>
      <c r="D36" s="3841">
        <f>'比较法-商业'!C49</f>
        <v>8.4</v>
      </c>
      <c r="E36" s="3841"/>
      <c r="F36" s="3841"/>
      <c r="G36" s="3507"/>
      <c r="H36" s="3508"/>
      <c r="I36" s="3512"/>
      <c r="K36" s="3451"/>
      <c r="L36" s="3451"/>
    </row>
    <row r="37" spans="1:13" ht="20.100000000000001" customHeight="1">
      <c r="B37" s="3510" t="s">
        <v>3492</v>
      </c>
      <c r="C37" s="3513">
        <f>1-C36</f>
        <v>0.5</v>
      </c>
      <c r="D37" s="3841">
        <f ca="1">C31</f>
        <v>8.11</v>
      </c>
      <c r="E37" s="3841"/>
      <c r="F37" s="3841"/>
      <c r="G37" s="3514">
        <f ca="1">(D37-D36)/D37</f>
        <v>-3.5758323057953262E-2</v>
      </c>
      <c r="H37" s="3515"/>
      <c r="I37" s="3516"/>
      <c r="J37" s="3451"/>
      <c r="K37" s="3451"/>
      <c r="L37" s="3451"/>
    </row>
    <row r="38" spans="1:13" ht="22.5" customHeight="1">
      <c r="B38" s="3842" t="s">
        <v>3493</v>
      </c>
      <c r="C38" s="3842"/>
      <c r="D38" s="3843">
        <f ca="1">ROUND(D36*C36+D37*C37,2)</f>
        <v>8.26</v>
      </c>
      <c r="E38" s="3844"/>
      <c r="F38" s="3845"/>
      <c r="G38" s="3507"/>
      <c r="H38" s="3515"/>
      <c r="I38" s="3516"/>
      <c r="J38" s="3451">
        <f>8.2*365</f>
        <v>2992.9999999999995</v>
      </c>
      <c r="K38" s="3451"/>
      <c r="L38" s="3451"/>
    </row>
    <row r="39" spans="1:13" ht="22.5" customHeight="1">
      <c r="B39" s="3510" t="s">
        <v>3494</v>
      </c>
      <c r="C39" s="3517">
        <f ca="1">ROUND(D38*0.9,1)</f>
        <v>7.4</v>
      </c>
      <c r="D39" s="3518" t="s">
        <v>3495</v>
      </c>
      <c r="E39" s="3837">
        <f ca="1">ROUND(D38*1.1,1)</f>
        <v>9.1</v>
      </c>
      <c r="F39" s="3837"/>
      <c r="G39" s="3519"/>
      <c r="H39" s="3520"/>
      <c r="J39" s="3451">
        <f ca="1">'成本法 (元)'!B3</f>
        <v>21497</v>
      </c>
      <c r="K39" s="3451"/>
      <c r="L39" s="3451"/>
    </row>
    <row r="40" spans="1:13" ht="18" customHeight="1">
      <c r="B40" s="3510" t="s">
        <v>3496</v>
      </c>
      <c r="C40" s="3521">
        <f ca="1">ROUND(C39*365*I3/12,0)</f>
        <v>81001</v>
      </c>
      <c r="D40" s="3518" t="s">
        <v>3495</v>
      </c>
      <c r="E40" s="3838">
        <f ca="1">ROUND(E39*365*I3/12,0)</f>
        <v>99609</v>
      </c>
      <c r="F40" s="3838"/>
      <c r="G40" s="3522" t="s">
        <v>3497</v>
      </c>
      <c r="H40" s="3522">
        <f>ROUND(65*12/365,2)</f>
        <v>2.14</v>
      </c>
      <c r="J40" s="3451">
        <f ca="1">J38/J39</f>
        <v>0.13922872959017535</v>
      </c>
      <c r="K40" s="3451"/>
      <c r="L40" s="3451"/>
    </row>
    <row r="41" spans="1:13" ht="18" customHeight="1">
      <c r="B41" s="3523"/>
      <c r="C41" s="3524"/>
      <c r="D41" s="3508"/>
      <c r="E41" s="3508"/>
      <c r="F41" s="3508"/>
      <c r="G41" s="3519"/>
      <c r="H41" s="3525"/>
      <c r="J41" s="3451"/>
    </row>
    <row r="42" spans="1:13" ht="18" customHeight="1">
      <c r="B42" s="3519" t="s">
        <v>3498</v>
      </c>
      <c r="C42" s="3508"/>
      <c r="D42" s="3508"/>
      <c r="E42" s="3519" t="s">
        <v>3499</v>
      </c>
      <c r="F42" s="3508"/>
      <c r="G42" s="3519"/>
      <c r="H42" s="3519" t="s">
        <v>3500</v>
      </c>
      <c r="J42" s="3451"/>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J19" sqref="J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1461</v>
      </c>
      <c r="B1" s="1470" t="s">
        <v>3506</v>
      </c>
      <c r="C1" s="1859" t="s">
        <v>1563</v>
      </c>
      <c r="D1" s="198"/>
      <c r="E1" s="198"/>
      <c r="F1" s="198"/>
      <c r="G1" s="1126">
        <f>MATCH(B1,'数据-取费表'!A6:A16,0)+5</f>
        <v>6</v>
      </c>
      <c r="H1" s="1061" t="str">
        <f>IF(ISERROR(FIND("住宅",B1)),"非住宅","住宅")</f>
        <v>非住宅</v>
      </c>
    </row>
    <row r="2" spans="1:12" s="200" customFormat="1" ht="18" customHeight="1">
      <c r="A2" s="201" t="s">
        <v>1462</v>
      </c>
      <c r="B2" s="3422">
        <f ca="1">ROUND(IF(D2="——",C52/10000,C52/10000-E2),4)</f>
        <v>773.61069999999995</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f ca="1">ROUND(B2*10000/(IF(B1="",'数据-汇总表'!E3,INDIRECT("'数据-取费表'!k"&amp;$G$1))),0)</f>
        <v>21497</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f ca="1">C6+C7+C8</f>
        <v>3844220</v>
      </c>
      <c r="D5" s="211" t="s">
        <v>1469</v>
      </c>
      <c r="E5" s="212" t="s">
        <v>1470</v>
      </c>
      <c r="F5" s="212" t="s">
        <v>1471</v>
      </c>
      <c r="G5" s="213"/>
    </row>
    <row r="6" spans="1:12" s="214" customFormat="1" ht="13.5" customHeight="1">
      <c r="A6" s="778" t="s">
        <v>1472</v>
      </c>
      <c r="B6" s="215" t="s">
        <v>1473</v>
      </c>
      <c r="C6" s="216">
        <f>ROUND(基准地价修正!D33*基准地价修正!C33,0)</f>
        <v>3660598</v>
      </c>
      <c r="D6" s="217"/>
      <c r="E6" s="218"/>
      <c r="F6" s="218"/>
      <c r="G6" s="219"/>
      <c r="K6" s="214">
        <v>8</v>
      </c>
    </row>
    <row r="7" spans="1:12" s="214" customFormat="1" ht="13.5" customHeight="1">
      <c r="A7" s="778" t="s">
        <v>1474</v>
      </c>
      <c r="B7" s="215" t="s">
        <v>1475</v>
      </c>
      <c r="C7" s="220">
        <f>ROUND(C6*F7,0)</f>
        <v>111648</v>
      </c>
      <c r="D7" s="220"/>
      <c r="E7" s="218"/>
      <c r="F7" s="221">
        <f>IF(项目基本情况!B8="出让",0,'数据-取费表'!B48+'数据-取费表'!B49)</f>
        <v>3.0499999999999999E-2</v>
      </c>
      <c r="G7" s="219"/>
      <c r="K7" s="214">
        <f ca="1">B3</f>
        <v>21497</v>
      </c>
      <c r="L7" s="214">
        <v>30000</v>
      </c>
    </row>
    <row r="8" spans="1:12" s="223" customFormat="1">
      <c r="A8" s="778" t="s">
        <v>1476</v>
      </c>
      <c r="B8" s="215" t="s">
        <v>1477</v>
      </c>
      <c r="C8" s="220">
        <f ca="1">IF(G8="已包含在土地购买价格中",0,C9+C10)</f>
        <v>71974</v>
      </c>
      <c r="D8" s="222"/>
      <c r="E8" s="220"/>
      <c r="F8" s="221"/>
      <c r="G8" s="1856" t="s">
        <v>3542</v>
      </c>
      <c r="J8" s="3547" t="s">
        <v>3602</v>
      </c>
      <c r="K8" s="3546">
        <f ca="1">K6*365*0.8/K7</f>
        <v>0.10866632553379542</v>
      </c>
      <c r="L8" s="3546">
        <f>K6*365/L7</f>
        <v>9.7333333333333327E-2</v>
      </c>
    </row>
    <row r="9" spans="1:12"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1480</v>
      </c>
      <c r="C10" s="225">
        <f ca="1">ROUND(D10*E10,0)</f>
        <v>71974</v>
      </c>
      <c r="D10" s="845">
        <f ca="1">IF(B1="",'数据-汇总表'!E6,IF(INDIRECT("'数据-取费表'!c"&amp;$G$1)="住宅",INDIRECT("'数据-取费表'!s"&amp;$G$1),INDIRECT("'数据-取费表'!k"&amp;$G$1)+INDIRECT("'数据-取费表'!s"&amp;$G$1)))</f>
        <v>359.87</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1564</v>
      </c>
      <c r="C12" s="211">
        <v>0</v>
      </c>
      <c r="D12" s="847"/>
      <c r="E12" s="228"/>
      <c r="F12" s="221">
        <v>3.0499999999999999E-2</v>
      </c>
      <c r="G12" s="219"/>
    </row>
    <row r="13" spans="1:12" s="214" customFormat="1" ht="13.5" hidden="1" customHeight="1">
      <c r="A13" s="227" t="s">
        <v>6</v>
      </c>
      <c r="B13" s="215" t="s">
        <v>1565</v>
      </c>
      <c r="C13" s="211"/>
      <c r="D13" s="847"/>
      <c r="E13" s="218"/>
      <c r="F13" s="218"/>
      <c r="G13" s="219"/>
    </row>
    <row r="14" spans="1:12" s="214" customFormat="1" ht="13.5" hidden="1" customHeight="1">
      <c r="A14" s="227" t="s">
        <v>7</v>
      </c>
      <c r="B14" s="215" t="s">
        <v>1477</v>
      </c>
      <c r="C14" s="211"/>
      <c r="D14" s="847"/>
      <c r="E14" s="218"/>
      <c r="F14" s="218"/>
      <c r="G14" s="219" t="s">
        <v>1566</v>
      </c>
    </row>
    <row r="15" spans="1:12" s="214" customFormat="1" ht="13.5" hidden="1" customHeight="1">
      <c r="A15" s="227" t="s">
        <v>8</v>
      </c>
      <c r="B15" s="215" t="s">
        <v>1567</v>
      </c>
      <c r="C15" s="220"/>
      <c r="D15" s="847"/>
      <c r="E15" s="218"/>
      <c r="F15" s="218"/>
      <c r="G15" s="219" t="s">
        <v>1568</v>
      </c>
    </row>
    <row r="16" spans="1:12"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359.87</v>
      </c>
      <c r="E19" s="211">
        <f>'数据-取费表'!B31</f>
        <v>200</v>
      </c>
      <c r="F19" s="231"/>
      <c r="G19" s="1856" t="s">
        <v>3543</v>
      </c>
    </row>
    <row r="20" spans="1:7" s="214" customFormat="1" ht="13.5" customHeight="1">
      <c r="A20" s="255" t="s">
        <v>1574</v>
      </c>
      <c r="B20" s="210" t="s">
        <v>1575</v>
      </c>
      <c r="C20" s="232">
        <f ca="1">ROUND((C5+C19)*F20,0)</f>
        <v>76884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328882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325691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3191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588166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588166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5242336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1952295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1799350</v>
      </c>
      <c r="D34" s="217"/>
      <c r="E34" s="220"/>
      <c r="F34" s="257"/>
      <c r="G34" s="219"/>
    </row>
    <row r="35" spans="1:7" ht="13.5" customHeight="1">
      <c r="A35" s="780" t="s">
        <v>351</v>
      </c>
      <c r="B35" s="215" t="s">
        <v>1527</v>
      </c>
      <c r="C35" s="220">
        <f ca="1">ROUND(C34*F35,0)</f>
        <v>53981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71974</v>
      </c>
      <c r="D37" s="217">
        <f ca="1">D19</f>
        <v>359.87</v>
      </c>
      <c r="E37" s="249">
        <f>'数据-取费表'!B35</f>
        <v>200</v>
      </c>
      <c r="F37" s="259"/>
      <c r="G37" s="261"/>
    </row>
    <row r="38" spans="1:7" ht="13.5" customHeight="1">
      <c r="A38" s="780" t="s">
        <v>354</v>
      </c>
      <c r="B38" s="215" t="s">
        <v>1533</v>
      </c>
      <c r="C38" s="220">
        <f ca="1">ROUND(C34*F38,0)</f>
        <v>26990</v>
      </c>
      <c r="D38" s="220"/>
      <c r="E38" s="220"/>
      <c r="F38" s="259">
        <f>'数据-取费表'!B36</f>
        <v>1.4999999999999999E-2</v>
      </c>
      <c r="G38" s="219" t="s">
        <v>1528</v>
      </c>
    </row>
    <row r="39" spans="1:7" s="214" customFormat="1" ht="13.5" customHeight="1">
      <c r="A39" s="255" t="s">
        <v>1534</v>
      </c>
      <c r="B39" s="210" t="s">
        <v>1535</v>
      </c>
      <c r="C39" s="232">
        <f ca="1">ROUND(C33*F20,0)</f>
        <v>39046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82640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81020</v>
      </c>
      <c r="D42" s="238"/>
      <c r="E42" s="238"/>
      <c r="F42" s="239"/>
      <c r="G42" s="3732" t="s">
        <v>1591</v>
      </c>
    </row>
    <row r="43" spans="1:7" ht="13.5" customHeight="1">
      <c r="A43" s="780" t="s">
        <v>347</v>
      </c>
      <c r="B43" s="215" t="s">
        <v>1545</v>
      </c>
      <c r="C43" s="238">
        <f ca="1">ROUND(IF('数据-取费表'!B22&lt;=1,C39*F22*'数据-取费表'!B20/2,C39*(POWER((1+F22),'数据-取费表'!B20/2)-1)),0)</f>
        <v>1620</v>
      </c>
      <c r="D43" s="238"/>
      <c r="E43" s="238"/>
      <c r="F43" s="239"/>
      <c r="G43" s="3733"/>
    </row>
    <row r="44" spans="1:7" ht="13.5" customHeight="1">
      <c r="A44" s="780" t="s">
        <v>348</v>
      </c>
      <c r="B44" s="215" t="s">
        <v>1546</v>
      </c>
      <c r="C44" s="238">
        <f ca="1">ROUND(IF('数据-取费表'!B22&lt;=1,C40*F22*'数据-取费表'!B20/2,C40*(POWER((1+F22),'数据-取费表'!B20/2)-1)),4)</f>
        <v>8.0000000000000004E-4</v>
      </c>
      <c r="D44" s="238"/>
      <c r="E44" s="238"/>
      <c r="F44" s="239"/>
      <c r="G44" s="3734"/>
    </row>
    <row r="45" spans="1:7" s="214" customFormat="1" ht="13.5" customHeight="1">
      <c r="A45" s="255" t="s">
        <v>1547</v>
      </c>
      <c r="B45" s="244" t="s">
        <v>1513</v>
      </c>
      <c r="C45" s="245">
        <f ca="1">C46</f>
        <v>298701</v>
      </c>
      <c r="D45" s="235">
        <f ca="1">C47</f>
        <v>3.0000000000000001E-3</v>
      </c>
      <c r="E45" s="236" t="s">
        <v>1539</v>
      </c>
      <c r="F45" s="246">
        <f ca="1">F27</f>
        <v>0.15</v>
      </c>
      <c r="G45" s="247" t="s">
        <v>1548</v>
      </c>
    </row>
    <row r="46" spans="1:7" s="214" customFormat="1" ht="13.5" customHeight="1">
      <c r="A46" s="780" t="s">
        <v>346</v>
      </c>
      <c r="B46" s="248" t="s">
        <v>1549</v>
      </c>
      <c r="C46" s="249">
        <f ca="1">ROUND((C33+C39)*F27,0)</f>
        <v>298701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2570898</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2493771</v>
      </c>
      <c r="D51" s="232"/>
      <c r="E51" s="232"/>
      <c r="F51" s="264"/>
      <c r="G51" s="234" t="s">
        <v>1560</v>
      </c>
    </row>
    <row r="52" spans="1:7" s="208" customFormat="1" ht="16.5" thickBot="1">
      <c r="A52" s="265" t="s">
        <v>1561</v>
      </c>
      <c r="B52" s="266"/>
      <c r="C52" s="267">
        <f ca="1">C31+C51</f>
        <v>7736107</v>
      </c>
      <c r="D52" s="266"/>
      <c r="E52" s="266"/>
      <c r="F52" s="266"/>
      <c r="G52" s="268"/>
    </row>
    <row r="55" spans="1:7" ht="15">
      <c r="B55" s="270" t="s">
        <v>1562</v>
      </c>
      <c r="C55" s="271"/>
    </row>
    <row r="56" spans="1:7">
      <c r="B56" s="273" t="s">
        <v>802</v>
      </c>
      <c r="C56" s="275">
        <f ca="1">1-C57</f>
        <v>0.67799999999999994</v>
      </c>
    </row>
    <row r="57" spans="1:7">
      <c r="B57" s="273" t="s">
        <v>803</v>
      </c>
      <c r="C57" s="274">
        <f ca="1">ROUND(C51/C52,3)</f>
        <v>0.32200000000000001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359.87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366</v>
      </c>
      <c r="C2" s="1999" t="s">
        <v>1935</v>
      </c>
      <c r="D2" s="2000" t="s">
        <v>1936</v>
      </c>
      <c r="E2" s="3420" t="s">
        <v>3528</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Ⅴ-27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16061</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10170</v>
      </c>
      <c r="C3" s="1999" t="s">
        <v>1941</v>
      </c>
      <c r="D3" s="2000" t="s">
        <v>1942</v>
      </c>
      <c r="E3" s="3418" t="s">
        <v>3572</v>
      </c>
      <c r="F3" s="2004" t="s">
        <v>3537</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12659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900"/>
      <c r="B4" s="3901"/>
      <c r="C4" s="3901"/>
      <c r="D4" s="3902"/>
      <c r="E4" s="3902"/>
      <c r="F4" s="3902"/>
      <c r="G4" s="3902"/>
      <c r="H4" s="3902"/>
      <c r="I4" s="3902"/>
      <c r="J4" s="390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10699</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10165</v>
      </c>
      <c r="D5" s="1339">
        <f>ROUND(C6*C17+C20,0)</f>
        <v>10165</v>
      </c>
      <c r="E5" s="1339"/>
      <c r="F5" s="2007"/>
      <c r="G5" s="2008"/>
      <c r="H5" s="2008"/>
      <c r="I5" s="2008"/>
      <c r="J5" s="2009"/>
      <c r="K5" s="2010"/>
      <c r="L5" s="2003" t="s">
        <v>1948</v>
      </c>
      <c r="M5" s="864">
        <f>SUMPRODUCT((区片价!B87:B126=I2)*(区片价!C3:G3=E2)*(区片价!C87:G126))</f>
        <v>10210</v>
      </c>
      <c r="N5" s="866">
        <f>SUMPRODUCT((因素修正幅度!B87:B126=I2)*(因素修正幅度!C3:G3=E2)*(因素修正幅度!C87:G126))</f>
        <v>0.1</v>
      </c>
      <c r="O5" s="1119"/>
      <c r="P5" s="1119"/>
      <c r="Q5" s="1119"/>
      <c r="R5" s="1212">
        <v>4</v>
      </c>
      <c r="S5" s="3359">
        <f>ROUND(SUMPRODUCT((B106:B110=R5)*(C105:N105=G2)*(C106:N110)),4)</f>
        <v>0.88239999999999996</v>
      </c>
      <c r="T5" s="3359">
        <f t="shared" si="0"/>
        <v>9436</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9068</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五级</v>
      </c>
      <c r="Y7" s="1214" t="s">
        <v>1956</v>
      </c>
      <c r="Z7" s="1215">
        <f>G3</f>
        <v>2.5</v>
      </c>
      <c r="AA7" s="1216"/>
      <c r="AB7" s="1216"/>
      <c r="AC7" s="1217"/>
      <c r="AD7" s="1218"/>
      <c r="AE7" s="1218"/>
      <c r="AF7" s="1218"/>
      <c r="AG7" s="1218"/>
      <c r="AH7" s="1218"/>
      <c r="AI7" s="1218"/>
      <c r="AJ7" s="1219"/>
    </row>
    <row r="8" spans="1:36" ht="25.5">
      <c r="A8" s="3297"/>
      <c r="B8" s="170" t="s">
        <v>1957</v>
      </c>
      <c r="C8" s="2026" t="s">
        <v>3538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97" t="s">
        <v>1960</v>
      </c>
      <c r="X8" s="389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99"/>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9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3245</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3246</v>
      </c>
      <c r="G14" s="3310" t="s">
        <v>3246</v>
      </c>
      <c r="H14" s="3310" t="s">
        <v>3246</v>
      </c>
      <c r="I14" s="3310" t="s">
        <v>3246</v>
      </c>
      <c r="J14" s="3310"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3247</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3251</v>
      </c>
      <c r="E18" s="3327"/>
      <c r="F18" s="3322" t="s">
        <v>3254</v>
      </c>
      <c r="G18" s="3326">
        <f>ROUND(1-(1/(POWER(1+G24,E18))),4)</f>
        <v>0</v>
      </c>
      <c r="H18" s="3322" t="s">
        <v>3256</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3252</v>
      </c>
      <c r="E19" s="3336"/>
      <c r="F19" s="3337" t="s">
        <v>3255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904" t="s">
        <v>3257</v>
      </c>
      <c r="B20" s="167" t="s">
        <v>1994</v>
      </c>
      <c r="C20" s="3323">
        <f>ROUND(IF(F21="与级别开发程度一致",0,(G21-E21)/C21),0)</f>
        <v>-45</v>
      </c>
      <c r="D20" s="3339" t="s">
        <v>1998</v>
      </c>
      <c r="E20" s="3340"/>
      <c r="F20" s="3910" t="s">
        <v>1995</v>
      </c>
      <c r="G20" s="3911"/>
      <c r="H20" s="3324" t="s">
        <v>3520</v>
      </c>
      <c r="I20" s="3324" t="s">
        <v>3521</v>
      </c>
      <c r="J20" s="3325" t="s">
        <v>3522</v>
      </c>
      <c r="K20" s="2047" t="s">
        <v>3523</v>
      </c>
      <c r="L20" s="2047" t="s">
        <v>3524</v>
      </c>
      <c r="M20" s="2047" t="s">
        <v>3598</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905"/>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3539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45023</v>
      </c>
      <c r="H23" s="3341" t="s">
        <v>3259</v>
      </c>
      <c r="I23" s="3342" t="str">
        <f>IF(H23="季度增幅（自定义）",SUMIF(N25:N28,E2,O25:O28),"")</f>
        <v/>
      </c>
      <c r="J23" s="3443" t="s">
        <v>3258</v>
      </c>
      <c r="K23" s="1125"/>
      <c r="L23" s="2055" t="s">
        <v>2004</v>
      </c>
      <c r="M23" s="1328">
        <f>ROUND(SUMIF(地价!B2:G2,E2,地价!B16:G16),0)</f>
        <v>0</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存贷款利率!E22/100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3337</v>
      </c>
      <c r="C25" s="771">
        <f>IF(B25="容积率修正",IF(G3&lt;10,D26,J26),C27)</f>
        <v>0.95120000000000005</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3260</v>
      </c>
      <c r="D26" s="1352">
        <f>IF(E26=G26,F26,IF(G3&lt;10,ROUND(F26+(H26-F26)*(G3-E26)/(G26-E26),4),"——"))</f>
        <v>0.95120000000000005</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0.95120000000000005</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3343"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1.0369999999999999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366</v>
      </c>
      <c r="D30" s="2083"/>
      <c r="E30" s="2046"/>
      <c r="F30" s="2084"/>
      <c r="G30" s="2046"/>
      <c r="H30" s="2046"/>
      <c r="I30" s="2046"/>
      <c r="J30" s="2085"/>
      <c r="K30" s="1119"/>
      <c r="L30" s="3349" t="s">
        <v>1936</v>
      </c>
      <c r="M30" s="3350" t="s">
        <v>1990</v>
      </c>
      <c r="N30" s="3350" t="s">
        <v>1991</v>
      </c>
      <c r="O30" s="3350" t="s">
        <v>1992</v>
      </c>
      <c r="P30" s="3350" t="s">
        <v>1993</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10172</v>
      </c>
      <c r="D33" s="2098">
        <f>'数据-汇总表'!F19</f>
        <v>359.87</v>
      </c>
      <c r="E33" s="773">
        <f>ROUND(C33*D33/10000,0)</f>
        <v>366</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2543</v>
      </c>
      <c r="D34" s="2103"/>
      <c r="E34" s="773">
        <f>ROUND(IF(B25="楼层修正",SUM(V2:V16)*M40,C34*D34/10000),0)</f>
        <v>0</v>
      </c>
      <c r="F34" s="2104" t="s">
        <v>2032</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3268</v>
      </c>
      <c r="L36" s="3444">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08"/>
      <c r="B37" s="2113" t="s">
        <v>2036</v>
      </c>
      <c r="C37" s="175">
        <f>ROUND(D5*C22*C23*C24*C28*F37,0)</f>
        <v>6416</v>
      </c>
      <c r="D37" s="2098"/>
      <c r="E37" s="171">
        <f>ROUND(C37*D37/10000,0)</f>
        <v>0</v>
      </c>
      <c r="F37" s="171">
        <f>SUMIF(修正!A57:A68,G2,修正!B57:B68)</f>
        <v>0.6</v>
      </c>
      <c r="G37" s="171">
        <f>ROUND(IF(E2="工业",C37*$M$42,C37*$M$41),0)</f>
        <v>1604</v>
      </c>
      <c r="H37" s="171">
        <f>D37</f>
        <v>0</v>
      </c>
      <c r="I37" s="171">
        <f>ROUND(G37*H37/10000,0)</f>
        <v>0</v>
      </c>
      <c r="J37" s="3010"/>
      <c r="K37" s="3357" t="s">
        <v>3269</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09"/>
      <c r="B38" s="2041" t="s">
        <v>2037</v>
      </c>
      <c r="C38" s="175">
        <f>ROUND(D5*C22*C23*C24*C28*F38,0)</f>
        <v>3208</v>
      </c>
      <c r="D38" s="2098"/>
      <c r="E38" s="171">
        <f t="shared" ref="E38:E42" si="4">ROUND(C38*D38/10000,0)</f>
        <v>0</v>
      </c>
      <c r="F38" s="171">
        <f>SUMIF(修正!A57:A68,G2,修正!C57:C68)</f>
        <v>0.3</v>
      </c>
      <c r="G38" s="171">
        <f>ROUND(IF(E2="工业",C38*$M$42,C38*$M$41),0)</f>
        <v>802</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909"/>
      <c r="B39" s="2041" t="s">
        <v>3262</v>
      </c>
      <c r="C39" s="175">
        <f>ROUND(D5*C22*C23*C24*C28*F39,0)</f>
        <v>2673</v>
      </c>
      <c r="D39" s="2098"/>
      <c r="E39" s="171">
        <f t="shared" si="4"/>
        <v>0</v>
      </c>
      <c r="F39" s="171">
        <f>SUMIF(修正!A57:A68,G2,修正!D57:D68)</f>
        <v>0.25</v>
      </c>
      <c r="G39" s="171">
        <f>ROUND(IF(E2="工业",C39*$M$42,C39*$M$41),0)</f>
        <v>668</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2673</v>
      </c>
      <c r="D40" s="2098"/>
      <c r="E40" s="171">
        <f t="shared" si="4"/>
        <v>0</v>
      </c>
      <c r="F40" s="175">
        <f>SUMIF(修正!A57:A68,G2,修正!E57:E68)</f>
        <v>0.25</v>
      </c>
      <c r="G40" s="171">
        <f>ROUND(IF(E2="工业",C40*$M$42,C40*$M$41),0)</f>
        <v>668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hidden="1">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hidden="1">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hidden="1">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2611</v>
      </c>
      <c r="B91" s="3376">
        <f>1+E93</f>
        <v>1.0369999999999999</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t="s">
        <v>3540</v>
      </c>
      <c r="D93" s="3364">
        <f>SUMIF($J$92:$N$92,C93,J93:N93)</f>
        <v>0</v>
      </c>
      <c r="E93" s="3380">
        <f>ROUND(SUM(D93:D101),4)</f>
        <v>3.6999999999999998E-2</v>
      </c>
      <c r="F93" s="1814">
        <f>IF(E2="公共服务",SUMIF(L1:L12,G2,N1:N12),"——")</f>
        <v>0.1</v>
      </c>
      <c r="G93" s="3371">
        <v>1.2500000000000001E-2</v>
      </c>
      <c r="H93" s="3419">
        <f>IFERROR(ROUNDDOWN($F$93*I93/2,4),"——")</f>
        <v>1.2500000000000001E-2</v>
      </c>
      <c r="I93" s="3365">
        <v>0.25</v>
      </c>
      <c r="J93" s="3343">
        <f t="shared" ref="J93:J101" si="27">K93+$G93</f>
        <v>2.5000000000000001E-2</v>
      </c>
      <c r="K93" s="3343">
        <f t="shared" ref="K93:K101" si="28">$L93+$G93</f>
        <v>1.2500000000000001E-2</v>
      </c>
      <c r="L93" s="3343">
        <v>0</v>
      </c>
      <c r="M93" s="3343">
        <f t="shared" ref="M93:N101" si="29">L93-$G93</f>
        <v>-1.2500000000000001E-2</v>
      </c>
      <c r="N93" s="3343">
        <f t="shared" si="29"/>
        <v>-2.5000000000000001E-2</v>
      </c>
    </row>
    <row r="94" spans="1:37" ht="14.25">
      <c r="A94" s="3377" t="s">
        <v>3276</v>
      </c>
      <c r="B94" s="3368" t="str">
        <f>估价对象房地状况!C18</f>
        <v>较好</v>
      </c>
      <c r="C94" s="2044" t="s">
        <v>3502</v>
      </c>
      <c r="D94" s="3364">
        <f t="shared" ref="D94:D101" si="30">SUMIF($J$60:$N$60,C94,J94:N94)</f>
        <v>1.2999999999999999E-2</v>
      </c>
      <c r="E94" s="3381"/>
      <c r="F94" s="1814"/>
      <c r="G94" s="3371">
        <v>1.2999999999999999E-2</v>
      </c>
      <c r="H94" s="3419">
        <f>IFERROR(ROUNDDOWN($F$93*I94/2,4),"——")</f>
        <v>1.2999999999999999E-2</v>
      </c>
      <c r="I94" s="3365">
        <v>0.26</v>
      </c>
      <c r="J94" s="3343">
        <f t="shared" si="27"/>
        <v>2.5999999999999999E-2</v>
      </c>
      <c r="K94" s="3343">
        <f t="shared" si="28"/>
        <v>1.2999999999999999E-2</v>
      </c>
      <c r="L94" s="3343">
        <v>0</v>
      </c>
      <c r="M94" s="3343">
        <f t="shared" si="29"/>
        <v>-1.2999999999999999E-2</v>
      </c>
      <c r="N94" s="3343">
        <f t="shared" si="29"/>
        <v>-2.5999999999999999E-2</v>
      </c>
    </row>
    <row r="95" spans="1:37" ht="36">
      <c r="A95" s="3367" t="s">
        <v>3272</v>
      </c>
      <c r="B95" s="3368">
        <f>估价对象房地状况!C19</f>
        <v>0</v>
      </c>
      <c r="C95" s="2044" t="s">
        <v>3502</v>
      </c>
      <c r="D95" s="3364">
        <f t="shared" si="30"/>
        <v>5.4999999999999997E-3</v>
      </c>
      <c r="E95" s="3381"/>
      <c r="F95" s="1814"/>
      <c r="G95" s="3371">
        <v>5.4999999999999997E-3</v>
      </c>
      <c r="H95" s="3419">
        <f t="shared" ref="H95:H101" si="31">IFERROR(ROUNDDOWN($F$93*I95/2,4),"——")</f>
        <v>5.4999999999999997E-3</v>
      </c>
      <c r="I95" s="3365">
        <v>0.11</v>
      </c>
      <c r="J95" s="3343">
        <f t="shared" si="27"/>
        <v>1.0999999999999999E-2</v>
      </c>
      <c r="K95" s="3343">
        <f t="shared" si="28"/>
        <v>5.4999999999999997E-3</v>
      </c>
      <c r="L95" s="3343">
        <v>0</v>
      </c>
      <c r="M95" s="3343">
        <f t="shared" si="29"/>
        <v>-5.4999999999999997E-3</v>
      </c>
      <c r="N95" s="3343">
        <f t="shared" si="29"/>
        <v>-1.0999999999999999E-2</v>
      </c>
    </row>
    <row r="96" spans="1:37" ht="36.75">
      <c r="A96" s="3377" t="s">
        <v>3277</v>
      </c>
      <c r="B96" s="3383" t="s">
        <v>3288</v>
      </c>
      <c r="C96" s="2044" t="s">
        <v>3540</v>
      </c>
      <c r="D96" s="3364">
        <f t="shared" si="30"/>
        <v>0</v>
      </c>
      <c r="E96" s="3381"/>
      <c r="F96" s="1814"/>
      <c r="G96" s="3371">
        <v>2.5000000000000001E-3</v>
      </c>
      <c r="H96" s="3419">
        <f t="shared" si="31"/>
        <v>2.5000000000000001E-3</v>
      </c>
      <c r="I96" s="3365">
        <v>0.05</v>
      </c>
      <c r="J96" s="3343">
        <f t="shared" si="27"/>
        <v>5.0000000000000001E-3</v>
      </c>
      <c r="K96" s="3343">
        <f t="shared" si="28"/>
        <v>2.5000000000000001E-3</v>
      </c>
      <c r="L96" s="3343">
        <v>0</v>
      </c>
      <c r="M96" s="3343">
        <f t="shared" si="29"/>
        <v>-2.5000000000000001E-3</v>
      </c>
      <c r="N96" s="3343">
        <f t="shared" si="29"/>
        <v>-5.0000000000000001E-3</v>
      </c>
    </row>
    <row r="97" spans="1:14" ht="24">
      <c r="A97" s="3377" t="s">
        <v>3278</v>
      </c>
      <c r="B97" s="3368">
        <f>估价对象房地状况!C24</f>
        <v>0</v>
      </c>
      <c r="C97" s="2044" t="s">
        <v>3540</v>
      </c>
      <c r="D97" s="3364">
        <f t="shared" si="30"/>
        <v>0</v>
      </c>
      <c r="E97" s="3381"/>
      <c r="F97" s="1814"/>
      <c r="G97" s="3371">
        <v>2.5000000000000001E-3</v>
      </c>
      <c r="H97" s="3419">
        <f t="shared" si="31"/>
        <v>2.5000000000000001E-3</v>
      </c>
      <c r="I97" s="3365">
        <v>0.05</v>
      </c>
      <c r="J97" s="3343">
        <f t="shared" si="27"/>
        <v>5.0000000000000001E-3</v>
      </c>
      <c r="K97" s="3343">
        <f t="shared" si="28"/>
        <v>2.5000000000000001E-3</v>
      </c>
      <c r="L97" s="3343">
        <v>0</v>
      </c>
      <c r="M97" s="3343">
        <f t="shared" si="29"/>
        <v>-2.5000000000000001E-3</v>
      </c>
      <c r="N97" s="3343">
        <f t="shared" si="29"/>
        <v>-5.0000000000000001E-3</v>
      </c>
    </row>
    <row r="98" spans="1:14" ht="24">
      <c r="A98" s="3377" t="s">
        <v>3279</v>
      </c>
      <c r="B98" s="3384" t="s">
        <v>3289</v>
      </c>
      <c r="C98" s="2044" t="s">
        <v>3502</v>
      </c>
      <c r="D98" s="3364">
        <f t="shared" si="30"/>
        <v>3.0000000000000001E-3</v>
      </c>
      <c r="E98" s="3381"/>
      <c r="F98" s="1814"/>
      <c r="G98" s="3371">
        <v>3.0000000000000001E-3</v>
      </c>
      <c r="H98" s="3419">
        <f t="shared" si="31"/>
        <v>3.0000000000000001E-3</v>
      </c>
      <c r="I98" s="3365">
        <v>0.06</v>
      </c>
      <c r="J98" s="3343">
        <f t="shared" si="27"/>
        <v>6.0000000000000001E-3</v>
      </c>
      <c r="K98" s="3343">
        <f t="shared" si="28"/>
        <v>3.0000000000000001E-3</v>
      </c>
      <c r="L98" s="3343">
        <v>0</v>
      </c>
      <c r="M98" s="3343">
        <f t="shared" si="29"/>
        <v>-3.0000000000000001E-3</v>
      </c>
      <c r="N98" s="3343">
        <f t="shared" si="29"/>
        <v>-6.0000000000000001E-3</v>
      </c>
    </row>
    <row r="99" spans="1:14" ht="24">
      <c r="A99" s="3377" t="s">
        <v>3280</v>
      </c>
      <c r="B99" s="3368" t="str">
        <f>估价对象房地状况!C21</f>
        <v>较好</v>
      </c>
      <c r="C99" s="2044" t="s">
        <v>3502</v>
      </c>
      <c r="D99" s="3364">
        <f t="shared" si="30"/>
        <v>3.0000000000000001E-3</v>
      </c>
      <c r="E99" s="3381"/>
      <c r="F99" s="1814"/>
      <c r="G99" s="3371">
        <v>3.0000000000000001E-3</v>
      </c>
      <c r="H99" s="3419">
        <f t="shared" si="31"/>
        <v>3.0000000000000001E-3</v>
      </c>
      <c r="I99" s="3365">
        <v>0.06</v>
      </c>
      <c r="J99" s="3343">
        <f t="shared" si="27"/>
        <v>6.0000000000000001E-3</v>
      </c>
      <c r="K99" s="3343">
        <f t="shared" si="28"/>
        <v>3.0000000000000001E-3</v>
      </c>
      <c r="L99" s="3343">
        <v>0</v>
      </c>
      <c r="M99" s="3343">
        <f t="shared" si="29"/>
        <v>-3.0000000000000001E-3</v>
      </c>
      <c r="N99" s="3343">
        <f t="shared" si="29"/>
        <v>-6.0000000000000001E-3</v>
      </c>
    </row>
    <row r="100" spans="1:14" ht="24">
      <c r="A100" s="3377" t="s">
        <v>3281</v>
      </c>
      <c r="B100" s="3368" t="str">
        <f>估价对象房地状况!C22</f>
        <v>七通</v>
      </c>
      <c r="C100" s="2044" t="s">
        <v>3541</v>
      </c>
      <c r="D100" s="3364">
        <f t="shared" si="30"/>
        <v>8.9999999999999993E-3</v>
      </c>
      <c r="E100" s="3381"/>
      <c r="F100" s="1814"/>
      <c r="G100" s="3371">
        <v>4.4999999999999997E-3</v>
      </c>
      <c r="H100" s="3419">
        <f t="shared" si="31"/>
        <v>4.4999999999999997E-3</v>
      </c>
      <c r="I100" s="3365">
        <v>0.09</v>
      </c>
      <c r="J100" s="3343">
        <f t="shared" si="27"/>
        <v>8.9999999999999993E-3</v>
      </c>
      <c r="K100" s="3343">
        <f t="shared" si="28"/>
        <v>4.4999999999999997E-3</v>
      </c>
      <c r="L100" s="3343">
        <v>0</v>
      </c>
      <c r="M100" s="3343">
        <f t="shared" si="29"/>
        <v>-4.4999999999999997E-3</v>
      </c>
      <c r="N100" s="3343">
        <f t="shared" si="29"/>
        <v>-8.9999999999999993E-3</v>
      </c>
    </row>
    <row r="101" spans="1:14" ht="24.75" thickBot="1">
      <c r="A101" s="3378" t="s">
        <v>3282</v>
      </c>
      <c r="B101" s="3385" t="str">
        <f>估价对象房地状况!C20</f>
        <v>较好</v>
      </c>
      <c r="C101" s="2044" t="s">
        <v>3502</v>
      </c>
      <c r="D101" s="3364">
        <f t="shared" si="30"/>
        <v>3.5000000000000001E-3</v>
      </c>
      <c r="E101" s="3382"/>
      <c r="F101" s="1814"/>
      <c r="G101" s="3371">
        <v>3.5000000000000001E-3</v>
      </c>
      <c r="H101" s="3419">
        <f t="shared" si="31"/>
        <v>3.5000000000000001E-3</v>
      </c>
      <c r="I101" s="3366">
        <v>7.0000000000000007E-2</v>
      </c>
      <c r="J101" s="3343">
        <f t="shared" si="27"/>
        <v>7.0000000000000001E-3</v>
      </c>
      <c r="K101" s="3343">
        <f t="shared" si="28"/>
        <v>3.5000000000000001E-3</v>
      </c>
      <c r="L101" s="3343">
        <v>0</v>
      </c>
      <c r="M101" s="3343">
        <f t="shared" si="29"/>
        <v>-3.5000000000000001E-3</v>
      </c>
      <c r="N101" s="3343">
        <f t="shared" si="29"/>
        <v>-7.0000000000000001E-3</v>
      </c>
    </row>
    <row r="103" spans="1:14">
      <c r="A103" s="3906" t="s">
        <v>3297</v>
      </c>
      <c r="B103" s="3906"/>
      <c r="C103" s="3906"/>
      <c r="D103" s="3906"/>
      <c r="E103" s="3906"/>
      <c r="F103" s="3906"/>
      <c r="G103" s="3906"/>
      <c r="H103" s="3906"/>
      <c r="I103" s="3906"/>
      <c r="J103" s="3906"/>
      <c r="K103" s="3388"/>
      <c r="L103" s="3388"/>
      <c r="M103" s="3388"/>
      <c r="N103" s="3388"/>
    </row>
    <row r="104" spans="1:14">
      <c r="A104" s="3907" t="s">
        <v>3298</v>
      </c>
      <c r="B104" s="3907" t="s">
        <v>3299</v>
      </c>
      <c r="C104" s="3389" t="s">
        <v>3300</v>
      </c>
      <c r="D104" s="3390"/>
      <c r="E104" s="3390"/>
      <c r="F104" s="3390"/>
      <c r="G104" s="3390"/>
      <c r="H104" s="3390"/>
      <c r="I104" s="3390"/>
      <c r="J104" s="3391"/>
      <c r="K104" s="3392"/>
      <c r="L104" s="3392"/>
      <c r="M104" s="3392"/>
      <c r="N104" s="3392"/>
    </row>
    <row r="105" spans="1:14">
      <c r="A105" s="3907"/>
      <c r="B105" s="3907"/>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893"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9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9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9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9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94"/>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9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96" t="s">
        <v>3314</v>
      </c>
      <c r="B113" s="3896"/>
      <c r="C113" s="3896"/>
      <c r="D113" s="3896"/>
      <c r="E113" s="3896"/>
      <c r="F113" s="3896"/>
      <c r="G113" s="3896"/>
      <c r="H113" s="3896"/>
      <c r="I113" s="3896"/>
      <c r="J113" s="389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2.5</v>
      </c>
      <c r="C116" s="3398" t="s">
        <v>3316</v>
      </c>
      <c r="D116" s="3399">
        <f>SUMPRODUCT((A118:A122=F116)*(B117:M117=H116)*B118:M122)</f>
        <v>0.86180000000000001</v>
      </c>
      <c r="E116" s="2000" t="s">
        <v>3317</v>
      </c>
      <c r="F116" s="3400" t="str">
        <f>E2</f>
        <v>公共服务</v>
      </c>
      <c r="G116" s="2000" t="s">
        <v>3318</v>
      </c>
      <c r="H116" s="3400" t="str">
        <f>G2</f>
        <v>五级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3332</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3333</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3334</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2611</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921" t="s">
        <v>2606</v>
      </c>
      <c r="B20" s="3916" t="s">
        <v>2627</v>
      </c>
      <c r="C20" s="3101" t="s">
        <v>2438</v>
      </c>
      <c r="D20" s="3102"/>
      <c r="E20" s="3103">
        <v>1</v>
      </c>
      <c r="F20" s="3104" t="s">
        <v>2439</v>
      </c>
      <c r="G20" s="3104"/>
    </row>
    <row r="21" spans="1:13" ht="19.5" customHeight="1">
      <c r="A21" s="3922"/>
      <c r="B21" s="3915"/>
      <c r="C21" s="3105" t="s">
        <v>2440</v>
      </c>
      <c r="D21" s="3106"/>
      <c r="E21" s="3107">
        <v>1</v>
      </c>
      <c r="F21" s="3104" t="s">
        <v>2441</v>
      </c>
      <c r="G21" s="3104"/>
    </row>
    <row r="22" spans="1:13" ht="19.5" customHeight="1">
      <c r="A22" s="3922"/>
      <c r="B22" s="3915"/>
      <c r="C22" s="3105" t="s">
        <v>2442</v>
      </c>
      <c r="D22" s="3106"/>
      <c r="E22" s="3107">
        <v>0.9</v>
      </c>
      <c r="F22" s="3104" t="s">
        <v>2443</v>
      </c>
      <c r="G22" s="3104"/>
    </row>
    <row r="23" spans="1:13" ht="19.5" customHeight="1">
      <c r="A23" s="3922"/>
      <c r="B23" s="3915"/>
      <c r="C23" s="3105" t="s">
        <v>2444</v>
      </c>
      <c r="D23" s="3106"/>
      <c r="E23" s="3107">
        <v>0.9</v>
      </c>
      <c r="F23" s="3104" t="s">
        <v>2445</v>
      </c>
      <c r="G23" s="3104"/>
    </row>
    <row r="24" spans="1:13" ht="19.5" customHeight="1">
      <c r="A24" s="3922"/>
      <c r="B24" s="3915"/>
      <c r="C24" s="3105" t="s">
        <v>2446</v>
      </c>
      <c r="D24" s="3106"/>
      <c r="E24" s="3107">
        <v>0.8</v>
      </c>
      <c r="F24" s="3104" t="s">
        <v>2447</v>
      </c>
      <c r="G24" s="3104"/>
    </row>
    <row r="25" spans="1:13" ht="19.5" customHeight="1" thickBot="1">
      <c r="A25" s="3923"/>
      <c r="B25" s="3917"/>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918" t="s">
        <v>2630</v>
      </c>
      <c r="B27" s="3916" t="s">
        <v>2611</v>
      </c>
      <c r="C27" s="3101" t="s">
        <v>2451</v>
      </c>
      <c r="D27" s="3102"/>
      <c r="E27" s="3103">
        <v>1</v>
      </c>
      <c r="F27" s="3104" t="s">
        <v>2452</v>
      </c>
      <c r="G27" s="3104"/>
    </row>
    <row r="28" spans="1:13" ht="19.5" customHeight="1">
      <c r="A28" s="3919"/>
      <c r="B28" s="3915"/>
      <c r="C28" s="3105" t="s">
        <v>2453</v>
      </c>
      <c r="D28" s="3106"/>
      <c r="E28" s="3107">
        <v>1</v>
      </c>
      <c r="F28" s="3104" t="s">
        <v>2454</v>
      </c>
      <c r="G28" s="3104"/>
    </row>
    <row r="29" spans="1:13" ht="19.5" customHeight="1">
      <c r="A29" s="3919"/>
      <c r="B29" s="3915"/>
      <c r="C29" s="3105" t="s">
        <v>2455</v>
      </c>
      <c r="D29" s="3106"/>
      <c r="E29" s="3107">
        <v>0.8</v>
      </c>
      <c r="F29" s="3104" t="s">
        <v>2456</v>
      </c>
      <c r="G29" s="3104"/>
    </row>
    <row r="30" spans="1:13" ht="19.5" customHeight="1">
      <c r="A30" s="3919"/>
      <c r="B30" s="3915"/>
      <c r="C30" s="3105" t="s">
        <v>2457</v>
      </c>
      <c r="D30" s="3106"/>
      <c r="E30" s="3107">
        <v>0.8</v>
      </c>
      <c r="F30" s="3104" t="s">
        <v>2458</v>
      </c>
      <c r="G30" s="3104"/>
    </row>
    <row r="31" spans="1:13" ht="19.5" customHeight="1">
      <c r="A31" s="3919"/>
      <c r="B31" s="3915"/>
      <c r="C31" s="3105" t="s">
        <v>2459</v>
      </c>
      <c r="D31" s="3106"/>
      <c r="E31" s="3107">
        <v>0.8</v>
      </c>
      <c r="F31" s="3104" t="s">
        <v>2460</v>
      </c>
      <c r="G31" s="3104"/>
    </row>
    <row r="32" spans="1:13" ht="19.5" customHeight="1">
      <c r="A32" s="3919"/>
      <c r="B32" s="3915"/>
      <c r="C32" s="3105" t="s">
        <v>2461</v>
      </c>
      <c r="D32" s="3106"/>
      <c r="E32" s="3107">
        <v>0.7</v>
      </c>
      <c r="F32" s="3104" t="s">
        <v>2462</v>
      </c>
      <c r="G32" s="3104"/>
    </row>
    <row r="33" spans="1:7" ht="19.5" customHeight="1">
      <c r="A33" s="3919"/>
      <c r="B33" s="3915"/>
      <c r="C33" s="3105" t="s">
        <v>2463</v>
      </c>
      <c r="D33" s="3106"/>
      <c r="E33" s="3107">
        <v>0.8</v>
      </c>
      <c r="F33" s="3104" t="s">
        <v>2464</v>
      </c>
      <c r="G33" s="3104"/>
    </row>
    <row r="34" spans="1:7" ht="19.5" customHeight="1">
      <c r="A34" s="3919"/>
      <c r="B34" s="3915"/>
      <c r="C34" s="3105" t="s">
        <v>2465</v>
      </c>
      <c r="D34" s="3106"/>
      <c r="E34" s="3107">
        <v>0.6</v>
      </c>
      <c r="F34" s="3104" t="s">
        <v>2466</v>
      </c>
      <c r="G34" s="3104"/>
    </row>
    <row r="35" spans="1:7" ht="19.5" customHeight="1">
      <c r="A35" s="3919"/>
      <c r="B35" s="3915"/>
      <c r="C35" s="3105" t="s">
        <v>2467</v>
      </c>
      <c r="D35" s="3106"/>
      <c r="E35" s="3107">
        <v>0.2</v>
      </c>
      <c r="F35" s="3104" t="s">
        <v>2468</v>
      </c>
      <c r="G35" s="3104"/>
    </row>
    <row r="36" spans="1:7" ht="19.5" customHeight="1">
      <c r="A36" s="3919"/>
      <c r="B36" s="3915"/>
      <c r="C36" s="3105" t="s">
        <v>2469</v>
      </c>
      <c r="D36" s="3106"/>
      <c r="E36" s="3107">
        <v>0.2</v>
      </c>
      <c r="F36" s="3104" t="s">
        <v>2470</v>
      </c>
      <c r="G36" s="3104"/>
    </row>
    <row r="37" spans="1:7" ht="19.5" customHeight="1">
      <c r="A37" s="3919"/>
      <c r="B37" s="3913" t="s">
        <v>2631</v>
      </c>
      <c r="C37" s="3105" t="s">
        <v>2471</v>
      </c>
      <c r="D37" s="3106"/>
      <c r="E37" s="3107">
        <v>0.6</v>
      </c>
      <c r="F37" s="3104" t="s">
        <v>2472</v>
      </c>
      <c r="G37" s="3104"/>
    </row>
    <row r="38" spans="1:7" ht="19.5" customHeight="1">
      <c r="A38" s="3919"/>
      <c r="B38" s="3915"/>
      <c r="C38" s="3105" t="s">
        <v>2473</v>
      </c>
      <c r="D38" s="3106"/>
      <c r="E38" s="3107">
        <v>0.6</v>
      </c>
      <c r="F38" s="3104" t="s">
        <v>2474</v>
      </c>
      <c r="G38" s="3104"/>
    </row>
    <row r="39" spans="1:7" ht="19.5" customHeight="1" thickBot="1">
      <c r="A39" s="3920"/>
      <c r="B39" s="3917"/>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921" t="s">
        <v>2609</v>
      </c>
      <c r="B41" s="3916" t="s">
        <v>2633</v>
      </c>
      <c r="C41" s="3101" t="s">
        <v>2478</v>
      </c>
      <c r="D41" s="3102"/>
      <c r="E41" s="3103">
        <v>1</v>
      </c>
      <c r="F41" s="3104" t="s">
        <v>2479</v>
      </c>
      <c r="G41" s="3104"/>
    </row>
    <row r="42" spans="1:7" ht="19.5" customHeight="1">
      <c r="A42" s="3922"/>
      <c r="B42" s="3915"/>
      <c r="C42" s="3105" t="s">
        <v>2480</v>
      </c>
      <c r="D42" s="3106"/>
      <c r="E42" s="3107">
        <v>1</v>
      </c>
      <c r="F42" s="3104" t="s">
        <v>2481</v>
      </c>
      <c r="G42" s="3104"/>
    </row>
    <row r="43" spans="1:7" ht="19.5" customHeight="1">
      <c r="A43" s="3922"/>
      <c r="B43" s="3914"/>
      <c r="C43" s="3105" t="s">
        <v>2482</v>
      </c>
      <c r="D43" s="3106"/>
      <c r="E43" s="3107">
        <v>1.5</v>
      </c>
      <c r="F43" s="3104" t="s">
        <v>2483</v>
      </c>
      <c r="G43" s="3104"/>
    </row>
    <row r="44" spans="1:7" ht="19.5" customHeight="1">
      <c r="A44" s="3922"/>
      <c r="B44" s="3116" t="s">
        <v>2634</v>
      </c>
      <c r="C44" s="3105" t="s">
        <v>2635</v>
      </c>
      <c r="D44" s="3106"/>
      <c r="E44" s="3107">
        <v>2</v>
      </c>
      <c r="F44" s="3104" t="s">
        <v>2484</v>
      </c>
      <c r="G44" s="3104"/>
    </row>
    <row r="45" spans="1:7" ht="19.5" customHeight="1">
      <c r="A45" s="3922"/>
      <c r="B45" s="3913" t="s">
        <v>2636</v>
      </c>
      <c r="C45" s="3105" t="s">
        <v>2485</v>
      </c>
      <c r="D45" s="3106"/>
      <c r="E45" s="3107">
        <v>1</v>
      </c>
      <c r="F45" s="3104" t="s">
        <v>2486</v>
      </c>
      <c r="G45" s="3104"/>
    </row>
    <row r="46" spans="1:7" ht="19.5" customHeight="1">
      <c r="A46" s="3922"/>
      <c r="B46" s="3915"/>
      <c r="C46" s="3105" t="s">
        <v>2487</v>
      </c>
      <c r="D46" s="3106"/>
      <c r="E46" s="3107">
        <v>1</v>
      </c>
      <c r="F46" s="3104" t="s">
        <v>2488</v>
      </c>
      <c r="G46" s="3104"/>
    </row>
    <row r="47" spans="1:7" ht="19.5" customHeight="1">
      <c r="A47" s="3922"/>
      <c r="B47" s="3915"/>
      <c r="C47" s="3105" t="s">
        <v>2489</v>
      </c>
      <c r="D47" s="3106"/>
      <c r="E47" s="3107">
        <v>1</v>
      </c>
      <c r="F47" s="3104" t="s">
        <v>2490</v>
      </c>
      <c r="G47" s="3104"/>
    </row>
    <row r="48" spans="1:7" ht="19.5" customHeight="1">
      <c r="A48" s="3922"/>
      <c r="B48" s="3915"/>
      <c r="C48" s="3105" t="s">
        <v>2491</v>
      </c>
      <c r="D48" s="3106"/>
      <c r="E48" s="3107">
        <v>1</v>
      </c>
      <c r="F48" s="3104" t="s">
        <v>2492</v>
      </c>
      <c r="G48" s="3104"/>
    </row>
    <row r="49" spans="1:7" ht="19.5" customHeight="1">
      <c r="A49" s="3922"/>
      <c r="B49" s="3915"/>
      <c r="C49" s="3105" t="s">
        <v>2493</v>
      </c>
      <c r="D49" s="3106"/>
      <c r="E49" s="3107">
        <v>1</v>
      </c>
      <c r="F49" s="3104" t="s">
        <v>2494</v>
      </c>
      <c r="G49" s="3104"/>
    </row>
    <row r="50" spans="1:7" ht="19.5" customHeight="1">
      <c r="A50" s="3922"/>
      <c r="B50" s="3915"/>
      <c r="C50" s="3105" t="s">
        <v>2495</v>
      </c>
      <c r="D50" s="3106"/>
      <c r="E50" s="3107">
        <v>1</v>
      </c>
      <c r="F50" s="3104" t="s">
        <v>2496</v>
      </c>
      <c r="G50" s="3104"/>
    </row>
    <row r="51" spans="1:7" ht="19.5" customHeight="1" thickBot="1">
      <c r="A51" s="3923"/>
      <c r="B51" s="3917"/>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913" t="s">
        <v>2650</v>
      </c>
      <c r="C73" s="3090" t="s">
        <v>2651</v>
      </c>
      <c r="D73" s="3090" t="s">
        <v>2652</v>
      </c>
      <c r="E73" s="3116">
        <v>0.2</v>
      </c>
      <c r="F73" s="3116">
        <v>25</v>
      </c>
    </row>
    <row r="74" spans="1:7" ht="24">
      <c r="A74" s="3116">
        <v>2</v>
      </c>
      <c r="B74" s="3915"/>
      <c r="C74" s="3090" t="s">
        <v>2653</v>
      </c>
      <c r="D74" s="3090" t="s">
        <v>2654</v>
      </c>
      <c r="E74" s="3116">
        <v>0.2</v>
      </c>
      <c r="F74" s="3116">
        <v>25</v>
      </c>
    </row>
    <row r="75" spans="1:7" ht="24">
      <c r="A75" s="3116">
        <v>3</v>
      </c>
      <c r="B75" s="3915"/>
      <c r="C75" s="3090" t="s">
        <v>2655</v>
      </c>
      <c r="D75" s="3090" t="s">
        <v>2656</v>
      </c>
      <c r="E75" s="3116">
        <v>0.2</v>
      </c>
      <c r="F75" s="3116">
        <v>25</v>
      </c>
    </row>
    <row r="76" spans="1:7" ht="13.5">
      <c r="A76" s="3116">
        <v>4</v>
      </c>
      <c r="B76" s="3915"/>
      <c r="C76" s="3090" t="s">
        <v>2657</v>
      </c>
      <c r="D76" s="3090" t="s">
        <v>2658</v>
      </c>
      <c r="E76" s="3116">
        <v>0.15</v>
      </c>
      <c r="F76" s="3116">
        <v>20</v>
      </c>
    </row>
    <row r="77" spans="1:7" ht="24">
      <c r="A77" s="3116">
        <v>5</v>
      </c>
      <c r="B77" s="3915"/>
      <c r="C77" s="3090" t="s">
        <v>2659</v>
      </c>
      <c r="D77" s="3090" t="s">
        <v>2660</v>
      </c>
      <c r="E77" s="3116">
        <v>0.15</v>
      </c>
      <c r="F77" s="3116">
        <v>20</v>
      </c>
    </row>
    <row r="78" spans="1:7" ht="24">
      <c r="A78" s="3116">
        <v>6</v>
      </c>
      <c r="B78" s="3915"/>
      <c r="C78" s="3090" t="s">
        <v>2661</v>
      </c>
      <c r="D78" s="3090" t="s">
        <v>2662</v>
      </c>
      <c r="E78" s="3116">
        <v>0.15</v>
      </c>
      <c r="F78" s="3116">
        <v>20</v>
      </c>
    </row>
    <row r="79" spans="1:7" ht="24">
      <c r="A79" s="3116">
        <v>7</v>
      </c>
      <c r="B79" s="3915"/>
      <c r="C79" s="3090" t="s">
        <v>2663</v>
      </c>
      <c r="D79" s="3090" t="s">
        <v>2664</v>
      </c>
      <c r="E79" s="3116">
        <v>0.15</v>
      </c>
      <c r="F79" s="3116">
        <v>20</v>
      </c>
    </row>
    <row r="80" spans="1:7" ht="24">
      <c r="A80" s="3116">
        <v>8</v>
      </c>
      <c r="B80" s="3915"/>
      <c r="C80" s="3090" t="s">
        <v>2665</v>
      </c>
      <c r="D80" s="3090" t="s">
        <v>2666</v>
      </c>
      <c r="E80" s="3116">
        <v>0.1</v>
      </c>
      <c r="F80" s="3116">
        <v>15</v>
      </c>
    </row>
    <row r="81" spans="1:6" ht="24">
      <c r="A81" s="3116">
        <v>9</v>
      </c>
      <c r="B81" s="3915"/>
      <c r="C81" s="3090" t="s">
        <v>2667</v>
      </c>
      <c r="D81" s="3090" t="s">
        <v>2668</v>
      </c>
      <c r="E81" s="3116">
        <v>0.1</v>
      </c>
      <c r="F81" s="3116">
        <v>15</v>
      </c>
    </row>
    <row r="82" spans="1:6" ht="24">
      <c r="A82" s="3116">
        <v>10</v>
      </c>
      <c r="B82" s="3915"/>
      <c r="C82" s="3090" t="s">
        <v>2669</v>
      </c>
      <c r="D82" s="3090" t="s">
        <v>2670</v>
      </c>
      <c r="E82" s="3116">
        <v>0.1</v>
      </c>
      <c r="F82" s="3116">
        <v>15</v>
      </c>
    </row>
    <row r="83" spans="1:6" ht="24">
      <c r="A83" s="3116">
        <v>11</v>
      </c>
      <c r="B83" s="3915"/>
      <c r="C83" s="3090" t="s">
        <v>2671</v>
      </c>
      <c r="D83" s="3090" t="s">
        <v>2672</v>
      </c>
      <c r="E83" s="3116">
        <v>0.1</v>
      </c>
      <c r="F83" s="3116">
        <v>15</v>
      </c>
    </row>
    <row r="84" spans="1:6" ht="24">
      <c r="A84" s="3116">
        <v>12</v>
      </c>
      <c r="B84" s="3915"/>
      <c r="C84" s="3090" t="s">
        <v>2673</v>
      </c>
      <c r="D84" s="3090" t="s">
        <v>2674</v>
      </c>
      <c r="E84" s="3116">
        <v>0.1</v>
      </c>
      <c r="F84" s="3116">
        <v>15</v>
      </c>
    </row>
    <row r="85" spans="1:6" ht="13.5">
      <c r="A85" s="3116">
        <v>13</v>
      </c>
      <c r="B85" s="3915"/>
      <c r="C85" s="3090" t="s">
        <v>2675</v>
      </c>
      <c r="D85" s="3090" t="s">
        <v>2676</v>
      </c>
      <c r="E85" s="3116">
        <v>0.1</v>
      </c>
      <c r="F85" s="3116">
        <v>15</v>
      </c>
    </row>
    <row r="86" spans="1:6" ht="13.5">
      <c r="A86" s="3116">
        <v>14</v>
      </c>
      <c r="B86" s="3915"/>
      <c r="C86" s="3090" t="s">
        <v>2677</v>
      </c>
      <c r="D86" s="3090" t="s">
        <v>2678</v>
      </c>
      <c r="E86" s="3116">
        <v>0.1</v>
      </c>
      <c r="F86" s="3116">
        <v>15</v>
      </c>
    </row>
    <row r="87" spans="1:6" ht="13.5">
      <c r="A87" s="3116">
        <v>15</v>
      </c>
      <c r="B87" s="3915"/>
      <c r="C87" s="3090" t="s">
        <v>2679</v>
      </c>
      <c r="D87" s="3090" t="s">
        <v>2680</v>
      </c>
      <c r="E87" s="3116">
        <v>0.1</v>
      </c>
      <c r="F87" s="3116">
        <v>15</v>
      </c>
    </row>
    <row r="88" spans="1:6" ht="24">
      <c r="A88" s="3116">
        <v>16</v>
      </c>
      <c r="B88" s="3915"/>
      <c r="C88" s="3090" t="s">
        <v>2681</v>
      </c>
      <c r="D88" s="3090" t="s">
        <v>2682</v>
      </c>
      <c r="E88" s="3116">
        <v>0.1</v>
      </c>
      <c r="F88" s="3116">
        <v>15</v>
      </c>
    </row>
    <row r="89" spans="1:6" ht="24">
      <c r="A89" s="3116">
        <v>17</v>
      </c>
      <c r="B89" s="3914"/>
      <c r="C89" s="3090" t="s">
        <v>2683</v>
      </c>
      <c r="D89" s="3090" t="s">
        <v>2684</v>
      </c>
      <c r="E89" s="3116">
        <v>0.1</v>
      </c>
      <c r="F89" s="3116">
        <v>15</v>
      </c>
    </row>
    <row r="90" spans="1:6" ht="13.5">
      <c r="A90" s="3116">
        <v>18</v>
      </c>
      <c r="B90" s="3913" t="s">
        <v>2685</v>
      </c>
      <c r="C90" s="3090" t="s">
        <v>2686</v>
      </c>
      <c r="D90" s="3090" t="s">
        <v>2687</v>
      </c>
      <c r="E90" s="3116">
        <v>0.2</v>
      </c>
      <c r="F90" s="3116">
        <v>25</v>
      </c>
    </row>
    <row r="91" spans="1:6" ht="24">
      <c r="A91" s="3116">
        <v>19</v>
      </c>
      <c r="B91" s="3915"/>
      <c r="C91" s="3090" t="s">
        <v>2688</v>
      </c>
      <c r="D91" s="3090" t="s">
        <v>2689</v>
      </c>
      <c r="E91" s="3116">
        <v>0.2</v>
      </c>
      <c r="F91" s="3116">
        <v>25</v>
      </c>
    </row>
    <row r="92" spans="1:6" ht="13.5">
      <c r="A92" s="3116">
        <v>20</v>
      </c>
      <c r="B92" s="3915"/>
      <c r="C92" s="3090" t="s">
        <v>2690</v>
      </c>
      <c r="D92" s="3090" t="s">
        <v>2691</v>
      </c>
      <c r="E92" s="3116">
        <v>0.15</v>
      </c>
      <c r="F92" s="3116">
        <v>20</v>
      </c>
    </row>
    <row r="93" spans="1:6" ht="13.5">
      <c r="A93" s="3116">
        <v>21</v>
      </c>
      <c r="B93" s="3915"/>
      <c r="C93" s="3090" t="s">
        <v>2692</v>
      </c>
      <c r="D93" s="3090" t="s">
        <v>2693</v>
      </c>
      <c r="E93" s="3116">
        <v>0.15</v>
      </c>
      <c r="F93" s="3116">
        <v>20</v>
      </c>
    </row>
    <row r="94" spans="1:6" ht="13.5">
      <c r="A94" s="3116">
        <v>22</v>
      </c>
      <c r="B94" s="3915"/>
      <c r="C94" s="3090" t="s">
        <v>2694</v>
      </c>
      <c r="D94" s="3090" t="s">
        <v>2695</v>
      </c>
      <c r="E94" s="3116">
        <v>0.15</v>
      </c>
      <c r="F94" s="3116">
        <v>20</v>
      </c>
    </row>
    <row r="95" spans="1:6" ht="36">
      <c r="A95" s="3116">
        <v>23</v>
      </c>
      <c r="B95" s="3915"/>
      <c r="C95" s="3090" t="s">
        <v>2696</v>
      </c>
      <c r="D95" s="3090" t="s">
        <v>2697</v>
      </c>
      <c r="E95" s="3116">
        <v>0.15</v>
      </c>
      <c r="F95" s="3116">
        <v>20</v>
      </c>
    </row>
    <row r="96" spans="1:6" ht="13.5">
      <c r="A96" s="3116">
        <v>24</v>
      </c>
      <c r="B96" s="3915"/>
      <c r="C96" s="3090" t="s">
        <v>2698</v>
      </c>
      <c r="D96" s="3090" t="s">
        <v>2699</v>
      </c>
      <c r="E96" s="3116">
        <v>0.1</v>
      </c>
      <c r="F96" s="3116">
        <v>15</v>
      </c>
    </row>
    <row r="97" spans="1:6" ht="13.5">
      <c r="A97" s="3116">
        <v>25</v>
      </c>
      <c r="B97" s="3915"/>
      <c r="C97" s="3090" t="s">
        <v>2700</v>
      </c>
      <c r="D97" s="3090" t="s">
        <v>2701</v>
      </c>
      <c r="E97" s="3116">
        <v>0.1</v>
      </c>
      <c r="F97" s="3116">
        <v>15</v>
      </c>
    </row>
    <row r="98" spans="1:6" ht="24">
      <c r="A98" s="3116">
        <v>26</v>
      </c>
      <c r="B98" s="3915"/>
      <c r="C98" s="3090" t="s">
        <v>2702</v>
      </c>
      <c r="D98" s="3090" t="s">
        <v>2703</v>
      </c>
      <c r="E98" s="3116">
        <v>0.1</v>
      </c>
      <c r="F98" s="3116">
        <v>15</v>
      </c>
    </row>
    <row r="99" spans="1:6" ht="24">
      <c r="A99" s="3116">
        <v>27</v>
      </c>
      <c r="B99" s="3915"/>
      <c r="C99" s="3090" t="s">
        <v>2704</v>
      </c>
      <c r="D99" s="3090" t="s">
        <v>2705</v>
      </c>
      <c r="E99" s="3116">
        <v>0.1</v>
      </c>
      <c r="F99" s="3116">
        <v>15</v>
      </c>
    </row>
    <row r="100" spans="1:6" ht="13.5">
      <c r="A100" s="3116">
        <v>28</v>
      </c>
      <c r="B100" s="3915"/>
      <c r="C100" s="3090" t="s">
        <v>2706</v>
      </c>
      <c r="D100" s="3090" t="s">
        <v>2707</v>
      </c>
      <c r="E100" s="3116">
        <v>0.1</v>
      </c>
      <c r="F100" s="3116">
        <v>15</v>
      </c>
    </row>
    <row r="101" spans="1:6" ht="13.5">
      <c r="A101" s="3116">
        <v>29</v>
      </c>
      <c r="B101" s="3915"/>
      <c r="C101" s="3090" t="s">
        <v>2708</v>
      </c>
      <c r="D101" s="3090" t="s">
        <v>2709</v>
      </c>
      <c r="E101" s="3116">
        <v>0.1</v>
      </c>
      <c r="F101" s="3116">
        <v>15</v>
      </c>
    </row>
    <row r="102" spans="1:6" ht="13.5">
      <c r="A102" s="3116">
        <v>30</v>
      </c>
      <c r="B102" s="3915"/>
      <c r="C102" s="3090" t="s">
        <v>2710</v>
      </c>
      <c r="D102" s="3090" t="s">
        <v>2711</v>
      </c>
      <c r="E102" s="3116">
        <v>0.1</v>
      </c>
      <c r="F102" s="3116">
        <v>15</v>
      </c>
    </row>
    <row r="103" spans="1:6" ht="24">
      <c r="A103" s="3116">
        <v>31</v>
      </c>
      <c r="B103" s="3915"/>
      <c r="C103" s="3090" t="s">
        <v>2712</v>
      </c>
      <c r="D103" s="3090" t="s">
        <v>2713</v>
      </c>
      <c r="E103" s="3116">
        <v>0.1</v>
      </c>
      <c r="F103" s="3116">
        <v>15</v>
      </c>
    </row>
    <row r="104" spans="1:6" ht="24">
      <c r="A104" s="3116">
        <v>32</v>
      </c>
      <c r="B104" s="3915"/>
      <c r="C104" s="3090" t="s">
        <v>2714</v>
      </c>
      <c r="D104" s="3090" t="s">
        <v>2715</v>
      </c>
      <c r="E104" s="3116">
        <v>0.1</v>
      </c>
      <c r="F104" s="3116">
        <v>15</v>
      </c>
    </row>
    <row r="105" spans="1:6" ht="24">
      <c r="A105" s="3116">
        <v>33</v>
      </c>
      <c r="B105" s="3915"/>
      <c r="C105" s="3090" t="s">
        <v>2716</v>
      </c>
      <c r="D105" s="3090" t="s">
        <v>2717</v>
      </c>
      <c r="E105" s="3116">
        <v>0.1</v>
      </c>
      <c r="F105" s="3116">
        <v>15</v>
      </c>
    </row>
    <row r="106" spans="1:6" ht="24">
      <c r="A106" s="3116">
        <v>34</v>
      </c>
      <c r="B106" s="3914"/>
      <c r="C106" s="3090" t="s">
        <v>2718</v>
      </c>
      <c r="D106" s="3090" t="s">
        <v>2719</v>
      </c>
      <c r="E106" s="3116">
        <v>0.1</v>
      </c>
      <c r="F106" s="3116">
        <v>15</v>
      </c>
    </row>
    <row r="107" spans="1:6" ht="24">
      <c r="A107" s="3116">
        <v>35</v>
      </c>
      <c r="B107" s="3913" t="s">
        <v>2720</v>
      </c>
      <c r="C107" s="3116" t="s">
        <v>2721</v>
      </c>
      <c r="D107" s="3090" t="s">
        <v>2722</v>
      </c>
      <c r="E107" s="3116">
        <v>0.15</v>
      </c>
      <c r="F107" s="3116">
        <v>20</v>
      </c>
    </row>
    <row r="108" spans="1:6" ht="13.5">
      <c r="A108" s="3116">
        <v>36</v>
      </c>
      <c r="B108" s="3915"/>
      <c r="C108" s="3116" t="s">
        <v>2723</v>
      </c>
      <c r="D108" s="3090" t="s">
        <v>2724</v>
      </c>
      <c r="E108" s="3116">
        <v>0.15</v>
      </c>
      <c r="F108" s="3116">
        <v>20</v>
      </c>
    </row>
    <row r="109" spans="1:6" ht="13.5">
      <c r="A109" s="3116">
        <v>37</v>
      </c>
      <c r="B109" s="3915"/>
      <c r="C109" s="3116" t="s">
        <v>2725</v>
      </c>
      <c r="D109" s="3090" t="s">
        <v>2726</v>
      </c>
      <c r="E109" s="3116">
        <v>0.15</v>
      </c>
      <c r="F109" s="3116">
        <v>20</v>
      </c>
    </row>
    <row r="110" spans="1:6" ht="13.5">
      <c r="A110" s="3116">
        <v>38</v>
      </c>
      <c r="B110" s="3915"/>
      <c r="C110" s="3116" t="s">
        <v>2727</v>
      </c>
      <c r="D110" s="3090" t="s">
        <v>2728</v>
      </c>
      <c r="E110" s="3116">
        <v>0.1</v>
      </c>
      <c r="F110" s="3116">
        <v>15</v>
      </c>
    </row>
    <row r="111" spans="1:6" ht="24">
      <c r="A111" s="3116">
        <v>39</v>
      </c>
      <c r="B111" s="3915"/>
      <c r="C111" s="3116" t="s">
        <v>2729</v>
      </c>
      <c r="D111" s="3090" t="s">
        <v>2730</v>
      </c>
      <c r="E111" s="3116">
        <v>0.1</v>
      </c>
      <c r="F111" s="3116">
        <v>15</v>
      </c>
    </row>
    <row r="112" spans="1:6" ht="24">
      <c r="A112" s="3116">
        <v>40</v>
      </c>
      <c r="B112" s="3914"/>
      <c r="C112" s="3116" t="s">
        <v>2731</v>
      </c>
      <c r="D112" s="3090" t="s">
        <v>2732</v>
      </c>
      <c r="E112" s="3116">
        <v>0.1</v>
      </c>
      <c r="F112" s="3116">
        <v>15</v>
      </c>
    </row>
    <row r="113" spans="1:6" ht="13.5">
      <c r="A113" s="3116">
        <v>41</v>
      </c>
      <c r="B113" s="3912" t="s">
        <v>2733</v>
      </c>
      <c r="C113" s="3116" t="s">
        <v>2734</v>
      </c>
      <c r="D113" s="3090" t="s">
        <v>2735</v>
      </c>
      <c r="E113" s="3116">
        <v>0.1</v>
      </c>
      <c r="F113" s="3116">
        <v>15</v>
      </c>
    </row>
    <row r="114" spans="1:6" ht="13.5">
      <c r="A114" s="3116">
        <v>42</v>
      </c>
      <c r="B114" s="3912"/>
      <c r="C114" s="3116" t="s">
        <v>2736</v>
      </c>
      <c r="D114" s="3090" t="s">
        <v>2737</v>
      </c>
      <c r="E114" s="3116">
        <v>0.1</v>
      </c>
      <c r="F114" s="3116">
        <v>15</v>
      </c>
    </row>
    <row r="115" spans="1:6" ht="24">
      <c r="A115" s="3116">
        <v>43</v>
      </c>
      <c r="B115" s="3912"/>
      <c r="C115" s="3116" t="s">
        <v>2738</v>
      </c>
      <c r="D115" s="3090" t="s">
        <v>2739</v>
      </c>
      <c r="E115" s="3116">
        <v>0.1</v>
      </c>
      <c r="F115" s="3116">
        <v>15</v>
      </c>
    </row>
    <row r="116" spans="1:6" ht="13.5">
      <c r="A116" s="3116">
        <v>44</v>
      </c>
      <c r="B116" s="3913" t="s">
        <v>2740</v>
      </c>
      <c r="C116" s="3116" t="s">
        <v>2741</v>
      </c>
      <c r="D116" s="3090" t="s">
        <v>2742</v>
      </c>
      <c r="E116" s="3116">
        <v>0.1</v>
      </c>
      <c r="F116" s="3116">
        <v>15</v>
      </c>
    </row>
    <row r="117" spans="1:6" ht="24">
      <c r="A117" s="3116">
        <v>45</v>
      </c>
      <c r="B117" s="3914"/>
      <c r="C117" s="3090" t="s">
        <v>2743</v>
      </c>
      <c r="D117" s="3090" t="s">
        <v>2744</v>
      </c>
      <c r="E117" s="3116">
        <v>0.1</v>
      </c>
      <c r="F117" s="3116">
        <v>15</v>
      </c>
    </row>
    <row r="118" spans="1:6" ht="24">
      <c r="A118" s="3116">
        <v>46</v>
      </c>
      <c r="B118" s="3913" t="s">
        <v>2745</v>
      </c>
      <c r="C118" s="3116" t="s">
        <v>2746</v>
      </c>
      <c r="D118" s="3090" t="s">
        <v>2747</v>
      </c>
      <c r="E118" s="3116">
        <v>0.1</v>
      </c>
      <c r="F118" s="3116">
        <v>15</v>
      </c>
    </row>
    <row r="119" spans="1:6" ht="24">
      <c r="A119" s="3116">
        <v>47</v>
      </c>
      <c r="B119" s="3914"/>
      <c r="C119" s="3116" t="s">
        <v>2748</v>
      </c>
      <c r="D119" s="3090" t="s">
        <v>2749</v>
      </c>
      <c r="E119" s="3116">
        <v>0.1</v>
      </c>
      <c r="F119" s="3116">
        <v>15</v>
      </c>
    </row>
    <row r="120" spans="1:6" ht="13.5">
      <c r="A120" s="3116">
        <v>48</v>
      </c>
      <c r="B120" s="3913" t="s">
        <v>2750</v>
      </c>
      <c r="C120" s="3116" t="s">
        <v>2751</v>
      </c>
      <c r="D120" s="3090" t="s">
        <v>2752</v>
      </c>
      <c r="E120" s="3116">
        <v>0.1</v>
      </c>
      <c r="F120" s="3116">
        <v>15</v>
      </c>
    </row>
    <row r="121" spans="1:6" ht="13.5">
      <c r="A121" s="3116">
        <v>49</v>
      </c>
      <c r="B121" s="3914"/>
      <c r="C121" s="3116" t="s">
        <v>2753</v>
      </c>
      <c r="D121" s="3090" t="s">
        <v>2754</v>
      </c>
      <c r="E121" s="3116">
        <v>0.1</v>
      </c>
      <c r="F121" s="3116">
        <v>15</v>
      </c>
    </row>
    <row r="122" spans="1:6" ht="24">
      <c r="A122" s="3116">
        <v>50</v>
      </c>
      <c r="B122" s="3912" t="s">
        <v>2755</v>
      </c>
      <c r="C122" s="3116" t="s">
        <v>2756</v>
      </c>
      <c r="D122" s="3090" t="s">
        <v>2757</v>
      </c>
      <c r="E122" s="3116">
        <v>0.1</v>
      </c>
      <c r="F122" s="3116">
        <v>15</v>
      </c>
    </row>
    <row r="123" spans="1:6" ht="24">
      <c r="A123" s="3116">
        <v>51</v>
      </c>
      <c r="B123" s="3912"/>
      <c r="C123" s="3116" t="s">
        <v>2758</v>
      </c>
      <c r="D123" s="3090" t="s">
        <v>2759</v>
      </c>
      <c r="E123" s="3116">
        <v>0.1</v>
      </c>
      <c r="F123" s="3116">
        <v>15</v>
      </c>
    </row>
    <row r="124" spans="1:6" ht="24">
      <c r="A124" s="3116">
        <v>52</v>
      </c>
      <c r="B124" s="3912" t="s">
        <v>2760</v>
      </c>
      <c r="C124" s="3116" t="s">
        <v>2761</v>
      </c>
      <c r="D124" s="3090" t="s">
        <v>2762</v>
      </c>
      <c r="E124" s="3116">
        <v>0.1</v>
      </c>
      <c r="F124" s="3116">
        <v>15</v>
      </c>
    </row>
    <row r="125" spans="1:6" ht="24">
      <c r="A125" s="3116">
        <v>53</v>
      </c>
      <c r="B125" s="3912"/>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912" t="s">
        <v>2768</v>
      </c>
      <c r="C127" s="3116" t="s">
        <v>2769</v>
      </c>
      <c r="D127" s="3090" t="s">
        <v>2770</v>
      </c>
      <c r="E127" s="3116">
        <v>0.1</v>
      </c>
      <c r="F127" s="3116">
        <v>15</v>
      </c>
    </row>
    <row r="128" spans="1:6" ht="13.5">
      <c r="A128" s="3116">
        <v>56</v>
      </c>
      <c r="B128" s="3912"/>
      <c r="C128" s="3116" t="s">
        <v>2771</v>
      </c>
      <c r="D128" s="3090" t="s">
        <v>2772</v>
      </c>
      <c r="E128" s="3116">
        <v>0.1</v>
      </c>
      <c r="F128" s="3116">
        <v>15</v>
      </c>
    </row>
    <row r="129" spans="1:6" ht="24">
      <c r="A129" s="3116">
        <v>57</v>
      </c>
      <c r="B129" s="3912"/>
      <c r="C129" s="3116" t="s">
        <v>2773</v>
      </c>
      <c r="D129" s="3090" t="s">
        <v>2774</v>
      </c>
      <c r="E129" s="3116">
        <v>0.1</v>
      </c>
      <c r="F129" s="3116">
        <v>15</v>
      </c>
    </row>
    <row r="130" spans="1:6" ht="24">
      <c r="A130" s="3116">
        <v>58</v>
      </c>
      <c r="B130" s="3912" t="s">
        <v>2775</v>
      </c>
      <c r="C130" s="3116" t="s">
        <v>2776</v>
      </c>
      <c r="D130" s="3090" t="s">
        <v>2777</v>
      </c>
      <c r="E130" s="3116">
        <v>0.1</v>
      </c>
      <c r="F130" s="3116">
        <v>15</v>
      </c>
    </row>
    <row r="131" spans="1:6" ht="13.5">
      <c r="A131" s="3116">
        <v>59</v>
      </c>
      <c r="B131" s="3912"/>
      <c r="C131" s="3116" t="s">
        <v>2778</v>
      </c>
      <c r="D131" s="3090" t="s">
        <v>2779</v>
      </c>
      <c r="E131" s="3116">
        <v>0.1</v>
      </c>
      <c r="F131" s="3116">
        <v>15</v>
      </c>
    </row>
    <row r="132" spans="1:6" ht="13.5">
      <c r="A132" s="3116">
        <v>60</v>
      </c>
      <c r="B132" s="3913" t="s">
        <v>2780</v>
      </c>
      <c r="C132" s="3116" t="s">
        <v>2781</v>
      </c>
      <c r="D132" s="3090" t="s">
        <v>2782</v>
      </c>
      <c r="E132" s="3116">
        <v>0.1</v>
      </c>
      <c r="F132" s="3116">
        <v>15</v>
      </c>
    </row>
    <row r="133" spans="1:6" ht="13.5">
      <c r="A133" s="3116">
        <v>61</v>
      </c>
      <c r="B133" s="3914"/>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912" t="s">
        <v>2788</v>
      </c>
      <c r="C135" s="3116" t="s">
        <v>2789</v>
      </c>
      <c r="D135" s="3090" t="s">
        <v>2790</v>
      </c>
      <c r="E135" s="3116">
        <v>0.1</v>
      </c>
      <c r="F135" s="3116">
        <v>15</v>
      </c>
    </row>
    <row r="136" spans="1:6" ht="13.5">
      <c r="A136" s="3116">
        <v>64</v>
      </c>
      <c r="B136" s="3912"/>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4"/>
      <c r="C2" s="3554"/>
      <c r="D2" s="3554"/>
      <c r="E2" s="3554"/>
    </row>
    <row r="3" spans="1:5" ht="18">
      <c r="A3" s="3555" t="str">
        <f>IF(项目基本情况!B9="房地产市场价值","估价结果一览表（市场价值不需“结果表-1”）","估价结果一览表")</f>
        <v>估价结果一览表（市场价值不需“结果表-1”）</v>
      </c>
      <c r="B3" s="3555"/>
      <c r="C3" s="3555"/>
      <c r="D3" s="3555"/>
      <c r="E3" s="3555"/>
    </row>
    <row r="4" spans="1:5" ht="19.5" thickBot="1">
      <c r="A4" s="1493"/>
      <c r="B4" s="3553" t="s">
        <v>917</v>
      </c>
      <c r="C4" s="3553"/>
      <c r="D4" s="3553"/>
      <c r="E4" s="1493"/>
    </row>
    <row r="5" spans="1:5" ht="16.5" thickTop="1">
      <c r="A5" s="1491"/>
      <c r="B5" s="3551" t="s">
        <v>909</v>
      </c>
      <c r="C5" s="1494" t="s">
        <v>910</v>
      </c>
      <c r="D5" s="850" t="e">
        <f ca="1">结果表!H101</f>
        <v>#REF!</v>
      </c>
      <c r="E5" s="1491"/>
    </row>
    <row r="6" spans="1:5" ht="15.75">
      <c r="A6" s="1491"/>
      <c r="B6" s="3551"/>
      <c r="C6" s="1494" t="s">
        <v>911</v>
      </c>
      <c r="D6" s="850" t="e">
        <f ca="1">NUMBERSTRING(INT(D5*10000),2)&amp;"元整"</f>
        <v>#REF!</v>
      </c>
      <c r="E6" s="1491"/>
    </row>
    <row r="7" spans="1:5" ht="15.75">
      <c r="A7" s="1491"/>
      <c r="B7" s="3556"/>
      <c r="C7" s="1495" t="s">
        <v>912</v>
      </c>
      <c r="D7" s="851" t="e">
        <f ca="1">结果表!H102</f>
        <v>#REF!</v>
      </c>
      <c r="E7" s="1491"/>
    </row>
    <row r="8" spans="1:5" ht="15.75">
      <c r="A8" s="1491"/>
      <c r="B8" s="3557" t="str">
        <f>结果表!E103</f>
        <v>2.估价师知悉的法定优先受偿款</v>
      </c>
      <c r="C8" s="1496" t="s">
        <v>913</v>
      </c>
      <c r="D8" s="851">
        <f>结果表!H103</f>
        <v>0</v>
      </c>
      <c r="E8" s="1491"/>
    </row>
    <row r="9" spans="1:5" ht="15.75">
      <c r="A9" s="1491"/>
      <c r="B9" s="35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50" t="str">
        <f>结果表!E107</f>
        <v>3.房地产抵押价值</v>
      </c>
      <c r="C13" s="1499" t="s">
        <v>910</v>
      </c>
      <c r="D13" s="853" t="e">
        <f ca="1">结果表!H107</f>
        <v>#REF!</v>
      </c>
      <c r="E13" s="1491"/>
    </row>
    <row r="14" spans="1:5" ht="15.75">
      <c r="A14" s="1491"/>
      <c r="B14" s="3551"/>
      <c r="C14" s="1494" t="s">
        <v>911</v>
      </c>
      <c r="D14" s="850" t="e">
        <f ca="1">NUMBERSTRING(INT(D13*10000),2)&amp;"元整"</f>
        <v>#REF!</v>
      </c>
      <c r="E14" s="1491"/>
    </row>
    <row r="15" spans="1:5" ht="15">
      <c r="A15" s="1491"/>
      <c r="B15" s="3556"/>
      <c r="C15" s="1495" t="s">
        <v>921</v>
      </c>
      <c r="D15" s="859" t="e">
        <f ca="1">结果表!H108</f>
        <v>#REF!</v>
      </c>
      <c r="E15" s="1491"/>
    </row>
    <row r="16" spans="1:5" ht="15">
      <c r="A16" s="1491"/>
      <c r="B16" s="3557" t="str">
        <f>结果表!E109</f>
        <v>——</v>
      </c>
      <c r="C16" s="1499" t="s">
        <v>922</v>
      </c>
      <c r="D16" s="1500" t="str">
        <f>结果表!H109</f>
        <v>——</v>
      </c>
      <c r="E16" s="1491"/>
    </row>
    <row r="17" spans="1:5" ht="15.75">
      <c r="A17" s="1491"/>
      <c r="B17" s="3558"/>
      <c r="C17" s="1494" t="s">
        <v>923</v>
      </c>
      <c r="D17" s="850" t="e">
        <f>NUMBERSTRING(INT(D16*10000),2)&amp;"元整"</f>
        <v>#VALUE!</v>
      </c>
      <c r="E17" s="1491"/>
    </row>
    <row r="18" spans="1:5" ht="15">
      <c r="A18" s="1491"/>
      <c r="B18" s="3559"/>
      <c r="C18" s="1495" t="s">
        <v>912</v>
      </c>
      <c r="D18" s="859" t="str">
        <f>结果表!H110</f>
        <v>——</v>
      </c>
      <c r="E18" s="1491"/>
    </row>
    <row r="19" spans="1:5" ht="15.75">
      <c r="A19" s="1491"/>
      <c r="B19" s="3550" t="str">
        <f>结果表!E111</f>
        <v>——</v>
      </c>
      <c r="C19" s="1499" t="s">
        <v>910</v>
      </c>
      <c r="D19" s="851" t="str">
        <f>结果表!H111</f>
        <v>——</v>
      </c>
      <c r="E19" s="1491"/>
    </row>
    <row r="20" spans="1:5" ht="15.75">
      <c r="A20" s="1491"/>
      <c r="B20" s="3551"/>
      <c r="C20" s="1494" t="s">
        <v>923</v>
      </c>
      <c r="D20" s="850" t="e">
        <f>NUMBERSTRING(INT(D19*10000),2)&amp;"元整"</f>
        <v>#VALUE!</v>
      </c>
      <c r="E20" s="1491"/>
    </row>
    <row r="21" spans="1:5" ht="15.75" thickBot="1">
      <c r="A21" s="1491"/>
      <c r="B21" s="35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1</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0.95120000000000005</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28365</v>
      </c>
      <c r="C2" s="2" t="s">
        <v>106</v>
      </c>
      <c r="D2" s="199"/>
      <c r="E2" s="199"/>
      <c r="F2" s="199"/>
      <c r="G2" s="199"/>
    </row>
    <row r="3" spans="1:7" s="200" customFormat="1" ht="18" customHeight="1" thickBot="1">
      <c r="A3" s="203" t="s">
        <v>58</v>
      </c>
      <c r="B3" s="204">
        <f ca="1">ROUND(B2*10000/'数据-汇总表'!E3,0)</f>
        <v>788201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359.87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359.87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180</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359.87</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732" t="s">
        <v>94</v>
      </c>
    </row>
    <row r="43" spans="1:7" ht="13.5" customHeight="1">
      <c r="A43" s="780" t="s">
        <v>347</v>
      </c>
      <c r="B43" s="215" t="s">
        <v>426</v>
      </c>
      <c r="C43" s="238">
        <f ca="1">ROUND(IF('数据-取费表'!B22&lt;=1,C39*F22*'数据-取费表'!B21/2,C39*(POWER((1+F22),'数据-取费表'!B21/2)-1)),0)</f>
        <v>0</v>
      </c>
      <c r="D43" s="238"/>
      <c r="E43" s="238"/>
      <c r="F43" s="239"/>
      <c r="G43" s="3733"/>
    </row>
    <row r="44" spans="1:7" ht="13.5" customHeight="1">
      <c r="A44" s="780" t="s">
        <v>348</v>
      </c>
      <c r="B44" s="215" t="s">
        <v>428</v>
      </c>
      <c r="C44" s="238">
        <f ca="1">ROUND(IF('数据-取费表'!B22&lt;=1,C40*F22*'数据-取费表'!B21/2,C40*(POWER((1+F22),'数据-取费表'!B21/2)-1)),4)</f>
        <v>8.0000000000000004E-4</v>
      </c>
      <c r="D44" s="238"/>
      <c r="E44" s="238"/>
      <c r="F44" s="239"/>
      <c r="G44" s="3734"/>
    </row>
    <row r="45" spans="1:7" s="214" customFormat="1" ht="13.5" customHeight="1">
      <c r="A45" s="777" t="s">
        <v>341</v>
      </c>
      <c r="B45" s="244" t="s">
        <v>85</v>
      </c>
      <c r="C45" s="245">
        <f>C46</f>
        <v>30</v>
      </c>
      <c r="D45" s="235">
        <f>C47</f>
        <v>3.0000000000000001E-3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257</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249</v>
      </c>
      <c r="D51" s="232"/>
      <c r="E51" s="232"/>
      <c r="F51" s="264"/>
      <c r="G51" s="234" t="s">
        <v>37</v>
      </c>
    </row>
    <row r="52" spans="1:7" s="208" customFormat="1" ht="16.5" thickBot="1">
      <c r="A52" s="265" t="s">
        <v>38</v>
      </c>
      <c r="B52" s="266"/>
      <c r="C52" s="267">
        <f ca="1">C31+C51</f>
        <v>28365</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926" t="s">
        <v>2842</v>
      </c>
      <c r="B1" s="3926"/>
      <c r="C1" s="3926"/>
      <c r="D1" s="3926"/>
      <c r="E1" s="3926"/>
      <c r="F1" s="3926"/>
      <c r="G1" s="3927"/>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924" t="s">
        <v>2869</v>
      </c>
      <c r="B3" s="3228"/>
      <c r="C3" s="3229" t="s">
        <v>2810</v>
      </c>
      <c r="D3" s="3229" t="s">
        <v>2870</v>
      </c>
      <c r="E3" s="3229" t="s">
        <v>2812</v>
      </c>
      <c r="F3" s="3229" t="s">
        <v>2871</v>
      </c>
      <c r="G3" s="3229" t="s">
        <v>2630</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925"/>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928" t="s">
        <v>3184</v>
      </c>
      <c r="B1" s="3928"/>
    </row>
    <row r="2" spans="1:7" ht="14.25" thickBot="1">
      <c r="A2" s="3253"/>
      <c r="B2" s="3253"/>
    </row>
    <row r="3" spans="1:7" ht="14.25" thickBot="1">
      <c r="A3" s="3253"/>
      <c r="B3" s="3253"/>
      <c r="C3" s="3254" t="s">
        <v>2810</v>
      </c>
      <c r="D3" s="3254" t="s">
        <v>2870</v>
      </c>
      <c r="E3" s="3254" t="s">
        <v>2812</v>
      </c>
      <c r="F3" s="3254" t="s">
        <v>2871</v>
      </c>
      <c r="G3" s="3254" t="s">
        <v>2630</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929" t="s">
        <v>3235</v>
      </c>
      <c r="B1" s="3929"/>
      <c r="C1" s="3929"/>
      <c r="D1" s="3929"/>
      <c r="E1" s="3929"/>
      <c r="F1" s="3930"/>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45023</v>
      </c>
      <c r="B1" s="3208" t="s">
        <v>2841</v>
      </c>
      <c r="C1" s="3209"/>
      <c r="D1" s="3209"/>
      <c r="E1" s="3209"/>
      <c r="F1" s="3209"/>
      <c r="G1" s="3209"/>
      <c r="H1" s="3209"/>
      <c r="I1" s="3209"/>
      <c r="J1" s="3163"/>
      <c r="K1" s="3209" t="s">
        <v>454</v>
      </c>
      <c r="L1" s="3209"/>
      <c r="M1" s="3209"/>
      <c r="N1" s="3209"/>
      <c r="O1" s="3209"/>
      <c r="P1" s="3209"/>
      <c r="Q1" s="3163"/>
      <c r="R1" s="3931" t="s">
        <v>456</v>
      </c>
      <c r="S1" s="3932"/>
      <c r="T1" s="3932"/>
      <c r="U1" s="3932"/>
      <c r="V1" s="3932"/>
      <c r="W1" s="3932"/>
      <c r="X1" s="3163"/>
      <c r="Y1" s="3931" t="s">
        <v>457</v>
      </c>
      <c r="Z1" s="3932"/>
      <c r="AA1" s="3932"/>
      <c r="AB1" s="3932"/>
      <c r="AC1" s="3932"/>
      <c r="AD1" s="3932"/>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3371</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2819</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2820</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ROUND(IF([5]项目基本情况!B8="出让",SUMPRODUCT(PRODUCT(1+K9:K16)),SUMPRODUCT(PRODUCT(1+K9:K15))),4)</f>
        <v>1.0565</v>
      </c>
      <c r="S9" s="3190">
        <f>ROUND(IF([5]项目基本情况!B8="出让",SUMPRODUCT(PRODUCT(1+L9:L16)),SUMPRODUCT(PRODUCT(1+L9:L15))),4)</f>
        <v>1.0250999999999999</v>
      </c>
      <c r="T9" s="3190">
        <f>ROUND(IF([5]项目基本情况!B8="出让",SUMPRODUCT(PRODUCT(1+M9:M16)),SUMPRODUCT(PRODUCT(1+M9:M15))),4)</f>
        <v>1.0145</v>
      </c>
      <c r="U9" s="3190">
        <f>ROUND(IF([5]项目基本情况!B8="出让",SUMPRODUCT(PRODUCT(1+N9:N16)),SUMPRODUCT(PRODUCT(1+N9:N15))),4)</f>
        <v>1.0618000000000001</v>
      </c>
      <c r="V9" s="3190">
        <f>ROUND(IF([5]项目基本情况!B8="出让",SUMPRODUCT(PRODUCT(1+O9:O16)),SUMPRODUCT(PRODUCT(1+O9:O15))),4)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3366</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ROUND(IF([5]项目基本情况!B8="出让",SUMPRODUCT(PRODUCT(1+K10:K16)),SUMPRODUCT(PRODUCT(1+K10:K15))),4)</f>
        <v>1.05</v>
      </c>
      <c r="S10" s="3181">
        <f>ROUND(IF([5]项目基本情况!B8="出让",SUMPRODUCT(PRODUCT(1+L10:L16)),SUMPRODUCT(PRODUCT(1+L10:L15))),4)</f>
        <v>1.0229999999999999</v>
      </c>
      <c r="T10" s="3181">
        <f>ROUND(IF([5]项目基本情况!B8="出让",SUMPRODUCT(PRODUCT(1+M10:M16)),SUMPRODUCT(PRODUCT(1+M10:M15))),4)</f>
        <v>1.0134000000000001</v>
      </c>
      <c r="U10" s="3181">
        <f>ROUND(IF([5]项目基本情况!B8="出让",SUMPRODUCT(PRODUCT(1+N10:N16)),SUMPRODUCT(PRODUCT(1+N10:N15))),4)</f>
        <v>1.0545</v>
      </c>
      <c r="V10" s="3181">
        <f>ROUND(IF([5]项目基本情况!B8="出让",SUMPRODUCT(PRODUCT(1+O10:O16)),SUMPRODUCT(PRODUCT(1+O10:O15))),4)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3357</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ROUND(IF([5]项目基本情况!B8="出让",SUMPRODUCT(PRODUCT(1+K11:K16)),SUMPRODUCT(PRODUCT(1+K11:K15))),4)</f>
        <v>1.0430999999999999</v>
      </c>
      <c r="S11" s="3181">
        <f>ROUND(IF([5]项目基本情况!B8="出让",SUMPRODUCT(PRODUCT(1+L11:L16)),SUMPRODUCT(PRODUCT(1+L11:L15))),4)</f>
        <v>1.0197000000000001</v>
      </c>
      <c r="T11" s="3181">
        <f>ROUND(IF([5]项目基本情况!B8="出让",SUMPRODUCT(PRODUCT(1+M11:M16)),SUMPRODUCT(PRODUCT(1+M11:M15))),4)</f>
        <v>1.0109999999999999</v>
      </c>
      <c r="U11" s="3181">
        <f>ROUND(IF([5]项目基本情况!B8="出让",SUMPRODUCT(PRODUCT(1+N11:N16)),SUMPRODUCT(PRODUCT(1+N11:N15))),4)</f>
        <v>1.0468999999999999</v>
      </c>
      <c r="V11" s="3181">
        <f>ROUND(IF([5]项目基本情况!B8="出让",SUMPRODUCT(PRODUCT(1+O11:O16)),SUMPRODUCT(PRODUCT(1+O11:O15))),4)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2821</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ROUND(IF([5]项目基本情况!B8="出让",SUMPRODUCT(PRODUCT(1+K12:K16)),SUMPRODUCT(PRODUCT(1+K12:K15))),4)</f>
        <v>1.0335000000000001</v>
      </c>
      <c r="S12" s="3181">
        <f>ROUND(IF([5]项目基本情况!B8="出让",SUMPRODUCT(PRODUCT(1+L12:L16)),SUMPRODUCT(PRODUCT(1+L12:L15))),4)</f>
        <v>1.0182</v>
      </c>
      <c r="T12" s="3181">
        <f>ROUND(IF([5]项目基本情况!B8="出让",SUMPRODUCT(PRODUCT(1+M12:M16)),SUMPRODUCT(PRODUCT(1+M12:M15))),4)</f>
        <v>1.0108999999999999</v>
      </c>
      <c r="U12" s="3181">
        <f>ROUND(IF([5]项目基本情况!B8="出让",SUMPRODUCT(PRODUCT(1+N12:N16)),SUMPRODUCT(PRODUCT(1+N12:N15))),4)</f>
        <v>1.0361</v>
      </c>
      <c r="V12" s="3181">
        <f>ROUND(IF([5]项目基本情况!B8="出让",SUMPRODUCT(PRODUCT(1+O12:O16)),SUMPRODUCT(PRODUCT(1+O12:O15))),4)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2822</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ROUND(IF([5]项目基本情况!B8="出让",SUMPRODUCT(PRODUCT(1+K13:K16)),SUMPRODUCT(PRODUCT(1+K13:K15))),4)</f>
        <v>1.0244</v>
      </c>
      <c r="S13" s="3181">
        <f>ROUND(IF([5]项目基本情况!B8="出让",SUMPRODUCT(PRODUCT(1+L13:L16)),SUMPRODUCT(PRODUCT(1+L13:L15))),4)</f>
        <v>1.0138</v>
      </c>
      <c r="T13" s="3181">
        <f>ROUND(IF([5]项目基本情况!B8="出让",SUMPRODUCT(PRODUCT(1+M13:M16)),SUMPRODUCT(PRODUCT(1+M13:M15))),4)</f>
        <v>1.0072000000000001</v>
      </c>
      <c r="U13" s="3181">
        <f>ROUND(IF([5]项目基本情况!B8="出让",SUMPRODUCT(PRODUCT(1+N13:N16)),SUMPRODUCT(PRODUCT(1+N13:N15))),4)</f>
        <v>1.0262</v>
      </c>
      <c r="V13" s="3181">
        <f>ROUND(IF([5]项目基本情况!B8="出让",SUMPRODUCT(PRODUCT(1+O13:O16)),SUMPRODUCT(PRODUCT(1+O13:O15))),4)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2823</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ROUND(IF([5]项目基本情况!B8="出让",SUMPRODUCT(PRODUCT(1+K14:K16)),SUMPRODUCT(PRODUCT(1+K14:K15))),4)</f>
        <v>1.0139</v>
      </c>
      <c r="S14" s="3181">
        <f>ROUND(IF([5]项目基本情况!B8="出让",SUMPRODUCT(PRODUCT(1+L14:L16)),SUMPRODUCT(PRODUCT(1+L14:L15))),4)</f>
        <v>1.0113000000000001</v>
      </c>
      <c r="T14" s="3181">
        <f>ROUND(IF([5]项目基本情况!B8="出让",SUMPRODUCT(PRODUCT(1+M14:M16)),SUMPRODUCT(PRODUCT(1+M14:M15))),4)</f>
        <v>1.0065</v>
      </c>
      <c r="U14" s="3181">
        <f>ROUND(IF([5]项目基本情况!B8="出让",SUMPRODUCT(PRODUCT(1+N14:N16)),SUMPRODUCT(PRODUCT(1+N14:N15))),4)</f>
        <v>1.0143</v>
      </c>
      <c r="V14" s="3181">
        <f>ROUND(IF([5]项目基本情况!B8="出让",SUMPRODUCT(PRODUCT(1+O14:O16)),SUMPRODUCT(PRODUCT(1+O14:O15))),4)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2824</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ROUND(IF([5]项目基本情况!B8="出让",SUMPRODUCT(PRODUCT(1+K15:K16)),SUMPRODUCT(PRODUCT(1+K15:K15))),4)</f>
        <v>1.0092000000000001</v>
      </c>
      <c r="S15" s="3181">
        <f>ROUND(IF([5]项目基本情况!B8="出让",SUMPRODUCT(PRODUCT(1+L15:L16)),SUMPRODUCT(PRODUCT(1+L15:L15))),4)</f>
        <v>1.0072000000000001</v>
      </c>
      <c r="T15" s="3181">
        <f>ROUND(IF([5]项目基本情况!B8="出让",SUMPRODUCT(PRODUCT(1+M15:M16)),SUMPRODUCT(PRODUCT(1+M15:M15))),4)</f>
        <v>1.0041</v>
      </c>
      <c r="U15" s="3181">
        <f>ROUND(IF([5]项目基本情况!B8="出让",SUMPRODUCT(PRODUCT(1+N15:N16)),SUMPRODUCT(PRODUCT(1+N15:N15))),4)</f>
        <v>1.0095000000000001</v>
      </c>
      <c r="V15" s="3181">
        <f>ROUND(IF([5]项目基本情况!B8="出让",SUMPRODUCT(PRODUCT(1+O15:O16)),SUMPRODUCT(PRODUCT(1+O15:O15))),4)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2825</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5" t="s">
        <v>3369</v>
      </c>
    </row>
    <row r="19" spans="1:30" s="3007" customFormat="1">
      <c r="I19" s="3206" t="s">
        <v>2826</v>
      </c>
    </row>
    <row r="20" spans="1:30" s="3007" customFormat="1"/>
    <row r="21" spans="1:30" s="3207" customFormat="1" ht="12.75">
      <c r="B21" s="3208" t="s">
        <v>2827</v>
      </c>
      <c r="C21" s="3209"/>
      <c r="D21" s="3209"/>
      <c r="E21" s="3209"/>
      <c r="F21" s="3209"/>
      <c r="G21" s="3209"/>
      <c r="H21" s="3209"/>
      <c r="I21" s="3209"/>
      <c r="J21" s="3163"/>
      <c r="K21" s="3209" t="s">
        <v>2828</v>
      </c>
      <c r="L21" s="3209"/>
      <c r="M21" s="3209"/>
      <c r="N21" s="3209"/>
      <c r="O21" s="3209"/>
      <c r="P21" s="3209"/>
      <c r="Q21" s="3163"/>
      <c r="R21" s="3931" t="s">
        <v>2829</v>
      </c>
      <c r="S21" s="3932"/>
      <c r="T21" s="3932"/>
      <c r="U21" s="3932"/>
      <c r="V21" s="3932"/>
      <c r="W21" s="3932"/>
      <c r="X21" s="3163"/>
      <c r="Y21" s="3931" t="s">
        <v>2830</v>
      </c>
      <c r="Z21" s="3932"/>
      <c r="AA21" s="3932"/>
      <c r="AB21" s="3932"/>
      <c r="AC21" s="3932"/>
      <c r="AD21" s="3932"/>
    </row>
    <row r="22" spans="1:30" s="3141" customFormat="1" ht="14.25" thickBot="1">
      <c r="B22" s="3142"/>
      <c r="C22" s="3143"/>
      <c r="D22" s="3144" t="s">
        <v>2831</v>
      </c>
      <c r="E22" s="3145" t="s">
        <v>2832</v>
      </c>
      <c r="F22" s="3145" t="s">
        <v>2833</v>
      </c>
      <c r="G22" s="3145" t="s">
        <v>2834</v>
      </c>
      <c r="H22" s="3145"/>
      <c r="I22" s="3145" t="s">
        <v>2835</v>
      </c>
      <c r="J22" s="3146"/>
      <c r="K22" s="3144" t="s">
        <v>2831</v>
      </c>
      <c r="L22" s="3145" t="s">
        <v>2832</v>
      </c>
      <c r="M22" s="3145" t="s">
        <v>2833</v>
      </c>
      <c r="N22" s="3145" t="s">
        <v>2834</v>
      </c>
      <c r="O22" s="3145"/>
      <c r="P22" s="3145" t="s">
        <v>2835</v>
      </c>
      <c r="Q22" s="3146"/>
      <c r="R22" s="3144" t="s">
        <v>2831</v>
      </c>
      <c r="S22" s="3145" t="s">
        <v>2832</v>
      </c>
      <c r="T22" s="3145" t="s">
        <v>2833</v>
      </c>
      <c r="U22" s="3145" t="s">
        <v>2834</v>
      </c>
      <c r="V22" s="3145"/>
      <c r="W22" s="3145" t="s">
        <v>2835</v>
      </c>
      <c r="X22" s="3146"/>
      <c r="Y22" s="3144" t="s">
        <v>2831</v>
      </c>
      <c r="Z22" s="3145" t="s">
        <v>2832</v>
      </c>
      <c r="AA22" s="3145" t="s">
        <v>2833</v>
      </c>
      <c r="AB22" s="3145" t="s">
        <v>2834</v>
      </c>
      <c r="AC22" s="3145"/>
      <c r="AD22" s="3145" t="s">
        <v>2835</v>
      </c>
    </row>
    <row r="23" spans="1:30" s="3159" customFormat="1" ht="12.75">
      <c r="A23" s="3147" t="s">
        <v>2836</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ROUND(IF([5]项目基本情况!$B$8="出让",SUMPRODUCT(PRODUCT(1+L25:L$36)),SUMPRODUCT(PRODUCT(1+L25:L$35))),4)</f>
        <v>1.0286999999999999</v>
      </c>
      <c r="T25" s="3181">
        <f>ROUND(IF([5]项目基本情况!$B$8="出让",SUMPRODUCT(PRODUCT(1+M25:M$36)),SUMPRODUCT(PRODUCT(1+M25:M$35))),4)</f>
        <v>1.0164</v>
      </c>
      <c r="U25" s="3181">
        <f>ROUND(IF([5]项目基本情况!$B$8="出让",SUMPRODUCT(PRODUCT(1+N25:N$36)),SUMPRODUCT(PRODUCT(1+N25:N$35))),4)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ROUND(IF([5]项目基本情况!$B$8="出让",SUMPRODUCT(PRODUCT(1+L26:L$36)),SUMPRODUCT(PRODUCT(1+L26:L$35))),4)</f>
        <v>1.0286999999999999</v>
      </c>
      <c r="T26" s="3181">
        <f>ROUND(IF([5]项目基本情况!$B$8="出让",SUMPRODUCT(PRODUCT(1+M26:M$36)),SUMPRODUCT(PRODUCT(1+M26:M$35))),4)</f>
        <v>1.0164</v>
      </c>
      <c r="U26" s="3181">
        <f>ROUND(IF([5]项目基本情况!$B$8="出让",SUMPRODUCT(PRODUCT(1+N26:N$36)),SUMPRODUCT(PRODUCT(1+N26:N$35))),4)</f>
        <v>1.0506</v>
      </c>
      <c r="V26" s="3181"/>
      <c r="W26" s="3181">
        <f t="shared" ref="W26:W28" si="32">T26</f>
        <v>1.0164</v>
      </c>
      <c r="X26" s="3179"/>
      <c r="Y26" s="3182"/>
      <c r="Z26" s="3210"/>
      <c r="AA26" s="3446"/>
      <c r="AB26" s="3446"/>
      <c r="AC26" s="3211"/>
      <c r="AD26" s="3182"/>
    </row>
    <row r="27" spans="1:30" s="3183" customFormat="1" ht="12.75">
      <c r="A27" s="3174" t="s">
        <v>3371</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ROUND(IF([5]项目基本情况!$B$8="出让",SUMPRODUCT(PRODUCT(1+L27:L$36)),SUMPRODUCT(PRODUCT(1+L27:L$35))),4)</f>
        <v>1.0286999999999999</v>
      </c>
      <c r="T27" s="3181">
        <f>ROUND(IF([5]项目基本情况!$B$8="出让",SUMPRODUCT(PRODUCT(1+M27:M$36)),SUMPRODUCT(PRODUCT(1+M27:M$35))),4)</f>
        <v>1.0164</v>
      </c>
      <c r="U27" s="3181">
        <f>ROUND(IF([5]项目基本情况!$B$8="出让",SUMPRODUCT(PRODUCT(1+N27:N$36)),SUMPRODUCT(PRODUCT(1+N27:N$35))),4)</f>
        <v>1.0506</v>
      </c>
      <c r="V27" s="3181"/>
      <c r="W27" s="3181">
        <f t="shared" si="32"/>
        <v>1.0164</v>
      </c>
      <c r="X27" s="3179"/>
      <c r="Y27" s="3182"/>
      <c r="Z27" s="3210"/>
      <c r="AA27" s="3446"/>
      <c r="AB27" s="3446"/>
      <c r="AC27" s="3211"/>
      <c r="AD27" s="3182"/>
    </row>
    <row r="28" spans="1:30" s="3183" customFormat="1" ht="12.75">
      <c r="A28" s="3174" t="s">
        <v>2819</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ROUND(IF([5]项目基本情况!$B$8="出让",SUMPRODUCT(PRODUCT(1+L28:L$36)),SUMPRODUCT(PRODUCT(1+L28:L$35))),4)</f>
        <v>1.0286999999999999</v>
      </c>
      <c r="T28" s="3181">
        <f>ROUND(IF([5]项目基本情况!$B$8="出让",SUMPRODUCT(PRODUCT(1+M28:M$36)),SUMPRODUCT(PRODUCT(1+M28:M$35))),4)</f>
        <v>1.0164</v>
      </c>
      <c r="U28" s="3181">
        <f>ROUND(IF([5]项目基本情况!$B$8="出让",SUMPRODUCT(PRODUCT(1+N28:N$36)),SUMPRODUCT(PRODUCT(1+N28:N$35))),4)</f>
        <v>1.0506</v>
      </c>
      <c r="V28" s="3181"/>
      <c r="W28" s="3181">
        <f t="shared" si="32"/>
        <v>1.0164</v>
      </c>
      <c r="X28" s="3179"/>
      <c r="Y28" s="3182"/>
      <c r="Z28" s="3210"/>
      <c r="AA28" s="3446"/>
      <c r="AB28" s="3446"/>
      <c r="AC28" s="3211"/>
      <c r="AD28" s="3182"/>
    </row>
    <row r="29" spans="1:30" s="3193" customFormat="1" ht="12.75">
      <c r="A29" s="3184" t="s">
        <v>3367</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ROUND(IF([5]项目基本情况!$B$8="出让",SUMPRODUCT(PRODUCT(1+L29:L$36)),SUMPRODUCT(PRODUCT(1+L29:L$35))),4)</f>
        <v>1.0286999999999999</v>
      </c>
      <c r="T29" s="3190">
        <f>ROUND(IF([5]项目基本情况!$B$8="出让",SUMPRODUCT(PRODUCT(1+M29:M$36)),SUMPRODUCT(PRODUCT(1+M29:M$35))),4)</f>
        <v>1.0164</v>
      </c>
      <c r="U29" s="3190">
        <f>ROUND(IF([5]项目基本情况!$B$8="出让",SUMPRODUCT(PRODUCT(1+N29:N$36)),SUMPRODUCT(PRODUCT(1+N29:N$35))),4)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ROUND(IF([5]项目基本情况!$B$8="出让",SUMPRODUCT(PRODUCT(1+L30:L$36)),SUMPRODUCT(PRODUCT(1+L30:L$35))),4)</f>
        <v>1.0241</v>
      </c>
      <c r="T30" s="3181">
        <f>ROUND(IF([5]项目基本情况!$B$8="出让",SUMPRODUCT(PRODUCT(1+M30:M$36)),SUMPRODUCT(PRODUCT(1+M30:M$35))),4)</f>
        <v>1.0144</v>
      </c>
      <c r="U30" s="3181">
        <f>ROUND(IF([5]项目基本情况!$B$8="出让",SUMPRODUCT(PRODUCT(1+N30:N$36)),SUMPRODUCT(PRODUCT(1+N30:N$35))),4)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3357</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ROUND(IF([5]项目基本情况!$B$8="出让",SUMPRODUCT(PRODUCT(1+L31:L$36)),SUMPRODUCT(PRODUCT(1+L31:L$35))),4)</f>
        <v>1.0210999999999999</v>
      </c>
      <c r="T31" s="3181">
        <f>ROUND(IF([5]项目基本情况!$B$8="出让",SUMPRODUCT(PRODUCT(1+M31:M$36)),SUMPRODUCT(PRODUCT(1+M31:M$35))),4)</f>
        <v>1.0114000000000001</v>
      </c>
      <c r="U31" s="3181">
        <f>ROUND(IF([5]项目基本情况!$B$8="出让",SUMPRODUCT(PRODUCT(1+N31:N$36)),SUMPRODUCT(PRODUCT(1+N31:N$35))),4)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2837</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ROUND(IF([5]项目基本情况!$B$8="出让",SUMPRODUCT(PRODUCT(1+L32:L$36)),SUMPRODUCT(PRODUCT(1+L32:L$35))),4)</f>
        <v>1.0222</v>
      </c>
      <c r="T32" s="3181">
        <f>ROUND(IF([5]项目基本情况!$B$8="出让",SUMPRODUCT(PRODUCT(1+M32:M$36)),SUMPRODUCT(PRODUCT(1+M32:M$35))),4)</f>
        <v>1.0127999999999999</v>
      </c>
      <c r="U32" s="3181">
        <f>ROUND(IF([5]项目基本情况!$B$8="出让",SUMPRODUCT(PRODUCT(1+N32:N$36)),SUMPRODUCT(PRODUCT(1+N32:N$35))),4)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2838</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ROUND(IF([5]项目基本情况!$B$8="出让",SUMPRODUCT(PRODUCT(1+L33:L$36)),SUMPRODUCT(PRODUCT(1+L33:L$35))),4)</f>
        <v>1.0161</v>
      </c>
      <c r="T33" s="3181">
        <f>ROUND(IF([5]项目基本情况!$B$8="出让",SUMPRODUCT(PRODUCT(1+M33:M$36)),SUMPRODUCT(PRODUCT(1+M33:M$35))),4)</f>
        <v>1.0082</v>
      </c>
      <c r="U33" s="3181">
        <f>ROUND(IF([5]项目基本情况!$B$8="出让",SUMPRODUCT(PRODUCT(1+N33:N$36)),SUMPRODUCT(PRODUCT(1+N33:N$35))),4)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2839</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ROUND(IF([5]项目基本情况!$B$8="出让",SUMPRODUCT(PRODUCT(1+L34:L$36)),SUMPRODUCT(PRODUCT(1+L34:L$35))),4)</f>
        <v>1.0102</v>
      </c>
      <c r="T34" s="3181">
        <f>ROUND(IF([5]项目基本情况!$B$8="出让",SUMPRODUCT(PRODUCT(1+M34:M$36)),SUMPRODUCT(PRODUCT(1+M34:M$35))),4)</f>
        <v>1.0074000000000001</v>
      </c>
      <c r="U34" s="3181">
        <f>ROUND(IF([5]项目基本情况!$B$8="出让",SUMPRODUCT(PRODUCT(1+N34:N$36)),SUMPRODUCT(PRODUCT(1+N34:N$35))),4)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2840</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ROUND(IF([5]项目基本情况!$B$8="出让",SUMPRODUCT(PRODUCT(1+L35:L$36)),SUMPRODUCT(PRODUCT(1+L35:L$35))),4)</f>
        <v>1.0055000000000001</v>
      </c>
      <c r="T35" s="3181">
        <f>ROUND(IF([5]项目基本情况!$B$8="出让",SUMPRODUCT(PRODUCT(1+M35:M$36)),SUMPRODUCT(PRODUCT(1+M35:M$35))),4)</f>
        <v>1.0045999999999999</v>
      </c>
      <c r="U35" s="3181">
        <f>ROUND(IF([5]项目基本情况!$B$8="出让",SUMPRODUCT(PRODUCT(1+N35:N$36)),SUMPRODUCT(PRODUCT(1+N35:N$35))),4)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2825</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5"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38" t="s">
        <v>452</v>
      </c>
      <c r="C1" s="3938"/>
      <c r="D1" s="3938"/>
      <c r="E1" s="3938"/>
      <c r="F1" s="3938"/>
      <c r="G1" s="3937" t="s">
        <v>453</v>
      </c>
      <c r="H1" s="3937"/>
      <c r="I1" s="3937"/>
      <c r="J1" s="3937"/>
      <c r="K1" s="3937"/>
      <c r="L1" s="3937"/>
      <c r="N1" s="3937" t="s">
        <v>454</v>
      </c>
      <c r="O1" s="3937"/>
      <c r="P1" s="3937"/>
      <c r="Q1" s="3937"/>
      <c r="S1" s="3937" t="s">
        <v>455</v>
      </c>
      <c r="T1" s="3937"/>
      <c r="U1" s="3937"/>
      <c r="V1" s="3937"/>
      <c r="X1" s="3936" t="s">
        <v>456</v>
      </c>
      <c r="Y1" s="3937"/>
      <c r="Z1" s="3937"/>
      <c r="AA1" s="3937"/>
      <c r="AB1" s="3937"/>
      <c r="AD1" s="3936" t="s">
        <v>457</v>
      </c>
      <c r="AE1" s="3937"/>
      <c r="AF1" s="3937"/>
      <c r="AG1" s="3937"/>
      <c r="AH1" s="393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3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3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3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4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3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3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3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4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3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3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3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3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3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3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3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3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3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3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3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3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4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4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4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4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3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3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3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3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3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3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3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3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3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3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3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3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3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3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3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3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3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3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3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3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3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3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3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3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3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3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3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3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3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3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3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3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3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3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3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3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3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3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3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3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3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3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3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3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2309</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M5"/>
  <sheetViews>
    <sheetView zoomScale="80" zoomScaleNormal="80" workbookViewId="0">
      <selection activeCell="I5" sqref="I5"/>
    </sheetView>
  </sheetViews>
  <sheetFormatPr defaultColWidth="8.875" defaultRowHeight="13.5"/>
  <cols>
    <col min="1" max="7" width="8.875" style="3543"/>
    <col min="8" max="8" width="10.5" style="3543" bestFit="1" customWidth="1"/>
    <col min="9" max="16384" width="8.875" style="3543"/>
  </cols>
  <sheetData>
    <row r="1" spans="6:13">
      <c r="G1" s="3543" t="s">
        <v>3583</v>
      </c>
      <c r="H1" s="3543" t="s">
        <v>3584</v>
      </c>
      <c r="I1" s="3543" t="s">
        <v>3585</v>
      </c>
      <c r="J1" s="3543" t="s">
        <v>3586</v>
      </c>
    </row>
    <row r="2" spans="6:13">
      <c r="F2" s="3543" t="s">
        <v>3587</v>
      </c>
      <c r="G2" s="3543">
        <v>222</v>
      </c>
      <c r="H2" s="3544">
        <v>44833</v>
      </c>
      <c r="I2" s="3543">
        <v>44538</v>
      </c>
      <c r="J2" s="3543" t="s">
        <v>3588</v>
      </c>
    </row>
    <row r="3" spans="6:13">
      <c r="F3" s="3543" t="s">
        <v>3589</v>
      </c>
      <c r="G3" s="3543">
        <v>110</v>
      </c>
      <c r="H3" s="3544">
        <v>45015</v>
      </c>
      <c r="I3" s="3543">
        <v>50000</v>
      </c>
      <c r="J3" s="3543" t="s">
        <v>3588</v>
      </c>
    </row>
    <row r="4" spans="6:13">
      <c r="F4" s="3543" t="s">
        <v>3590</v>
      </c>
      <c r="G4" s="3543">
        <v>150</v>
      </c>
      <c r="H4" s="3545">
        <v>45017</v>
      </c>
      <c r="I4" s="3543">
        <v>50000</v>
      </c>
      <c r="J4" s="3543" t="s">
        <v>3591</v>
      </c>
      <c r="L4" s="3543">
        <v>500000</v>
      </c>
      <c r="M4" s="3543">
        <f>ROUND(L4/G4/365,1)</f>
        <v>9.1</v>
      </c>
    </row>
    <row r="5" spans="6:13">
      <c r="F5" t="s">
        <v>3594</v>
      </c>
      <c r="G5">
        <v>150.84</v>
      </c>
      <c r="H5"/>
      <c r="I5">
        <f>ROUND(9500000/G5,0)</f>
        <v>62981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7" t="str">
        <f>IF(项目基本情况!B9="房地产市场价值","估价结果一览表","结果表-2")</f>
        <v>估价结果一览表</v>
      </c>
      <c r="B1" s="3567"/>
      <c r="C1" s="3567"/>
      <c r="D1" s="3567"/>
      <c r="E1" s="3567"/>
      <c r="F1" s="3567"/>
      <c r="G1" s="3567"/>
      <c r="H1" s="3567"/>
      <c r="I1" s="3567"/>
    </row>
    <row r="2" spans="1:9" ht="30" customHeight="1" thickTop="1">
      <c r="A2" s="3568" t="s">
        <v>928</v>
      </c>
      <c r="B2" s="3568" t="s">
        <v>929</v>
      </c>
      <c r="C2" s="3568" t="s">
        <v>930</v>
      </c>
      <c r="D2" s="3568" t="str">
        <f>结果表!D116</f>
        <v>出让国有建设用地使用权价值</v>
      </c>
      <c r="E2" s="3568"/>
      <c r="F2" s="3568" t="str">
        <f>结果表!F116</f>
        <v>在建建筑物价值</v>
      </c>
      <c r="G2" s="3568"/>
      <c r="H2" s="3568" t="str">
        <f>IF(项目基本情况!B9="房地产市场价值","房地产市场价值","房地产价值")</f>
        <v>房地产市场价值</v>
      </c>
      <c r="I2" s="3568"/>
    </row>
    <row r="3" spans="1:9" ht="15">
      <c r="A3" s="3563"/>
      <c r="B3" s="3563"/>
      <c r="C3" s="3563"/>
      <c r="D3" s="854" t="s">
        <v>925</v>
      </c>
      <c r="E3" s="854" t="s">
        <v>931</v>
      </c>
      <c r="F3" s="854" t="s">
        <v>925</v>
      </c>
      <c r="G3" s="854" t="s">
        <v>926</v>
      </c>
      <c r="H3" s="854" t="s">
        <v>925</v>
      </c>
      <c r="I3" s="854" t="s">
        <v>926</v>
      </c>
    </row>
    <row r="4" spans="1:9" ht="15">
      <c r="A4" s="1505" t="str">
        <f>项目基本情况!S2</f>
        <v>北京市房地产</v>
      </c>
      <c r="B4" s="854">
        <f>项目基本情况!C17</f>
        <v>359.87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3" t="s">
        <v>927</v>
      </c>
      <c r="B5" s="3563"/>
      <c r="C5" s="3563"/>
      <c r="D5" s="3563" t="e">
        <f ca="1">结果表!D119</f>
        <v>#REF!</v>
      </c>
      <c r="E5" s="3563"/>
      <c r="F5" s="3563" t="e">
        <f ca="1">结果表!F119</f>
        <v>#REF!</v>
      </c>
      <c r="G5" s="3563"/>
      <c r="H5" s="3563" t="e">
        <f ca="1">结果表!H119</f>
        <v>#REF!</v>
      </c>
      <c r="I5" s="3563"/>
    </row>
    <row r="6" spans="1:9" ht="15.75">
      <c r="A6" s="3562" t="str">
        <f>结果表!A120</f>
        <v/>
      </c>
      <c r="B6" s="3562"/>
      <c r="C6" s="3562"/>
      <c r="D6" s="3562">
        <f>结果表!D120</f>
        <v>0</v>
      </c>
      <c r="E6" s="3562"/>
      <c r="F6" s="3562"/>
      <c r="G6" s="3562"/>
      <c r="H6" s="3562"/>
      <c r="I6" s="3562"/>
    </row>
    <row r="7" spans="1:9" ht="15">
      <c r="A7" s="3563" t="s">
        <v>927</v>
      </c>
      <c r="B7" s="3563"/>
      <c r="C7" s="3563"/>
      <c r="D7" s="3564" t="str">
        <f>结果表!D121</f>
        <v>零元整</v>
      </c>
      <c r="E7" s="3565"/>
      <c r="F7" s="3565"/>
      <c r="G7" s="3565"/>
      <c r="H7" s="3565"/>
      <c r="I7" s="3566"/>
    </row>
    <row r="8" spans="1:9" ht="15.75">
      <c r="A8" s="3562" t="str">
        <f>结果表!A122</f>
        <v/>
      </c>
      <c r="B8" s="3562"/>
      <c r="C8" s="3562"/>
      <c r="D8" s="3562" t="e">
        <f ca="1">结果表!D122</f>
        <v>#REF!</v>
      </c>
      <c r="E8" s="3562"/>
      <c r="F8" s="3562"/>
      <c r="G8" s="3562"/>
      <c r="H8" s="3562"/>
      <c r="I8" s="3562"/>
    </row>
    <row r="9" spans="1:9" ht="15">
      <c r="A9" s="3563" t="s">
        <v>927</v>
      </c>
      <c r="B9" s="3563"/>
      <c r="C9" s="3563"/>
      <c r="D9" s="3563" t="e">
        <f ca="1">结果表!D123</f>
        <v>#REF!</v>
      </c>
      <c r="E9" s="3563"/>
      <c r="F9" s="3563"/>
      <c r="G9" s="3563"/>
      <c r="H9" s="3563"/>
      <c r="I9" s="3563"/>
    </row>
    <row r="10" spans="1:9" ht="15.75">
      <c r="A10" s="3562" t="str">
        <f>结果表!A124</f>
        <v/>
      </c>
      <c r="B10" s="3562"/>
      <c r="C10" s="3562"/>
      <c r="D10" s="3562" t="str">
        <f>结果表!D124</f>
        <v>——</v>
      </c>
      <c r="E10" s="3562"/>
      <c r="F10" s="3562"/>
      <c r="G10" s="3562"/>
      <c r="H10" s="3562"/>
      <c r="I10" s="3562"/>
    </row>
    <row r="11" spans="1:9" ht="15">
      <c r="A11" s="3563" t="s">
        <v>927</v>
      </c>
      <c r="B11" s="3563"/>
      <c r="C11" s="3563"/>
      <c r="D11" s="3563" t="e">
        <f>结果表!D125</f>
        <v>#VALUE!</v>
      </c>
      <c r="E11" s="3563"/>
      <c r="F11" s="3563"/>
      <c r="G11" s="3563"/>
      <c r="H11" s="3563"/>
      <c r="I11" s="3563"/>
    </row>
    <row r="12" spans="1:9" ht="15.75">
      <c r="A12" s="3562" t="str">
        <f>结果表!A126</f>
        <v/>
      </c>
      <c r="B12" s="3562"/>
      <c r="C12" s="3562"/>
      <c r="D12" s="3562" t="str">
        <f>结果表!D126</f>
        <v>——</v>
      </c>
      <c r="E12" s="3562"/>
      <c r="F12" s="3562"/>
      <c r="G12" s="3562"/>
      <c r="H12" s="3562"/>
      <c r="I12" s="3562"/>
    </row>
    <row r="13" spans="1:9" ht="15.75" thickBot="1">
      <c r="A13" s="3560" t="s">
        <v>927</v>
      </c>
      <c r="B13" s="3560"/>
      <c r="C13" s="3560"/>
      <c r="D13" s="3560" t="e">
        <f>结果表!D127</f>
        <v>#VALUE!</v>
      </c>
      <c r="E13" s="3560"/>
      <c r="F13" s="3560"/>
      <c r="G13" s="3560"/>
      <c r="H13" s="3560"/>
      <c r="I13" s="3560"/>
    </row>
    <row r="14" spans="1:9" ht="15" thickTop="1">
      <c r="A14" s="3561" t="s">
        <v>932</v>
      </c>
      <c r="B14" s="3561"/>
      <c r="C14" s="3561"/>
      <c r="D14" s="3561"/>
      <c r="E14" s="3561"/>
      <c r="F14" s="3561"/>
      <c r="G14" s="3561"/>
      <c r="H14" s="3561"/>
      <c r="I14" s="35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5" t="s">
        <v>949</v>
      </c>
      <c r="B1" s="3575"/>
      <c r="C1" s="3575"/>
      <c r="D1" s="3575"/>
    </row>
    <row r="2" spans="1:4" ht="18">
      <c r="A2" s="3576" t="s">
        <v>933</v>
      </c>
      <c r="B2" s="3576"/>
      <c r="C2" s="3576"/>
      <c r="D2" s="35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76" t="s">
        <v>939</v>
      </c>
      <c r="B6" s="3576"/>
      <c r="C6" s="3576"/>
      <c r="D6" s="35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7" t="s">
        <v>942</v>
      </c>
      <c r="B11" s="3569"/>
      <c r="C11" s="3569"/>
      <c r="D11" s="3569"/>
    </row>
    <row r="12" spans="1:4" ht="15.75">
      <c r="A12" s="35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4"/>
      <c r="C12" s="3574"/>
      <c r="D12" s="3574"/>
    </row>
    <row r="13" spans="1:4" ht="30" customHeight="1">
      <c r="A13" s="3569" t="str">
        <f>IF(项目基本情况!B8="抵押","3.抵押双方在办理抵押登记手续时，应使用本公司出具的正式《房地产评估报告》，特提醒报告使用者注意。","——")</f>
        <v>——</v>
      </c>
      <c r="B13" s="3574"/>
      <c r="C13" s="3574"/>
      <c r="D13" s="3574"/>
    </row>
    <row r="14" spans="1:4" ht="15.75" customHeight="1">
      <c r="A14" s="3569" t="str">
        <f>IF(项目基本情况!B8="抵押","4.本次评估估价师所知悉的法定优先受偿款情况说明如下：","——")</f>
        <v>——</v>
      </c>
      <c r="B14" s="3574"/>
      <c r="C14" s="3574"/>
      <c r="D14" s="3574"/>
    </row>
    <row r="15" spans="1:4" ht="42" customHeight="1">
      <c r="A15" s="3569" t="str">
        <f>IF(项目基本情况!B8="抵押","（1）"&amp;CONCATENATE(项目基本情况!L20,项目基本情况!L21,项目基本情况!L22),"——")</f>
        <v>——</v>
      </c>
      <c r="B15" s="3569"/>
      <c r="C15" s="3569"/>
      <c r="D15" s="3569"/>
    </row>
    <row r="16" spans="1:4" ht="30" customHeight="1">
      <c r="A16" s="3571" t="s">
        <v>943</v>
      </c>
      <c r="B16" s="3571"/>
      <c r="C16" s="3571"/>
      <c r="D16" s="3571"/>
    </row>
    <row r="17" spans="1:4" ht="144" customHeight="1">
      <c r="A17" s="3571" t="s">
        <v>944</v>
      </c>
      <c r="B17" s="3571"/>
      <c r="C17" s="3571"/>
      <c r="D17" s="3571"/>
    </row>
    <row r="18" spans="1:4" ht="15.75" customHeight="1">
      <c r="A18" s="3569" t="str">
        <f>IF(项目基本情况!B8="抵押",结果表!K120,"——")</f>
        <v>——</v>
      </c>
      <c r="B18" s="3569"/>
      <c r="C18" s="3569"/>
      <c r="D18" s="3569"/>
    </row>
    <row r="19" spans="1:4" ht="46.5" customHeight="1">
      <c r="A19" s="35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9"/>
      <c r="C19" s="3569"/>
      <c r="D19" s="3569"/>
    </row>
    <row r="20" spans="1:4" ht="57.75" customHeight="1">
      <c r="A20" s="35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9"/>
      <c r="C20" s="3569"/>
      <c r="D20" s="3569"/>
    </row>
    <row r="21" spans="1:4" ht="57.75" customHeight="1">
      <c r="A21" s="35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2"/>
      <c r="C21" s="3572"/>
      <c r="D21" s="3572"/>
    </row>
    <row r="22" spans="1:4" ht="18.75" customHeight="1">
      <c r="A22" s="3573" t="s">
        <v>945</v>
      </c>
      <c r="B22" s="3573"/>
      <c r="C22" s="3573"/>
      <c r="D22" s="35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70">
        <v>42551</v>
      </c>
      <c r="D31" s="35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3" t="s">
        <v>956</v>
      </c>
      <c r="B15" s="3578" t="s">
        <v>109</v>
      </c>
      <c r="C15" s="3579"/>
    </row>
    <row r="16" spans="1:7" ht="13.5">
      <c r="A16" s="3584"/>
      <c r="B16" s="3578" t="s">
        <v>42</v>
      </c>
      <c r="C16" s="3579"/>
    </row>
    <row r="17" spans="1:3" ht="13.5">
      <c r="A17" s="3584"/>
      <c r="B17" s="3581" t="s">
        <v>957</v>
      </c>
      <c r="C17" s="1532" t="s">
        <v>956</v>
      </c>
    </row>
    <row r="18" spans="1:3" ht="13.5">
      <c r="A18" s="3584"/>
      <c r="B18" s="3581"/>
      <c r="C18" s="1532" t="s">
        <v>958</v>
      </c>
    </row>
    <row r="19" spans="1:3" ht="13.5">
      <c r="A19" s="3584"/>
      <c r="B19" s="3581"/>
      <c r="C19" s="1532" t="s">
        <v>959</v>
      </c>
    </row>
    <row r="20" spans="1:3" ht="13.5">
      <c r="A20" s="3585"/>
      <c r="B20" s="3580" t="s">
        <v>960</v>
      </c>
      <c r="C20" s="3579"/>
    </row>
    <row r="21" spans="1:3" ht="13.5">
      <c r="A21" s="1533" t="s">
        <v>961</v>
      </c>
      <c r="B21" s="1534"/>
      <c r="C21" s="1535"/>
    </row>
    <row r="22" spans="1:3" ht="13.5">
      <c r="A22" s="3582" t="s">
        <v>962</v>
      </c>
      <c r="B22" s="3580" t="s">
        <v>963</v>
      </c>
      <c r="C22" s="3579"/>
    </row>
    <row r="23" spans="1:3" ht="13.5">
      <c r="A23" s="3582"/>
      <c r="B23" s="3580" t="s">
        <v>964</v>
      </c>
      <c r="C23" s="3579"/>
    </row>
    <row r="24" spans="1:3" ht="13.5">
      <c r="A24" s="3582"/>
      <c r="B24" s="3580" t="s">
        <v>965</v>
      </c>
      <c r="C24" s="3579"/>
    </row>
    <row r="25" spans="1:3" ht="13.5">
      <c r="A25" s="3582"/>
      <c r="B25" s="3581" t="s">
        <v>966</v>
      </c>
      <c r="C25" s="1532" t="s">
        <v>967</v>
      </c>
    </row>
    <row r="26" spans="1:3" ht="13.5">
      <c r="A26" s="3582"/>
      <c r="B26" s="3581"/>
      <c r="C26" s="1532" t="s">
        <v>968</v>
      </c>
    </row>
    <row r="27" spans="1:3" ht="13.5">
      <c r="A27" s="3582"/>
      <c r="B27" s="3581"/>
      <c r="C27" s="1532" t="s">
        <v>969</v>
      </c>
    </row>
    <row r="28" spans="1:3" ht="13.5">
      <c r="A28" s="3582"/>
      <c r="B28" s="3581"/>
      <c r="C28" s="1532" t="s">
        <v>970</v>
      </c>
    </row>
    <row r="29" spans="1:3" ht="13.5">
      <c r="A29" s="3582"/>
      <c r="B29" s="3581"/>
      <c r="C29" s="1532" t="s">
        <v>971</v>
      </c>
    </row>
    <row r="30" spans="1:3" ht="13.5">
      <c r="A30" s="3582"/>
      <c r="B30" s="3581"/>
      <c r="C30" s="1532" t="s">
        <v>972</v>
      </c>
    </row>
    <row r="31" spans="1:3" ht="13.5">
      <c r="A31" s="3582"/>
      <c r="B31" s="3581"/>
      <c r="C31" s="1532" t="s">
        <v>973</v>
      </c>
    </row>
    <row r="32" spans="1:3" ht="13.5">
      <c r="A32" s="3582"/>
      <c r="B32" s="3581"/>
      <c r="C32" s="1532" t="s">
        <v>974</v>
      </c>
    </row>
    <row r="33" spans="1:3" ht="13.5">
      <c r="A33" s="3582"/>
      <c r="B33" s="35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45029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86" t="s">
        <v>2160</v>
      </c>
      <c r="B17" s="3586"/>
      <c r="C17" s="3586"/>
      <c r="D17" s="3586"/>
      <c r="E17" s="3586"/>
      <c r="F17" s="3586"/>
      <c r="G17" s="3586"/>
      <c r="H17" s="3586"/>
    </row>
    <row r="18" spans="1:8" ht="24" customHeight="1">
      <c r="A18" s="3587" t="s">
        <v>2161</v>
      </c>
      <c r="B18" s="3587"/>
      <c r="C18" s="3587"/>
      <c r="D18" s="2343"/>
      <c r="E18" s="3588" t="s">
        <v>2162</v>
      </c>
      <c r="F18" s="3587"/>
      <c r="G18" s="35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租金案例</vt:lpstr>
      <vt:lpstr>收益法倒推-商业</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2023-04-13T05:41:03Z</dcterms:modified>
</cp:coreProperties>
</file>