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1"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租赁台账" sheetId="84" r:id="rId38"/>
    <sheet name="中关村集成电路设计园租赁情况表" sheetId="85" r:id="rId39"/>
    <sheet name="市调" sheetId="81" r:id="rId40"/>
    <sheet name="Sheet4" sheetId="83"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8" hidden="1">中关村集成电路设计园租赁情况表!$A$2:$I$427</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4" i="31" l="1"/>
  <c r="E4" i="31"/>
  <c r="F4" i="31"/>
  <c r="G4" i="31"/>
  <c r="H4" i="31"/>
  <c r="I4" i="31"/>
  <c r="J4" i="31"/>
  <c r="K4" i="31"/>
  <c r="H3" i="31"/>
  <c r="I3" i="31"/>
  <c r="J3" i="31"/>
  <c r="K3" i="31"/>
  <c r="F105" i="34"/>
  <c r="G105" i="34"/>
  <c r="H105" i="34"/>
  <c r="I105" i="34" s="1"/>
  <c r="J105" i="34" s="1"/>
  <c r="K105" i="34" s="1"/>
  <c r="E105" i="34"/>
  <c r="C46" i="34"/>
  <c r="F5" i="81" l="1"/>
  <c r="F3" i="81"/>
  <c r="B14" i="74"/>
  <c r="E128" i="34"/>
  <c r="F128" i="34"/>
  <c r="G128" i="34"/>
  <c r="D128" i="34"/>
  <c r="C18" i="31"/>
  <c r="D17" i="31"/>
  <c r="E17" i="31"/>
  <c r="C17" i="31"/>
  <c r="C4" i="31"/>
  <c r="D3" i="31"/>
  <c r="E3" i="31"/>
  <c r="F3" i="31"/>
  <c r="G3" i="31"/>
  <c r="C3" i="31"/>
  <c r="N6" i="1"/>
  <c r="C37" i="34" s="1"/>
  <c r="C34" i="34"/>
  <c r="I7" i="34"/>
  <c r="G7" i="34"/>
  <c r="E7" i="34"/>
  <c r="F19" i="6" l="1"/>
  <c r="D3" i="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6" i="79"/>
  <c r="AD38" i="79"/>
  <c r="AD34" i="79"/>
  <c r="AD35" i="79"/>
  <c r="AD37"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T40" i="79"/>
  <c r="U46" i="79"/>
  <c r="AI46" i="79" s="1"/>
  <c r="AD47" i="79"/>
  <c r="S48" i="79"/>
  <c r="AG48" i="79" s="1"/>
  <c r="AR18" i="79"/>
  <c r="AR19" i="79" s="1"/>
  <c r="AR20" i="79" s="1"/>
  <c r="AR21" i="79" s="1"/>
  <c r="AR22" i="79" s="1"/>
  <c r="AR23" i="79" s="1"/>
  <c r="AR24" i="79" s="1"/>
  <c r="T34" i="79"/>
  <c r="T33"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O35" i="71"/>
  <c r="N35" i="71"/>
  <c r="Q34" i="71"/>
  <c r="AB34" i="71"/>
  <c r="P34" i="71"/>
  <c r="O34" i="71"/>
  <c r="N34" i="71"/>
  <c r="Q33" i="71"/>
  <c r="P33" i="71"/>
  <c r="O33" i="7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E34" i="71"/>
  <c r="C30" i="71"/>
  <c r="C34" i="71"/>
  <c r="D34" i="71" s="1"/>
  <c r="X34" i="71"/>
  <c r="F51" i="71"/>
  <c r="F52" i="71" s="1"/>
  <c r="V52"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D72" i="71"/>
  <c r="C75" i="71"/>
  <c r="D76" i="71"/>
  <c r="D80" i="71"/>
  <c r="F28" i="71"/>
  <c r="F27" i="71"/>
  <c r="F26" i="71"/>
  <c r="AA3" i="71"/>
  <c r="D63" i="71"/>
  <c r="D75" i="71"/>
  <c r="C74" i="71"/>
  <c r="D74" i="71" s="1"/>
  <c r="D55" i="71"/>
  <c r="P67"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H25" i="40"/>
  <c r="AB25" i="40" s="1"/>
  <c r="J25" i="40"/>
  <c r="H29" i="39"/>
  <c r="AB29" i="39" s="1"/>
  <c r="J29" i="39"/>
  <c r="J18" i="36"/>
  <c r="AC18" i="36" s="1"/>
  <c r="H18" i="35"/>
  <c r="AB18" i="35" s="1"/>
  <c r="J18" i="35"/>
  <c r="H21" i="37"/>
  <c r="F21" i="37"/>
  <c r="AA21" i="37" s="1"/>
  <c r="H21" i="34"/>
  <c r="AB21" i="34" s="1"/>
  <c r="H21" i="33"/>
  <c r="U21" i="33" s="1"/>
  <c r="F21" i="33"/>
  <c r="E83" i="21"/>
  <c r="F83" i="21" s="1"/>
  <c r="G83" i="21" s="1"/>
  <c r="H1" i="69"/>
  <c r="AC25" i="40"/>
  <c r="W25" i="40"/>
  <c r="U25" i="40"/>
  <c r="W18" i="36"/>
  <c r="AB21" i="37"/>
  <c r="U21" i="37"/>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S26" i="31" s="1"/>
  <c r="R27" i="31"/>
  <c r="S27" i="31" s="1"/>
  <c r="R28" i="31"/>
  <c r="S28" i="31" s="1"/>
  <c r="R29" i="31"/>
  <c r="S29" i="31" s="1"/>
  <c r="R30" i="31"/>
  <c r="S30" i="31" s="1"/>
  <c r="R31" i="31"/>
  <c r="S31" i="31" s="1"/>
  <c r="R32" i="31"/>
  <c r="S32" i="31" s="1"/>
  <c r="R33" i="31"/>
  <c r="R34" i="31"/>
  <c r="R35" i="31"/>
  <c r="S35" i="31" s="1"/>
  <c r="R36" i="31"/>
  <c r="S36" i="31" s="1"/>
  <c r="R37" i="31"/>
  <c r="S37" i="31" s="1"/>
  <c r="R38" i="31"/>
  <c r="S38" i="31" s="1"/>
  <c r="R39" i="31"/>
  <c r="S39" i="31" s="1"/>
  <c r="R40" i="31"/>
  <c r="S40" i="31" s="1"/>
  <c r="R41" i="31"/>
  <c r="S41" i="31" s="1"/>
  <c r="R42" i="31"/>
  <c r="S42" i="31" s="1"/>
  <c r="R43" i="31"/>
  <c r="S43" i="31" s="1"/>
  <c r="R44" i="31"/>
  <c r="S44" i="31" s="1"/>
  <c r="R45" i="31"/>
  <c r="R46" i="31"/>
  <c r="S46" i="31" s="1"/>
  <c r="R47" i="31"/>
  <c r="S47" i="31" s="1"/>
  <c r="R48" i="31"/>
  <c r="S48" i="31" s="1"/>
  <c r="R49" i="31"/>
  <c r="S49" i="31" s="1"/>
  <c r="R50" i="31"/>
  <c r="S50" i="31" s="1"/>
  <c r="R51" i="31"/>
  <c r="S51" i="31" s="1"/>
  <c r="R52" i="31"/>
  <c r="S52" i="31" s="1"/>
  <c r="R53" i="31"/>
  <c r="R54" i="31"/>
  <c r="S54" i="31" s="1"/>
  <c r="R55" i="31"/>
  <c r="S55" i="31" s="1"/>
  <c r="R56" i="31"/>
  <c r="S56" i="31" s="1"/>
  <c r="R57" i="31"/>
  <c r="R58" i="31"/>
  <c r="S58" i="31" s="1"/>
  <c r="R59" i="31"/>
  <c r="S59" i="31" s="1"/>
  <c r="R60" i="31"/>
  <c r="S60" i="31" s="1"/>
  <c r="R61" i="31"/>
  <c r="S61" i="31" s="1"/>
  <c r="R62" i="31"/>
  <c r="S62" i="31" s="1"/>
  <c r="R63" i="31"/>
  <c r="S63" i="31" s="1"/>
  <c r="R64" i="31"/>
  <c r="S64" i="31" s="1"/>
  <c r="R65" i="31"/>
  <c r="S65" i="31" s="1"/>
  <c r="R66" i="31"/>
  <c r="R67" i="31"/>
  <c r="S67" i="31" s="1"/>
  <c r="R68" i="31"/>
  <c r="S68" i="31" s="1"/>
  <c r="R69" i="3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R231" i="31"/>
  <c r="S231" i="31" s="1"/>
  <c r="R232" i="31"/>
  <c r="S232" i="31" s="1"/>
  <c r="R233" i="3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L13" i="3" s="1"/>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249" i="31"/>
  <c r="S233" i="31"/>
  <c r="S230" i="31"/>
  <c r="S217" i="31"/>
  <c r="S201" i="31"/>
  <c r="S177" i="31"/>
  <c r="S165" i="31"/>
  <c r="S153" i="31"/>
  <c r="S141" i="31"/>
  <c r="S130" i="31"/>
  <c r="S473" i="31"/>
  <c r="S433" i="31"/>
  <c r="S117" i="31"/>
  <c r="S465" i="31"/>
  <c r="S53" i="31"/>
  <c r="S45" i="31"/>
  <c r="S34" i="31"/>
  <c r="S33" i="31"/>
  <c r="S69" i="31"/>
  <c r="S66" i="31"/>
  <c r="S57" i="31"/>
  <c r="S105"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L493" i="3" s="1"/>
  <c r="BP493" i="3"/>
  <c r="BR493" i="3"/>
  <c r="BS493" i="3"/>
  <c r="BT493" i="3"/>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N5"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A500" i="3" s="1"/>
  <c r="BC500" i="3"/>
  <c r="BD500" i="3"/>
  <c r="BE500" i="3"/>
  <c r="BF500" i="3"/>
  <c r="BG500" i="3"/>
  <c r="BH500" i="3"/>
  <c r="BI500" i="3"/>
  <c r="BJ500" i="3"/>
  <c r="BK500" i="3"/>
  <c r="BM500" i="3"/>
  <c r="BN500" i="3"/>
  <c r="BO500" i="3"/>
  <c r="BL500" i="3" s="1"/>
  <c r="BP500" i="3"/>
  <c r="BQ500" i="3"/>
  <c r="BR500" i="3"/>
  <c r="BS500" i="3"/>
  <c r="BT500" i="3"/>
  <c r="H501" i="3"/>
  <c r="G501" i="3" s="1"/>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A505" i="3" s="1"/>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A512" i="3" s="1"/>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G518" i="3" s="1"/>
  <c r="AC518" i="3"/>
  <c r="BB518" i="3"/>
  <c r="BA518" i="3" s="1"/>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A525" i="3" s="1"/>
  <c r="BC525" i="3"/>
  <c r="BD525" i="3"/>
  <c r="BE525" i="3"/>
  <c r="BF525" i="3"/>
  <c r="BG525" i="3"/>
  <c r="BH525" i="3"/>
  <c r="BI525" i="3"/>
  <c r="BJ525" i="3"/>
  <c r="BK525" i="3"/>
  <c r="BM525" i="3"/>
  <c r="BL525" i="3" s="1"/>
  <c r="AZ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L537" i="3" s="1"/>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A541" i="3" s="1"/>
  <c r="BC541" i="3"/>
  <c r="BD541" i="3"/>
  <c r="BE541" i="3"/>
  <c r="BF541" i="3"/>
  <c r="BG541" i="3"/>
  <c r="BH541" i="3"/>
  <c r="BI541" i="3"/>
  <c r="BJ541" i="3"/>
  <c r="BK541" i="3"/>
  <c r="BM541" i="3"/>
  <c r="BL541" i="3" s="1"/>
  <c r="AZ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A558" i="3" s="1"/>
  <c r="BF558" i="3"/>
  <c r="BG558" i="3"/>
  <c r="BH558" i="3"/>
  <c r="BI558" i="3"/>
  <c r="BJ558" i="3"/>
  <c r="BK558" i="3"/>
  <c r="BM558" i="3"/>
  <c r="BN558" i="3"/>
  <c r="BO558" i="3"/>
  <c r="BP558" i="3"/>
  <c r="BQ558" i="3"/>
  <c r="BR558" i="3"/>
  <c r="BS558" i="3"/>
  <c r="BT558" i="3"/>
  <c r="H559" i="3"/>
  <c r="AC559" i="3"/>
  <c r="BB559" i="3"/>
  <c r="BC559" i="3"/>
  <c r="BD559" i="3"/>
  <c r="BE559" i="3"/>
  <c r="BA559" i="3" s="1"/>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A569" i="3" s="1"/>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S42" i="34" s="1"/>
  <c r="J38" i="34"/>
  <c r="D114" i="34"/>
  <c r="E114" i="34" s="1"/>
  <c r="F38" i="34"/>
  <c r="S38" i="34" s="1"/>
  <c r="D112" i="34"/>
  <c r="E112" i="34" s="1"/>
  <c r="F112" i="34" s="1"/>
  <c r="G112" i="34" s="1"/>
  <c r="H112" i="34" s="1"/>
  <c r="I112" i="34" s="1"/>
  <c r="J112" i="34" s="1"/>
  <c r="K112" i="34" s="1"/>
  <c r="L112" i="34" s="1"/>
  <c r="M112" i="34" s="1"/>
  <c r="F40" i="33"/>
  <c r="S40" i="33" s="1"/>
  <c r="J41" i="33"/>
  <c r="D113" i="33"/>
  <c r="E113" i="33" s="1"/>
  <c r="F113" i="33" s="1"/>
  <c r="F37" i="33"/>
  <c r="D111" i="33"/>
  <c r="E111" i="33" s="1"/>
  <c r="F111" i="33" s="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H27" i="40" s="1"/>
  <c r="D92" i="40"/>
  <c r="E92" i="40" s="1"/>
  <c r="F92" i="40" s="1"/>
  <c r="G92" i="40" s="1"/>
  <c r="D90" i="40"/>
  <c r="E90" i="40"/>
  <c r="F90" i="40" s="1"/>
  <c r="G90" i="40" s="1"/>
  <c r="D88" i="40"/>
  <c r="E88" i="40" s="1"/>
  <c r="D86" i="40"/>
  <c r="E86" i="40" s="1"/>
  <c r="F86" i="40" s="1"/>
  <c r="G86" i="40"/>
  <c r="D84" i="40"/>
  <c r="E84" i="40" s="1"/>
  <c r="F84" i="40" s="1"/>
  <c r="G84" i="40" s="1"/>
  <c r="B81" i="40"/>
  <c r="H14" i="40" s="1"/>
  <c r="AB14" i="40" s="1"/>
  <c r="B79" i="40"/>
  <c r="B77" i="40"/>
  <c r="H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AA9" i="40" s="1"/>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s="1"/>
  <c r="AC39" i="37" s="1"/>
  <c r="B108" i="37"/>
  <c r="J38" i="37" s="1"/>
  <c r="AC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H25" i="36" s="1"/>
  <c r="B73" i="36"/>
  <c r="J24" i="36"/>
  <c r="AC24" i="36" s="1"/>
  <c r="B71" i="36"/>
  <c r="D70" i="36"/>
  <c r="H22" i="36"/>
  <c r="AB22" i="36" s="1"/>
  <c r="D68" i="36"/>
  <c r="E68" i="36" s="1"/>
  <c r="F68" i="36"/>
  <c r="G68" i="36" s="1"/>
  <c r="D64" i="36"/>
  <c r="E64" i="36" s="1"/>
  <c r="F64" i="36"/>
  <c r="G64" i="36"/>
  <c r="J16" i="36"/>
  <c r="W16" i="36" s="1"/>
  <c r="D62" i="36"/>
  <c r="E62" i="36"/>
  <c r="F62" i="36"/>
  <c r="G62" i="36" s="1"/>
  <c r="B59" i="36"/>
  <c r="F13" i="36" s="1"/>
  <c r="B57" i="36"/>
  <c r="J12" i="36"/>
  <c r="B55" i="36"/>
  <c r="F11" i="36" s="1"/>
  <c r="AA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B77" i="35"/>
  <c r="B75" i="35"/>
  <c r="J24" i="35" s="1"/>
  <c r="AC24" i="35"/>
  <c r="B73" i="35"/>
  <c r="B57" i="35"/>
  <c r="F11" i="35" s="1"/>
  <c r="S11" i="35" s="1"/>
  <c r="B61" i="35"/>
  <c r="B59" i="35"/>
  <c r="B131" i="34"/>
  <c r="B129" i="34"/>
  <c r="J46" i="34" s="1"/>
  <c r="B127" i="34"/>
  <c r="B99" i="34"/>
  <c r="B97" i="34"/>
  <c r="B95" i="34"/>
  <c r="B93" i="34"/>
  <c r="B75" i="34"/>
  <c r="B73" i="34"/>
  <c r="B71" i="34"/>
  <c r="B130" i="33"/>
  <c r="B128" i="33"/>
  <c r="B126" i="33"/>
  <c r="B98" i="33"/>
  <c r="F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c r="F88" i="34"/>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AB12" i="34" s="1"/>
  <c r="Q11" i="34"/>
  <c r="Z11" i="34" s="1"/>
  <c r="Q10" i="34"/>
  <c r="Z10" i="34" s="1"/>
  <c r="F10" i="34"/>
  <c r="AA10" i="34" s="1"/>
  <c r="Q9" i="34"/>
  <c r="Z9" i="34" s="1"/>
  <c r="J8" i="34"/>
  <c r="AC8" i="34" s="1"/>
  <c r="H8" i="34"/>
  <c r="U8" i="34" s="1"/>
  <c r="F8" i="34"/>
  <c r="AA8" i="34" s="1"/>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C15" i="39" s="1"/>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J46" i="21" s="1"/>
  <c r="B128" i="21"/>
  <c r="J45" i="21" s="1"/>
  <c r="W45" i="21" s="1"/>
  <c r="B126" i="21"/>
  <c r="B98" i="21"/>
  <c r="H31" i="21"/>
  <c r="B96" i="21"/>
  <c r="B94" i="21"/>
  <c r="J29" i="21" s="1"/>
  <c r="AC29" i="21"/>
  <c r="B92" i="21"/>
  <c r="B90" i="2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c r="Q38" i="21"/>
  <c r="Z38" i="21" s="1"/>
  <c r="J39" i="21"/>
  <c r="AC39" i="21" s="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J35" i="39"/>
  <c r="AC35" i="39" s="1"/>
  <c r="F35" i="39"/>
  <c r="AA35" i="39" s="1"/>
  <c r="J36" i="39"/>
  <c r="AC36" i="39" s="1"/>
  <c r="U9" i="39"/>
  <c r="W40" i="39"/>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U31" i="35"/>
  <c r="W22" i="35"/>
  <c r="S31" i="35"/>
  <c r="F36" i="34"/>
  <c r="AA36" i="34" s="1"/>
  <c r="J35" i="34"/>
  <c r="AC35" i="34" s="1"/>
  <c r="H39" i="33"/>
  <c r="AB39" i="33"/>
  <c r="F26" i="33"/>
  <c r="AA26" i="33"/>
  <c r="U33" i="33"/>
  <c r="U35" i="33"/>
  <c r="W33" i="33"/>
  <c r="W39" i="33"/>
  <c r="H39" i="37"/>
  <c r="AB39" i="37" s="1"/>
  <c r="S27" i="35"/>
  <c r="F11" i="40"/>
  <c r="AA11" i="40" s="1"/>
  <c r="H11" i="40"/>
  <c r="AB11" i="40"/>
  <c r="W8" i="40"/>
  <c r="U9" i="40"/>
  <c r="S34" i="40"/>
  <c r="U38" i="40"/>
  <c r="U34" i="40"/>
  <c r="S38" i="40"/>
  <c r="F42" i="39"/>
  <c r="AA42" i="39" s="1"/>
  <c r="F41" i="39"/>
  <c r="S41" i="39" s="1"/>
  <c r="H40" i="39"/>
  <c r="AB40" i="39" s="1"/>
  <c r="H39" i="39"/>
  <c r="U39" i="39" s="1"/>
  <c r="S38" i="39"/>
  <c r="S34"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H11" i="39"/>
  <c r="U11" i="39" s="1"/>
  <c r="S40" i="39"/>
  <c r="H32" i="33"/>
  <c r="AB32" i="33" s="1"/>
  <c r="H11" i="21"/>
  <c r="U11" i="21" s="1"/>
  <c r="J11" i="21"/>
  <c r="W11" i="21" s="1"/>
  <c r="H37" i="40"/>
  <c r="U37" i="40" s="1"/>
  <c r="H36" i="40"/>
  <c r="AB36" i="40" s="1"/>
  <c r="F35" i="40"/>
  <c r="AA35" i="40"/>
  <c r="H23" i="40"/>
  <c r="AB23" i="40" s="1"/>
  <c r="H17" i="40"/>
  <c r="U17" i="40" s="1"/>
  <c r="J15" i="40"/>
  <c r="W15" i="40" s="1"/>
  <c r="J11" i="40"/>
  <c r="W11" i="40" s="1"/>
  <c r="AB12" i="36"/>
  <c r="W32" i="40"/>
  <c r="S44" i="39"/>
  <c r="F37" i="39"/>
  <c r="AA37" i="39" s="1"/>
  <c r="J34" i="36"/>
  <c r="W34" i="36" s="1"/>
  <c r="J30" i="35"/>
  <c r="W30" i="35" s="1"/>
  <c r="H30" i="35"/>
  <c r="AB30" i="35" s="1"/>
  <c r="F22" i="35"/>
  <c r="AA22" i="35" s="1"/>
  <c r="H10" i="35"/>
  <c r="U10" i="35" s="1"/>
  <c r="F33" i="36"/>
  <c r="AA33" i="36"/>
  <c r="H16" i="36"/>
  <c r="AB16" i="36" s="1"/>
  <c r="J85" i="36"/>
  <c r="K85" i="36" s="1"/>
  <c r="L85" i="36" s="1"/>
  <c r="M85" i="36" s="1"/>
  <c r="J29" i="36"/>
  <c r="AC29" i="36" s="1"/>
  <c r="F12" i="36"/>
  <c r="F24" i="36"/>
  <c r="AA24" i="36"/>
  <c r="F34" i="36"/>
  <c r="S34" i="36" s="1"/>
  <c r="F14" i="35"/>
  <c r="AA14"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H40" i="34"/>
  <c r="U40" i="34" s="1"/>
  <c r="H36" i="34"/>
  <c r="U36" i="34" s="1"/>
  <c r="F37" i="34"/>
  <c r="AA37" i="34" s="1"/>
  <c r="F25" i="34"/>
  <c r="S25" i="34" s="1"/>
  <c r="H23" i="34"/>
  <c r="U23" i="34" s="1"/>
  <c r="J23" i="34"/>
  <c r="W23" i="34" s="1"/>
  <c r="F19" i="34"/>
  <c r="AA19" i="34" s="1"/>
  <c r="H17" i="34"/>
  <c r="U17" i="34" s="1"/>
  <c r="F15" i="34"/>
  <c r="AA15" i="34" s="1"/>
  <c r="J15" i="34"/>
  <c r="W15" i="34" s="1"/>
  <c r="H15" i="34"/>
  <c r="AB15" i="34" s="1"/>
  <c r="F41" i="33"/>
  <c r="S38" i="33"/>
  <c r="F32" i="33"/>
  <c r="AA32"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S12" i="36"/>
  <c r="AA12" i="36"/>
  <c r="F29" i="35"/>
  <c r="S29" i="35" s="1"/>
  <c r="H29" i="35"/>
  <c r="AB29" i="35" s="1"/>
  <c r="H33" i="37"/>
  <c r="F33" i="37"/>
  <c r="AA33" i="37" s="1"/>
  <c r="S34" i="37"/>
  <c r="AA34" i="37"/>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G113" i="33"/>
  <c r="H113" i="33" s="1"/>
  <c r="I113" i="33" s="1"/>
  <c r="J113" i="33" s="1"/>
  <c r="K113" i="33" s="1"/>
  <c r="L113" i="33" s="1"/>
  <c r="M113" i="33" s="1"/>
  <c r="H37" i="33"/>
  <c r="AB37" i="33"/>
  <c r="H15" i="33"/>
  <c r="AB15" i="33" s="1"/>
  <c r="H11" i="33"/>
  <c r="AB11" i="33" s="1"/>
  <c r="F28" i="40"/>
  <c r="AA28" i="40"/>
  <c r="AA29" i="35"/>
  <c r="AA42" i="34"/>
  <c r="AA38" i="34"/>
  <c r="J37" i="34"/>
  <c r="AC37" i="34" s="1"/>
  <c r="J11" i="33"/>
  <c r="W11" i="33" s="1"/>
  <c r="I123" i="21"/>
  <c r="J123" i="21" s="1"/>
  <c r="K123" i="21" s="1"/>
  <c r="L123" i="21" s="1"/>
  <c r="M123" i="21" s="1"/>
  <c r="J42" i="21"/>
  <c r="AC42" i="21"/>
  <c r="H42" i="21"/>
  <c r="U42" i="21" s="1"/>
  <c r="J44" i="34"/>
  <c r="AC44" i="34" s="1"/>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c r="J28" i="33"/>
  <c r="W28" i="33" s="1"/>
  <c r="F33" i="35"/>
  <c r="S33" i="35"/>
  <c r="J33" i="35"/>
  <c r="AC33" i="35" s="1"/>
  <c r="F30" i="35"/>
  <c r="S30" i="35" s="1"/>
  <c r="F89" i="35"/>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J13" i="33"/>
  <c r="W13" i="33" s="1"/>
  <c r="H13" i="33"/>
  <c r="U13" i="33" s="1"/>
  <c r="F13" i="33"/>
  <c r="S13" i="33" s="1"/>
  <c r="H29" i="33"/>
  <c r="U29" i="33" s="1"/>
  <c r="J31" i="33"/>
  <c r="W31" i="33" s="1"/>
  <c r="H31" i="33"/>
  <c r="H30" i="34"/>
  <c r="F30" i="34"/>
  <c r="S30" i="34" s="1"/>
  <c r="J30" i="34"/>
  <c r="F32" i="34"/>
  <c r="H46" i="34"/>
  <c r="U46" i="34" s="1"/>
  <c r="H11" i="35"/>
  <c r="AB11" i="35" s="1"/>
  <c r="J11" i="35"/>
  <c r="W11" i="35" s="1"/>
  <c r="J26" i="36"/>
  <c r="W26" i="36"/>
  <c r="H28" i="36"/>
  <c r="U28" i="36" s="1"/>
  <c r="J32" i="36"/>
  <c r="W32" i="36" s="1"/>
  <c r="H11" i="36"/>
  <c r="U11" i="36" s="1"/>
  <c r="H13" i="36"/>
  <c r="AB13" i="36" s="1"/>
  <c r="J13" i="36"/>
  <c r="S13" i="36"/>
  <c r="E89" i="37"/>
  <c r="F89" i="37" s="1"/>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c r="F40" i="37"/>
  <c r="AA40" i="37" s="1"/>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s="1"/>
  <c r="F45" i="34"/>
  <c r="S45" i="34" s="1"/>
  <c r="H47" i="34"/>
  <c r="U47" i="34" s="1"/>
  <c r="F47" i="34"/>
  <c r="S47" i="34" s="1"/>
  <c r="J47" i="34"/>
  <c r="AC47" i="34" s="1"/>
  <c r="F13" i="35"/>
  <c r="J13" i="35"/>
  <c r="AC13" i="35" s="1"/>
  <c r="H13" i="35"/>
  <c r="U13" i="35" s="1"/>
  <c r="J25" i="35"/>
  <c r="W25" i="35"/>
  <c r="F25" i="35"/>
  <c r="S25" i="35" s="1"/>
  <c r="H25" i="35"/>
  <c r="AB25" i="35" s="1"/>
  <c r="J25" i="36"/>
  <c r="W25" i="36" s="1"/>
  <c r="F25" i="36"/>
  <c r="S25" i="36" s="1"/>
  <c r="AB25" i="36"/>
  <c r="H13" i="37"/>
  <c r="AB13" i="37" s="1"/>
  <c r="F13" i="37"/>
  <c r="S13" i="37" s="1"/>
  <c r="J13" i="37"/>
  <c r="W13" i="37" s="1"/>
  <c r="J28" i="37"/>
  <c r="AC28" i="37" s="1"/>
  <c r="H28" i="37"/>
  <c r="H38" i="37"/>
  <c r="AB38" i="37" s="1"/>
  <c r="F38" i="37"/>
  <c r="S38" i="37" s="1"/>
  <c r="F43" i="39"/>
  <c r="AA43" i="39" s="1"/>
  <c r="F14" i="39"/>
  <c r="H14" i="39"/>
  <c r="AB14" i="39" s="1"/>
  <c r="H30" i="40"/>
  <c r="AB30" i="40" s="1"/>
  <c r="F33" i="40"/>
  <c r="AA33" i="40" s="1"/>
  <c r="H33" i="40"/>
  <c r="U33" i="40" s="1"/>
  <c r="J35" i="40"/>
  <c r="AC35" i="40" s="1"/>
  <c r="J37" i="40"/>
  <c r="AC37" i="40"/>
  <c r="H13" i="40"/>
  <c r="U13" i="40" s="1"/>
  <c r="J13" i="40"/>
  <c r="W13" i="40" s="1"/>
  <c r="F13" i="40"/>
  <c r="AA13" i="40" s="1"/>
  <c r="F14" i="37"/>
  <c r="F27" i="37"/>
  <c r="AA27" i="37" s="1"/>
  <c r="F13" i="39"/>
  <c r="J13" i="39"/>
  <c r="W13" i="39" s="1"/>
  <c r="H13" i="39"/>
  <c r="J14" i="40"/>
  <c r="W14" i="40" s="1"/>
  <c r="F14" i="40"/>
  <c r="J14" i="37"/>
  <c r="J27" i="37"/>
  <c r="AC27" i="37"/>
  <c r="AA44" i="33"/>
  <c r="U46" i="33"/>
  <c r="J36" i="37"/>
  <c r="AC36" i="37" s="1"/>
  <c r="J10" i="36"/>
  <c r="AC10" i="36" s="1"/>
  <c r="AB26" i="33"/>
  <c r="S11" i="36"/>
  <c r="AC28" i="21"/>
  <c r="BA586" i="3"/>
  <c r="F17" i="21"/>
  <c r="AA17" i="21" s="1"/>
  <c r="H17" i="21"/>
  <c r="AB17" i="21" s="1"/>
  <c r="F15" i="21"/>
  <c r="S15" i="21" s="1"/>
  <c r="J41" i="39"/>
  <c r="W41" i="39" s="1"/>
  <c r="W44" i="39"/>
  <c r="S35" i="39"/>
  <c r="G544" i="3"/>
  <c r="G532" i="3"/>
  <c r="G531" i="3"/>
  <c r="G523" i="3"/>
  <c r="G504" i="3"/>
  <c r="G580" i="3"/>
  <c r="G572" i="3"/>
  <c r="G568" i="3"/>
  <c r="G560" i="3"/>
  <c r="G554" i="3"/>
  <c r="BL572" i="3"/>
  <c r="BL568" i="3"/>
  <c r="BL546" i="3"/>
  <c r="BL522" i="3"/>
  <c r="BL498" i="3"/>
  <c r="BL570" i="3"/>
  <c r="BL540" i="3"/>
  <c r="BL528" i="3"/>
  <c r="BL510" i="3"/>
  <c r="BA582" i="3"/>
  <c r="BA580" i="3"/>
  <c r="BA572" i="3"/>
  <c r="BA570" i="3"/>
  <c r="BA562" i="3"/>
  <c r="BA554" i="3"/>
  <c r="AZ554" i="3" s="1"/>
  <c r="BA546" i="3"/>
  <c r="AZ546" i="3" s="1"/>
  <c r="BA540" i="3"/>
  <c r="BA526" i="3"/>
  <c r="BA516" i="3"/>
  <c r="BA508" i="3"/>
  <c r="BA502" i="3"/>
  <c r="BA496" i="3"/>
  <c r="BA587" i="3"/>
  <c r="BA583" i="3"/>
  <c r="BA581" i="3"/>
  <c r="BA575" i="3"/>
  <c r="BA573" i="3"/>
  <c r="BA567" i="3"/>
  <c r="BA565" i="3"/>
  <c r="BA555" i="3"/>
  <c r="BA545" i="3"/>
  <c r="BA537" i="3"/>
  <c r="AZ537" i="3" s="1"/>
  <c r="BA529" i="3"/>
  <c r="BA519" i="3"/>
  <c r="BA511" i="3"/>
  <c r="BA501" i="3"/>
  <c r="BA493" i="3"/>
  <c r="G583" i="3"/>
  <c r="G581" i="3"/>
  <c r="G579" i="3"/>
  <c r="G573" i="3"/>
  <c r="G571" i="3"/>
  <c r="G565" i="3"/>
  <c r="G563" i="3"/>
  <c r="G561" i="3"/>
  <c r="AC557" i="3"/>
  <c r="G557" i="3" s="1"/>
  <c r="BQ557" i="3"/>
  <c r="BQ583" i="3"/>
  <c r="BQ581" i="3"/>
  <c r="BL581" i="3"/>
  <c r="BQ579" i="3"/>
  <c r="BQ577" i="3"/>
  <c r="BL577" i="3" s="1"/>
  <c r="BQ575" i="3"/>
  <c r="BQ573" i="3"/>
  <c r="BQ571" i="3"/>
  <c r="BL571" i="3"/>
  <c r="BQ569" i="3"/>
  <c r="BQ567" i="3"/>
  <c r="BL567" i="3"/>
  <c r="BQ565" i="3"/>
  <c r="BL565" i="3" s="1"/>
  <c r="BQ563" i="3"/>
  <c r="BL563" i="3"/>
  <c r="BQ561" i="3"/>
  <c r="BQ559" i="3"/>
  <c r="G559" i="3"/>
  <c r="G555" i="3"/>
  <c r="G549" i="3"/>
  <c r="G547" i="3"/>
  <c r="G545" i="3"/>
  <c r="G539" i="3"/>
  <c r="G537" i="3"/>
  <c r="BQ555" i="3"/>
  <c r="BQ553" i="3"/>
  <c r="BL553" i="3" s="1"/>
  <c r="BQ551" i="3"/>
  <c r="BL551" i="3"/>
  <c r="BQ549" i="3"/>
  <c r="BQ547" i="3"/>
  <c r="BQ545" i="3"/>
  <c r="BL545" i="3"/>
  <c r="BQ543" i="3"/>
  <c r="BQ541" i="3"/>
  <c r="BQ539" i="3"/>
  <c r="BL539" i="3" s="1"/>
  <c r="BQ537" i="3"/>
  <c r="BQ535" i="3"/>
  <c r="BL535" i="3" s="1"/>
  <c r="BQ533" i="3"/>
  <c r="BQ531" i="3"/>
  <c r="BQ529" i="3"/>
  <c r="BL529" i="3"/>
  <c r="BQ527" i="3"/>
  <c r="BQ525" i="3"/>
  <c r="BQ523" i="3"/>
  <c r="AC521" i="3"/>
  <c r="G521" i="3"/>
  <c r="BQ521" i="3"/>
  <c r="BL520" i="3"/>
  <c r="G515" i="3"/>
  <c r="BQ519" i="3"/>
  <c r="BQ517" i="3"/>
  <c r="BL517" i="3"/>
  <c r="BQ515" i="3"/>
  <c r="BQ513" i="3"/>
  <c r="BQ511" i="3"/>
  <c r="BL511" i="3" s="1"/>
  <c r="AZ511" i="3" s="1"/>
  <c r="AC509" i="3"/>
  <c r="BQ509" i="3"/>
  <c r="G507" i="3"/>
  <c r="G503" i="3"/>
  <c r="G497" i="3"/>
  <c r="G495" i="3"/>
  <c r="BQ507" i="3"/>
  <c r="BQ505" i="3"/>
  <c r="BL505" i="3"/>
  <c r="AZ505" i="3" s="1"/>
  <c r="BQ503" i="3"/>
  <c r="BQ501" i="3"/>
  <c r="BQ499" i="3"/>
  <c r="BQ497" i="3"/>
  <c r="BL497" i="3"/>
  <c r="BQ495" i="3"/>
  <c r="BQ493" i="3"/>
  <c r="O27" i="31"/>
  <c r="O28" i="31"/>
  <c r="O26" i="31"/>
  <c r="M27" i="31"/>
  <c r="M28" i="31"/>
  <c r="M26" i="31"/>
  <c r="I26" i="31"/>
  <c r="I25" i="31"/>
  <c r="K26" i="31"/>
  <c r="I27" i="31"/>
  <c r="K27" i="31"/>
  <c r="I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c r="J32" i="37"/>
  <c r="AC32" i="37" s="1"/>
  <c r="F36" i="37"/>
  <c r="AA36" i="37" s="1"/>
  <c r="F37" i="37"/>
  <c r="AA37" i="37" s="1"/>
  <c r="F31" i="40"/>
  <c r="AA31" i="40"/>
  <c r="H31" i="40"/>
  <c r="U31" i="40" s="1"/>
  <c r="F32" i="40"/>
  <c r="S32" i="40" s="1"/>
  <c r="H32" i="40"/>
  <c r="AB32" i="40" s="1"/>
  <c r="J36" i="40"/>
  <c r="W36" i="40"/>
  <c r="H19" i="37"/>
  <c r="AB19" i="37" s="1"/>
  <c r="H42" i="33"/>
  <c r="AB42" i="33" s="1"/>
  <c r="J43" i="33"/>
  <c r="AC43" i="33" s="1"/>
  <c r="U14" i="40"/>
  <c r="U39" i="37"/>
  <c r="U26" i="37"/>
  <c r="AA13" i="33"/>
  <c r="AC31" i="33"/>
  <c r="U11" i="33"/>
  <c r="U19" i="21"/>
  <c r="W44" i="21"/>
  <c r="AB38" i="21"/>
  <c r="F43" i="33"/>
  <c r="AA43" i="33"/>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AC13" i="40"/>
  <c r="W2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AZ79" i="3"/>
  <c r="AZ144" i="3"/>
  <c r="AZ176" i="3"/>
  <c r="AZ120" i="3"/>
  <c r="G530" i="3"/>
  <c r="G522" i="3"/>
  <c r="G51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94" i="3"/>
  <c r="AZ198" i="3"/>
  <c r="BA16" i="3"/>
  <c r="BL303" i="3"/>
  <c r="G304" i="3"/>
  <c r="BA306" i="3"/>
  <c r="BL307" i="3"/>
  <c r="G308" i="3"/>
  <c r="BA310" i="3"/>
  <c r="AZ310" i="3"/>
  <c r="BL311" i="3"/>
  <c r="G312" i="3"/>
  <c r="BA314" i="3"/>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49" i="3"/>
  <c r="BA379" i="3"/>
  <c r="BL380" i="3"/>
  <c r="G381" i="3"/>
  <c r="BA383" i="3"/>
  <c r="AZ383" i="3" s="1"/>
  <c r="BL384" i="3"/>
  <c r="G385" i="3"/>
  <c r="BA387" i="3"/>
  <c r="AZ387" i="3" s="1"/>
  <c r="BL388" i="3"/>
  <c r="AZ388" i="3" s="1"/>
  <c r="G389" i="3"/>
  <c r="BA391" i="3"/>
  <c r="AZ391" i="3" s="1"/>
  <c r="BL392" i="3"/>
  <c r="G393" i="3"/>
  <c r="BO5" i="3"/>
  <c r="BJ5" i="3"/>
  <c r="BD5" i="3"/>
  <c r="AC5" i="3"/>
  <c r="G538" i="3"/>
  <c r="G520" i="3"/>
  <c r="G502" i="3"/>
  <c r="BP5" i="3"/>
  <c r="BE5" i="3"/>
  <c r="G17" i="3"/>
  <c r="BA17" i="3"/>
  <c r="AZ17" i="3" s="1"/>
  <c r="BT5" i="3"/>
  <c r="AZ368" i="3"/>
  <c r="BA15" i="3"/>
  <c r="BB5" i="3"/>
  <c r="AZ392" i="3"/>
  <c r="G509" i="3"/>
  <c r="F83" i="43"/>
  <c r="H85" i="43" s="1"/>
  <c r="F50" i="43"/>
  <c r="H54" i="43" s="1"/>
  <c r="F72" i="43"/>
  <c r="H75" i="43" s="1"/>
  <c r="U17" i="39"/>
  <c r="S14" i="35"/>
  <c r="U43" i="21"/>
  <c r="U35" i="21"/>
  <c r="AC35" i="21"/>
  <c r="AC11" i="39"/>
  <c r="W37" i="37"/>
  <c r="S15" i="37"/>
  <c r="U13" i="37"/>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S20" i="35" s="1"/>
  <c r="AA20" i="35"/>
  <c r="AB29" i="36"/>
  <c r="U29" i="36"/>
  <c r="H32" i="37"/>
  <c r="AB32" i="37" s="1"/>
  <c r="F96" i="37"/>
  <c r="F27" i="40"/>
  <c r="S27" i="40" s="1"/>
  <c r="J30" i="40"/>
  <c r="AC30" i="40" s="1"/>
  <c r="F30" i="40"/>
  <c r="AA30"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C40" i="11"/>
  <c r="AZ256"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K6" i="1"/>
  <c r="AP6" i="1" s="1"/>
  <c r="AC26" i="33"/>
  <c r="W26" i="33"/>
  <c r="AB34" i="36"/>
  <c r="U34" i="36"/>
  <c r="AB33" i="36"/>
  <c r="U33" i="36"/>
  <c r="AC12" i="39"/>
  <c r="W12" i="39"/>
  <c r="AZ586" i="3"/>
  <c r="W12" i="33"/>
  <c r="AC12" i="33"/>
  <c r="BL14" i="3"/>
  <c r="U30" i="33"/>
  <c r="AC13" i="34"/>
  <c r="W28" i="37"/>
  <c r="S19" i="39"/>
  <c r="F12" i="33"/>
  <c r="S12" i="33" s="1"/>
  <c r="H12" i="39"/>
  <c r="U12" i="39" s="1"/>
  <c r="AB12" i="39"/>
  <c r="BA14" i="3"/>
  <c r="AZ14" i="3" s="1"/>
  <c r="B12" i="1"/>
  <c r="E12" i="1" s="1"/>
  <c r="B10" i="1"/>
  <c r="E10" i="1" s="1"/>
  <c r="AZ88" i="3"/>
  <c r="K12" i="1"/>
  <c r="M12" i="1" s="1"/>
  <c r="S13" i="1"/>
  <c r="AR13" i="1" s="1"/>
  <c r="R13" i="1"/>
  <c r="J51" i="67"/>
  <c r="C42" i="1"/>
  <c r="C24" i="12" s="1"/>
  <c r="AC34" i="33"/>
  <c r="AB37" i="40"/>
  <c r="S35" i="40"/>
  <c r="AC36" i="40"/>
  <c r="W38" i="40"/>
  <c r="AA32" i="40"/>
  <c r="S17"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S23" i="36"/>
  <c r="U13" i="36"/>
  <c r="U26" i="36"/>
  <c r="S33" i="36"/>
  <c r="AA26" i="36"/>
  <c r="AA34" i="36"/>
  <c r="AC26" i="36"/>
  <c r="W14" i="36"/>
  <c r="AB14" i="36"/>
  <c r="U22" i="36"/>
  <c r="S16" i="36"/>
  <c r="AA25" i="36"/>
  <c r="S24" i="36"/>
  <c r="U24" i="36"/>
  <c r="AB20" i="36"/>
  <c r="U16" i="36"/>
  <c r="S14" i="36"/>
  <c r="AA25"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C42" i="34"/>
  <c r="AA25" i="34"/>
  <c r="U28" i="34"/>
  <c r="AA29" i="34"/>
  <c r="S13" i="34"/>
  <c r="H10" i="34"/>
  <c r="AB10" i="34" s="1"/>
  <c r="F11" i="34"/>
  <c r="S11" i="34" s="1"/>
  <c r="F70" i="34"/>
  <c r="W42" i="33"/>
  <c r="S27" i="33"/>
  <c r="S32"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H27" i="33"/>
  <c r="F87" i="33"/>
  <c r="G87" i="33" s="1"/>
  <c r="H87" i="33" s="1"/>
  <c r="I87" i="33" s="1"/>
  <c r="J87" i="33" s="1"/>
  <c r="K87" i="33" s="1"/>
  <c r="L87" i="33" s="1"/>
  <c r="M87" i="33" s="1"/>
  <c r="H25" i="33"/>
  <c r="F25" i="33"/>
  <c r="AA25" i="33" s="1"/>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AA38" i="21"/>
  <c r="AA36" i="21"/>
  <c r="AC40" i="21"/>
  <c r="J15" i="21"/>
  <c r="W15" i="21"/>
  <c r="F77" i="21"/>
  <c r="G77" i="21"/>
  <c r="F23" i="21"/>
  <c r="S23" i="21"/>
  <c r="E85" i="21"/>
  <c r="D120" i="9"/>
  <c r="D121" i="9" s="1"/>
  <c r="D7" i="52" s="1"/>
  <c r="C18" i="9"/>
  <c r="D18" i="9" s="1"/>
  <c r="F34" i="67"/>
  <c r="F62" i="67" s="1"/>
  <c r="M20" i="67"/>
  <c r="F34" i="15"/>
  <c r="F62" i="15" s="1"/>
  <c r="BA13" i="3"/>
  <c r="BL17" i="3"/>
  <c r="J56" i="9"/>
  <c r="J57" i="9" s="1"/>
  <c r="J59" i="9" s="1"/>
  <c r="J61" i="9" s="1"/>
  <c r="A24" i="51"/>
  <c r="B18" i="72" s="1"/>
  <c r="E5" i="6"/>
  <c r="E32" i="6"/>
  <c r="G1" i="68"/>
  <c r="K1" i="12"/>
  <c r="E19" i="69"/>
  <c r="E19" i="68"/>
  <c r="E19" i="11"/>
  <c r="G22" i="68"/>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AA27" i="39"/>
  <c r="S27" i="39"/>
  <c r="W17" i="39"/>
  <c r="AC17" i="39"/>
  <c r="W31" i="39"/>
  <c r="AC31" i="39"/>
  <c r="S23" i="39"/>
  <c r="AA45" i="39"/>
  <c r="AB39" i="39"/>
  <c r="W34" i="39"/>
  <c r="U38" i="39"/>
  <c r="S8" i="39"/>
  <c r="W29" i="36"/>
  <c r="U25" i="36"/>
  <c r="AB28" i="36"/>
  <c r="AA13" i="36"/>
  <c r="W9" i="36"/>
  <c r="W22" i="36"/>
  <c r="AB20" i="35"/>
  <c r="AC25" i="35"/>
  <c r="U25" i="35"/>
  <c r="S24" i="35"/>
  <c r="U24" i="35"/>
  <c r="AA16" i="35"/>
  <c r="AA35" i="37"/>
  <c r="S27" i="37"/>
  <c r="S28" i="37"/>
  <c r="W32" i="37"/>
  <c r="U36" i="37"/>
  <c r="S40" i="37"/>
  <c r="U38" i="37"/>
  <c r="AB37" i="37"/>
  <c r="AC34" i="37"/>
  <c r="AB35" i="37"/>
  <c r="AA31" i="37"/>
  <c r="U19" i="37"/>
  <c r="U8" i="37"/>
  <c r="AA31" i="34"/>
  <c r="AA30" i="34"/>
  <c r="U25" i="34"/>
  <c r="AC29" i="34"/>
  <c r="W29" i="34"/>
  <c r="W46" i="34"/>
  <c r="AC46" i="34"/>
  <c r="S32" i="34"/>
  <c r="AA32" i="34"/>
  <c r="U30" i="34"/>
  <c r="AB30" i="34"/>
  <c r="U38" i="34"/>
  <c r="AC23" i="34"/>
  <c r="AC37" i="33"/>
  <c r="W46" i="33"/>
  <c r="U39" i="33"/>
  <c r="U38" i="33"/>
  <c r="S33" i="33"/>
  <c r="AB34" i="33"/>
  <c r="U44" i="33"/>
  <c r="AB44" i="33"/>
  <c r="S30" i="33"/>
  <c r="AA30" i="33"/>
  <c r="AC14" i="33"/>
  <c r="W14" i="33"/>
  <c r="AC30" i="33"/>
  <c r="W30" i="33"/>
  <c r="S31" i="33"/>
  <c r="AA31" i="33"/>
  <c r="U15" i="33"/>
  <c r="S11" i="33"/>
  <c r="U37" i="33"/>
  <c r="AC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AB44" i="21"/>
  <c r="AA30" i="21"/>
  <c r="W13" i="21"/>
  <c r="W42" i="21"/>
  <c r="AC45" i="21"/>
  <c r="F10" i="21"/>
  <c r="AA10" i="21" s="1"/>
  <c r="K145" i="21"/>
  <c r="W17" i="21"/>
  <c r="W25" i="21"/>
  <c r="W31" i="21"/>
  <c r="AA15"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AA12" i="33"/>
  <c r="J32" i="39"/>
  <c r="AC32" i="39" s="1"/>
  <c r="H32" i="39"/>
  <c r="AB32" i="39" s="1"/>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AC35" i="33"/>
  <c r="J36" i="33"/>
  <c r="W36" i="33" s="1"/>
  <c r="H36" i="33"/>
  <c r="U36" i="33" s="1"/>
  <c r="S36" i="33"/>
  <c r="W32" i="33"/>
  <c r="U27" i="33"/>
  <c r="AB27" i="33"/>
  <c r="J27" i="33"/>
  <c r="U25" i="33"/>
  <c r="AB25" i="33"/>
  <c r="S25" i="33"/>
  <c r="J25" i="33"/>
  <c r="AB23" i="33"/>
  <c r="U23" i="33"/>
  <c r="F23" i="33"/>
  <c r="AA19" i="33"/>
  <c r="H19" i="33"/>
  <c r="AB19" i="33" s="1"/>
  <c r="G81" i="33"/>
  <c r="H17" i="33"/>
  <c r="U17" i="33" s="1"/>
  <c r="F17" i="33"/>
  <c r="S17" i="33" s="1"/>
  <c r="W17" i="33"/>
  <c r="AC17" i="33"/>
  <c r="AA23" i="21"/>
  <c r="AB15" i="21"/>
  <c r="J23" i="21"/>
  <c r="AC23" i="21" s="1"/>
  <c r="F85" i="21"/>
  <c r="G85" i="21" s="1"/>
  <c r="H23" i="21"/>
  <c r="U23" i="21" s="1"/>
  <c r="S13" i="21"/>
  <c r="D6" i="52"/>
  <c r="AP7" i="1"/>
  <c r="AB9" i="21"/>
  <c r="U9" i="21"/>
  <c r="W9" i="21"/>
  <c r="AC9" i="21"/>
  <c r="A18" i="62"/>
  <c r="B64" i="72" s="1"/>
  <c r="U32" i="39"/>
  <c r="W23" i="37"/>
  <c r="AC23" i="37"/>
  <c r="J11" i="37"/>
  <c r="AC11" i="37" s="1"/>
  <c r="H70" i="34"/>
  <c r="I70" i="34" s="1"/>
  <c r="J70" i="34" s="1"/>
  <c r="K70" i="34"/>
  <c r="L70" i="34" s="1"/>
  <c r="M70" i="34" s="1"/>
  <c r="J11" i="34"/>
  <c r="W11" i="34" s="1"/>
  <c r="W27" i="33"/>
  <c r="AC27" i="33"/>
  <c r="W25" i="33"/>
  <c r="AC25" i="33"/>
  <c r="U19" i="33"/>
  <c r="AB23" i="21"/>
  <c r="H109" i="9"/>
  <c r="M49" i="9" s="1"/>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8" i="76"/>
  <c r="D35" i="9"/>
  <c r="F7" i="15"/>
  <c r="E13" i="76"/>
  <c r="F13" i="15"/>
  <c r="B12" i="76"/>
  <c r="B8" i="76"/>
  <c r="C20" i="9"/>
  <c r="F43" i="15"/>
  <c r="L47" i="15"/>
  <c r="F7" i="67"/>
  <c r="M26" i="67"/>
  <c r="E7" i="76"/>
  <c r="E11" i="76"/>
  <c r="M23" i="15"/>
  <c r="M9" i="67"/>
  <c r="F37" i="67"/>
  <c r="F6" i="73"/>
  <c r="E2" i="68"/>
  <c r="J15" i="15"/>
  <c r="F16" i="15"/>
  <c r="F4" i="73"/>
  <c r="E10" i="76"/>
  <c r="F3" i="73"/>
  <c r="L47" i="67"/>
  <c r="F8" i="67"/>
  <c r="M6" i="15"/>
  <c r="B11" i="76"/>
  <c r="D20" i="9"/>
  <c r="D19" i="9"/>
  <c r="F40" i="15"/>
  <c r="F36" i="67"/>
  <c r="C76" i="67"/>
  <c r="M24" i="15"/>
  <c r="F42" i="67"/>
  <c r="D34" i="9"/>
  <c r="F42" i="15"/>
  <c r="M9" i="15"/>
  <c r="M8" i="67"/>
  <c r="M8" i="15"/>
  <c r="F26" i="15"/>
  <c r="M28" i="67"/>
  <c r="F5" i="73"/>
  <c r="F38" i="15"/>
  <c r="E12" i="76"/>
  <c r="E9" i="76"/>
  <c r="F9" i="67"/>
  <c r="J15" i="67"/>
  <c r="B10" i="76"/>
  <c r="M29" i="15"/>
  <c r="F36" i="15"/>
  <c r="B9" i="76"/>
  <c r="B13" i="76"/>
  <c r="M26" i="15"/>
  <c r="M22" i="15"/>
  <c r="F7" i="73"/>
  <c r="D6" i="73"/>
  <c r="F8" i="15"/>
  <c r="AO13" i="1"/>
  <c r="M29" i="67"/>
  <c r="C76" i="15"/>
  <c r="F6" i="15"/>
  <c r="E2" i="69"/>
  <c r="C19" i="9"/>
  <c r="F37" i="15"/>
  <c r="F9" i="15"/>
  <c r="F20" i="31"/>
  <c r="B7" i="76"/>
  <c r="M23" i="67"/>
  <c r="L48" i="15"/>
  <c r="M28" i="15"/>
  <c r="L48" i="67"/>
  <c r="F40" i="67"/>
  <c r="S8" i="34" l="1"/>
  <c r="U29" i="34"/>
  <c r="F43" i="34"/>
  <c r="AA43" i="34" s="1"/>
  <c r="J43" i="34"/>
  <c r="AC43" i="34" s="1"/>
  <c r="H43" i="34"/>
  <c r="AB43" i="34" s="1"/>
  <c r="E90" i="34"/>
  <c r="J27" i="34" s="1"/>
  <c r="D18" i="31"/>
  <c r="W47" i="34"/>
  <c r="S37" i="34"/>
  <c r="AA47" i="34"/>
  <c r="AB47" i="34"/>
  <c r="U34" i="34"/>
  <c r="B41" i="1"/>
  <c r="M18" i="15" s="1"/>
  <c r="D93" i="9"/>
  <c r="AC45" i="34"/>
  <c r="AB45" i="34"/>
  <c r="AB23" i="34"/>
  <c r="AC15" i="34"/>
  <c r="AB41" i="34"/>
  <c r="U39" i="34"/>
  <c r="AB42" i="34"/>
  <c r="W44" i="34"/>
  <c r="AA44" i="34"/>
  <c r="AB36" i="34"/>
  <c r="W35" i="34"/>
  <c r="AA40" i="34"/>
  <c r="AB40" i="34"/>
  <c r="W40" i="34"/>
  <c r="W41" i="34"/>
  <c r="S36" i="34"/>
  <c r="AB35" i="34"/>
  <c r="AB33" i="34"/>
  <c r="W33" i="34"/>
  <c r="S23" i="34"/>
  <c r="U21" i="34"/>
  <c r="S21" i="34"/>
  <c r="U19" i="34"/>
  <c r="W19" i="34"/>
  <c r="S19" i="34"/>
  <c r="U15" i="34"/>
  <c r="AB8" i="34"/>
  <c r="U12" i="34"/>
  <c r="W8" i="34"/>
  <c r="G22" i="69"/>
  <c r="G22" i="11"/>
  <c r="E1" i="73"/>
  <c r="G26" i="12"/>
  <c r="G29" i="6"/>
  <c r="BG5" i="3"/>
  <c r="BF5" i="3"/>
  <c r="AB27" i="40"/>
  <c r="U27" i="40"/>
  <c r="AZ558" i="3"/>
  <c r="AZ524" i="3"/>
  <c r="AZ513" i="3"/>
  <c r="AZ503" i="3"/>
  <c r="AZ500" i="3"/>
  <c r="AZ494" i="3"/>
  <c r="AB12" i="40"/>
  <c r="U12" i="40"/>
  <c r="AZ539" i="3"/>
  <c r="AZ501" i="3"/>
  <c r="AZ516" i="3"/>
  <c r="AZ582" i="3"/>
  <c r="M18" i="67"/>
  <c r="W30" i="40"/>
  <c r="S17" i="21"/>
  <c r="AB25" i="21"/>
  <c r="AC13" i="33"/>
  <c r="AB36" i="33"/>
  <c r="W32" i="39"/>
  <c r="U32" i="21"/>
  <c r="S32" i="21"/>
  <c r="AB45" i="21"/>
  <c r="AA29" i="37"/>
  <c r="W36" i="37"/>
  <c r="AC20" i="36"/>
  <c r="S20" i="36"/>
  <c r="AA14" i="21"/>
  <c r="AA45" i="34"/>
  <c r="AZ535" i="3"/>
  <c r="AZ493" i="3"/>
  <c r="AZ529" i="3"/>
  <c r="AZ565" i="3"/>
  <c r="AZ572" i="3"/>
  <c r="AZ540" i="3"/>
  <c r="AA14" i="40"/>
  <c r="S14" i="40"/>
  <c r="F28" i="33"/>
  <c r="H28" i="33"/>
  <c r="AB34" i="35"/>
  <c r="U34" i="35"/>
  <c r="BL564" i="3"/>
  <c r="BA564" i="3"/>
  <c r="AZ564" i="3" s="1"/>
  <c r="BA563" i="3"/>
  <c r="AZ563" i="3" s="1"/>
  <c r="BL561" i="3"/>
  <c r="BA561" i="3"/>
  <c r="BL560" i="3"/>
  <c r="BA560" i="3"/>
  <c r="BL558" i="3"/>
  <c r="BL556" i="3"/>
  <c r="BA556" i="3"/>
  <c r="AZ556" i="3" s="1"/>
  <c r="BA553" i="3"/>
  <c r="AZ553" i="3" s="1"/>
  <c r="BL552" i="3"/>
  <c r="BA552" i="3"/>
  <c r="AZ552" i="3" s="1"/>
  <c r="BL549" i="3"/>
  <c r="AZ549" i="3" s="1"/>
  <c r="BA543" i="3"/>
  <c r="BL542" i="3"/>
  <c r="BA542" i="3"/>
  <c r="AZ542" i="3" s="1"/>
  <c r="BA538" i="3"/>
  <c r="AZ538" i="3" s="1"/>
  <c r="BA536" i="3"/>
  <c r="AZ536" i="3" s="1"/>
  <c r="BA535" i="3"/>
  <c r="BL534" i="3"/>
  <c r="BL533" i="3"/>
  <c r="AZ533" i="3" s="1"/>
  <c r="BL532" i="3"/>
  <c r="AZ532" i="3" s="1"/>
  <c r="BA530" i="3"/>
  <c r="BA528" i="3"/>
  <c r="AZ528" i="3" s="1"/>
  <c r="BA527" i="3"/>
  <c r="AZ527" i="3" s="1"/>
  <c r="BL526" i="3"/>
  <c r="AZ526" i="3" s="1"/>
  <c r="BL524" i="3"/>
  <c r="BA522" i="3"/>
  <c r="AZ522" i="3" s="1"/>
  <c r="BA521" i="3"/>
  <c r="AZ521" i="3" s="1"/>
  <c r="BA520" i="3"/>
  <c r="AZ520" i="3" s="1"/>
  <c r="BL518" i="3"/>
  <c r="BA517" i="3"/>
  <c r="BA515" i="3"/>
  <c r="BA514" i="3"/>
  <c r="AZ514" i="3" s="1"/>
  <c r="BL512" i="3"/>
  <c r="AZ512" i="3" s="1"/>
  <c r="BA509" i="3"/>
  <c r="AZ509" i="3" s="1"/>
  <c r="BL508" i="3"/>
  <c r="AZ508" i="3" s="1"/>
  <c r="BA507" i="3"/>
  <c r="BL506" i="3"/>
  <c r="AZ506" i="3" s="1"/>
  <c r="BL504" i="3"/>
  <c r="BA504" i="3"/>
  <c r="AZ504" i="3" s="1"/>
  <c r="BS5" i="3"/>
  <c r="BL499" i="3"/>
  <c r="BA499" i="3"/>
  <c r="AZ499" i="3" s="1"/>
  <c r="BI5" i="3"/>
  <c r="BA498" i="3"/>
  <c r="AZ498" i="3" s="1"/>
  <c r="BR5" i="3"/>
  <c r="G28" i="6" s="1"/>
  <c r="G30" i="6" s="1"/>
  <c r="G31" i="6" s="1"/>
  <c r="BL496" i="3"/>
  <c r="AZ496" i="3" s="1"/>
  <c r="BH5" i="3"/>
  <c r="H5" i="3"/>
  <c r="C21" i="71"/>
  <c r="D21" i="71" s="1"/>
  <c r="AC25" i="36"/>
  <c r="S21" i="39"/>
  <c r="S36" i="37"/>
  <c r="W23" i="21"/>
  <c r="AA17" i="33"/>
  <c r="S37" i="21"/>
  <c r="F30" i="69"/>
  <c r="F48" i="69" s="1"/>
  <c r="S17" i="34"/>
  <c r="AA33" i="34"/>
  <c r="AA32" i="37"/>
  <c r="J27" i="40"/>
  <c r="U36" i="40"/>
  <c r="AZ15" i="3"/>
  <c r="AZ311" i="3"/>
  <c r="AZ313" i="3"/>
  <c r="AZ341" i="3"/>
  <c r="AZ306" i="3"/>
  <c r="S11" i="39"/>
  <c r="AA11" i="39"/>
  <c r="AB33" i="40"/>
  <c r="BL543" i="3"/>
  <c r="AZ580" i="3"/>
  <c r="G496" i="3"/>
  <c r="AA35" i="34"/>
  <c r="S35" i="34"/>
  <c r="F29" i="33"/>
  <c r="J29" i="33"/>
  <c r="AC29" i="33" s="1"/>
  <c r="F45" i="33"/>
  <c r="J45" i="33"/>
  <c r="H45" i="33"/>
  <c r="H14" i="34"/>
  <c r="J14" i="34"/>
  <c r="F14" i="34"/>
  <c r="J32" i="34"/>
  <c r="H32" i="34"/>
  <c r="F12" i="35"/>
  <c r="H12" i="35"/>
  <c r="H35" i="35"/>
  <c r="J35" i="35"/>
  <c r="F35" i="35"/>
  <c r="W38" i="34"/>
  <c r="AC38" i="34"/>
  <c r="AB34" i="37"/>
  <c r="U34" i="37"/>
  <c r="U30" i="36"/>
  <c r="AB30" i="36"/>
  <c r="BL584" i="3"/>
  <c r="BL580" i="3"/>
  <c r="BL579" i="3"/>
  <c r="BA579" i="3"/>
  <c r="BL578" i="3"/>
  <c r="AZ578" i="3" s="1"/>
  <c r="BA578" i="3"/>
  <c r="BA577" i="3"/>
  <c r="AZ577" i="3" s="1"/>
  <c r="BL576" i="3"/>
  <c r="BA576" i="3"/>
  <c r="AZ576" i="3" s="1"/>
  <c r="BL575" i="3"/>
  <c r="BA574" i="3"/>
  <c r="AZ574" i="3" s="1"/>
  <c r="BA571" i="3"/>
  <c r="AZ571" i="3" s="1"/>
  <c r="BL566" i="3"/>
  <c r="BA566" i="3"/>
  <c r="AA14" i="37"/>
  <c r="S14" i="37"/>
  <c r="S41" i="33"/>
  <c r="AA41" i="33"/>
  <c r="J12" i="40"/>
  <c r="F12" i="40"/>
  <c r="J39" i="40"/>
  <c r="H39" i="40"/>
  <c r="AZ518" i="3"/>
  <c r="S39" i="21"/>
  <c r="U42" i="33"/>
  <c r="AA35" i="33"/>
  <c r="AC39" i="34"/>
  <c r="AA22" i="36"/>
  <c r="AA27" i="40"/>
  <c r="U35" i="40"/>
  <c r="AA34" i="33"/>
  <c r="F39" i="40"/>
  <c r="AC21" i="40"/>
  <c r="BC5" i="3"/>
  <c r="BM5" i="3"/>
  <c r="F29" i="6" s="1"/>
  <c r="E29" i="6" s="1"/>
  <c r="K15" i="1" s="1"/>
  <c r="AZ379" i="3"/>
  <c r="AZ366" i="3"/>
  <c r="AZ362" i="3"/>
  <c r="AZ318" i="3"/>
  <c r="AZ390" i="3"/>
  <c r="AZ351" i="3"/>
  <c r="AZ336" i="3"/>
  <c r="AZ124" i="3"/>
  <c r="AZ394" i="3"/>
  <c r="AZ575" i="3"/>
  <c r="AZ570" i="3"/>
  <c r="W31" i="34"/>
  <c r="AB36" i="39"/>
  <c r="U36" i="39"/>
  <c r="AA28" i="34"/>
  <c r="S28" i="34"/>
  <c r="J12" i="35"/>
  <c r="BL530" i="3"/>
  <c r="BL502" i="3"/>
  <c r="AZ502" i="3" s="1"/>
  <c r="BL495" i="3"/>
  <c r="AZ495" i="3" s="1"/>
  <c r="AZ345" i="3"/>
  <c r="AZ334" i="3"/>
  <c r="AZ372" i="3"/>
  <c r="AZ347" i="3"/>
  <c r="AZ337" i="3"/>
  <c r="AZ376" i="3"/>
  <c r="AZ309" i="3"/>
  <c r="BL503" i="3"/>
  <c r="BL515" i="3"/>
  <c r="BL523" i="3"/>
  <c r="AZ523" i="3" s="1"/>
  <c r="BL527" i="3"/>
  <c r="BL547" i="3"/>
  <c r="AZ547" i="3" s="1"/>
  <c r="BL569" i="3"/>
  <c r="AZ569" i="3" s="1"/>
  <c r="BL557" i="3"/>
  <c r="AZ557" i="3" s="1"/>
  <c r="AB46" i="34"/>
  <c r="AC11" i="35"/>
  <c r="AB17" i="34"/>
  <c r="J27" i="21"/>
  <c r="F27" i="21"/>
  <c r="B72" i="43"/>
  <c r="F9" i="34"/>
  <c r="AA9" i="34" s="1"/>
  <c r="H9" i="34"/>
  <c r="J9" i="34"/>
  <c r="J12" i="34"/>
  <c r="F12" i="34"/>
  <c r="S12" i="34" s="1"/>
  <c r="W27" i="35"/>
  <c r="AC27" i="35"/>
  <c r="H23" i="36"/>
  <c r="J23" i="36"/>
  <c r="BL544" i="3"/>
  <c r="AZ544" i="3" s="1"/>
  <c r="BL587" i="3"/>
  <c r="AZ587" i="3" s="1"/>
  <c r="B101" i="43"/>
  <c r="B79" i="43"/>
  <c r="J9" i="33"/>
  <c r="F9" i="33"/>
  <c r="AA9" i="33" s="1"/>
  <c r="J23" i="35"/>
  <c r="H23" i="35"/>
  <c r="J43" i="39"/>
  <c r="H43" i="39"/>
  <c r="AC31" i="40"/>
  <c r="W31" i="40"/>
  <c r="BA568" i="3"/>
  <c r="AZ568" i="3" s="1"/>
  <c r="BA551" i="3"/>
  <c r="AZ551" i="3" s="1"/>
  <c r="BA550" i="3"/>
  <c r="BL548" i="3"/>
  <c r="AZ548" i="3" s="1"/>
  <c r="BA534" i="3"/>
  <c r="AZ534" i="3" s="1"/>
  <c r="AB34" i="39"/>
  <c r="AA25" i="21"/>
  <c r="W44" i="33"/>
  <c r="AC36" i="34"/>
  <c r="BL519" i="3"/>
  <c r="AZ519" i="3" s="1"/>
  <c r="BL531" i="3"/>
  <c r="AZ531" i="3" s="1"/>
  <c r="BL559" i="3"/>
  <c r="AZ559" i="3" s="1"/>
  <c r="BL573" i="3"/>
  <c r="AZ573" i="3" s="1"/>
  <c r="BL583" i="3"/>
  <c r="AZ583" i="3" s="1"/>
  <c r="AB30" i="21"/>
  <c r="AA14" i="33"/>
  <c r="J11" i="36"/>
  <c r="AC11" i="36" s="1"/>
  <c r="F46" i="34"/>
  <c r="H27" i="21"/>
  <c r="AC11" i="40"/>
  <c r="J28" i="34"/>
  <c r="F23" i="35"/>
  <c r="C25" i="39"/>
  <c r="W28" i="35"/>
  <c r="W25" i="37"/>
  <c r="BL585" i="3"/>
  <c r="AZ585" i="3" s="1"/>
  <c r="AA40" i="33"/>
  <c r="F32" i="36"/>
  <c r="H32" i="36"/>
  <c r="AB30" i="37"/>
  <c r="U30" i="37"/>
  <c r="U8" i="39"/>
  <c r="AB8" i="39"/>
  <c r="AC30" i="36"/>
  <c r="W30" i="36"/>
  <c r="BA584" i="3"/>
  <c r="BL582" i="3"/>
  <c r="AZ444" i="3"/>
  <c r="G587" i="3"/>
  <c r="G558" i="3"/>
  <c r="AZ407" i="3"/>
  <c r="AZ458" i="3"/>
  <c r="AZ462" i="3"/>
  <c r="AZ400" i="3"/>
  <c r="AZ402" i="3"/>
  <c r="AZ406" i="3"/>
  <c r="AZ413" i="3"/>
  <c r="AZ443" i="3"/>
  <c r="AZ453" i="3"/>
  <c r="AZ487" i="3"/>
  <c r="G551" i="3"/>
  <c r="BL550" i="3"/>
  <c r="G542" i="3"/>
  <c r="BL15" i="3"/>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40" i="3"/>
  <c r="BL441" i="3"/>
  <c r="BL442" i="3"/>
  <c r="BL444" i="3"/>
  <c r="G447" i="3"/>
  <c r="BL448" i="3"/>
  <c r="AZ448" i="3" s="1"/>
  <c r="G451" i="3"/>
  <c r="BA454" i="3"/>
  <c r="BA457" i="3"/>
  <c r="AZ457" i="3" s="1"/>
  <c r="BA459" i="3"/>
  <c r="AZ459" i="3" s="1"/>
  <c r="BA460" i="3"/>
  <c r="AZ460" i="3" s="1"/>
  <c r="BA461" i="3"/>
  <c r="AZ461" i="3" s="1"/>
  <c r="BL464" i="3"/>
  <c r="BL466" i="3"/>
  <c r="AZ466" i="3" s="1"/>
  <c r="G469" i="3"/>
  <c r="BL476" i="3"/>
  <c r="AZ476" i="3" s="1"/>
  <c r="BL477" i="3"/>
  <c r="BL478" i="3"/>
  <c r="AZ478" i="3" s="1"/>
  <c r="BL480" i="3"/>
  <c r="AZ480" i="3" s="1"/>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29" i="3"/>
  <c r="AZ229" i="3" s="1"/>
  <c r="BL229" i="3"/>
  <c r="BA241" i="3"/>
  <c r="BL241" i="3"/>
  <c r="BA268" i="3"/>
  <c r="BA282" i="3"/>
  <c r="AZ282" i="3" s="1"/>
  <c r="BL282" i="3"/>
  <c r="BL16" i="3"/>
  <c r="AZ16" i="3" s="1"/>
  <c r="BA401" i="3"/>
  <c r="AZ401" i="3" s="1"/>
  <c r="BA403" i="3"/>
  <c r="AZ403" i="3" s="1"/>
  <c r="BA404" i="3"/>
  <c r="BA405" i="3"/>
  <c r="G409" i="3"/>
  <c r="BL410" i="3"/>
  <c r="G412" i="3"/>
  <c r="G418" i="3"/>
  <c r="G419" i="3"/>
  <c r="BA422" i="3"/>
  <c r="AZ422" i="3" s="1"/>
  <c r="G429" i="3"/>
  <c r="G430" i="3"/>
  <c r="BL431" i="3"/>
  <c r="AZ431" i="3" s="1"/>
  <c r="G433" i="3"/>
  <c r="BL434" i="3"/>
  <c r="G436" i="3"/>
  <c r="G437" i="3"/>
  <c r="BL438" i="3"/>
  <c r="BL439" i="3"/>
  <c r="BA441" i="3"/>
  <c r="BL445" i="3"/>
  <c r="AZ445" i="3" s="1"/>
  <c r="BL446" i="3"/>
  <c r="BL449" i="3"/>
  <c r="BL450" i="3"/>
  <c r="BL452" i="3"/>
  <c r="AZ452" i="3" s="1"/>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L230" i="3"/>
  <c r="G231" i="3"/>
  <c r="BL231" i="3"/>
  <c r="G233" i="3"/>
  <c r="BL233" i="3"/>
  <c r="AZ233" i="3" s="1"/>
  <c r="G235" i="3"/>
  <c r="BL235" i="3"/>
  <c r="AZ235" i="3" s="1"/>
  <c r="BL236" i="3"/>
  <c r="G237" i="3"/>
  <c r="BA239" i="3"/>
  <c r="AZ239" i="3" s="1"/>
  <c r="BL239" i="3"/>
  <c r="G246" i="3"/>
  <c r="BA247" i="3"/>
  <c r="BL247" i="3"/>
  <c r="BA251" i="3"/>
  <c r="AZ251" i="3" s="1"/>
  <c r="BL251" i="3"/>
  <c r="BA254" i="3"/>
  <c r="AZ254" i="3" s="1"/>
  <c r="G258" i="3"/>
  <c r="G266" i="3"/>
  <c r="G270" i="3"/>
  <c r="BL270" i="3"/>
  <c r="BA272" i="3"/>
  <c r="AZ272" i="3" s="1"/>
  <c r="BL275" i="3"/>
  <c r="AZ275" i="3" s="1"/>
  <c r="G277" i="3"/>
  <c r="BL166" i="3"/>
  <c r="G172" i="3"/>
  <c r="AZ177" i="3"/>
  <c r="G398" i="3"/>
  <c r="BL400" i="3"/>
  <c r="BL408" i="3"/>
  <c r="AZ408" i="3" s="1"/>
  <c r="BL411" i="3"/>
  <c r="AZ411" i="3" s="1"/>
  <c r="BL413" i="3"/>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AZ449" i="3" s="1"/>
  <c r="BL453" i="3"/>
  <c r="BL454" i="3"/>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AZ375" i="3" s="1"/>
  <c r="BL385" i="3"/>
  <c r="AZ385" i="3" s="1"/>
  <c r="G392" i="3"/>
  <c r="BA397" i="3"/>
  <c r="BL397" i="3"/>
  <c r="BA210" i="3"/>
  <c r="AZ210" i="3" s="1"/>
  <c r="BL210" i="3"/>
  <c r="BL212" i="3"/>
  <c r="G214" i="3"/>
  <c r="BL214" i="3"/>
  <c r="AZ214" i="3" s="1"/>
  <c r="G216" i="3"/>
  <c r="BL225" i="3"/>
  <c r="BL226" i="3"/>
  <c r="BL242" i="3"/>
  <c r="BL243" i="3"/>
  <c r="G244" i="3"/>
  <c r="G249" i="3"/>
  <c r="BA250" i="3"/>
  <c r="AZ250" i="3" s="1"/>
  <c r="G255" i="3"/>
  <c r="G256" i="3"/>
  <c r="BL262" i="3"/>
  <c r="BL263" i="3"/>
  <c r="G264" i="3"/>
  <c r="BL269" i="3"/>
  <c r="AZ270" i="3"/>
  <c r="BA284" i="3"/>
  <c r="AZ284" i="3" s="1"/>
  <c r="BL290" i="3"/>
  <c r="BL291" i="3"/>
  <c r="AZ291" i="3" s="1"/>
  <c r="BL293" i="3"/>
  <c r="AZ293" i="3" s="1"/>
  <c r="BL294" i="3"/>
  <c r="BA297" i="3"/>
  <c r="BL297" i="3"/>
  <c r="BL300" i="3"/>
  <c r="BA302" i="3"/>
  <c r="AZ302" i="3" s="1"/>
  <c r="BA117" i="3"/>
  <c r="BA130" i="3"/>
  <c r="BL130" i="3"/>
  <c r="BA137" i="3"/>
  <c r="BL138" i="3"/>
  <c r="BA140" i="3"/>
  <c r="AZ140" i="3" s="1"/>
  <c r="BA142" i="3"/>
  <c r="BL149" i="3"/>
  <c r="AZ149" i="3" s="1"/>
  <c r="BL150" i="3"/>
  <c r="BA152" i="3"/>
  <c r="AZ152" i="3" s="1"/>
  <c r="BA154" i="3"/>
  <c r="AZ154" i="3" s="1"/>
  <c r="BL179" i="3"/>
  <c r="AZ179" i="3" s="1"/>
  <c r="BA181" i="3"/>
  <c r="AA18" i="36"/>
  <c r="S18" i="36"/>
  <c r="P65" i="71"/>
  <c r="P66" i="71"/>
  <c r="C47" i="71"/>
  <c r="D47" i="71" s="1"/>
  <c r="D46" i="71"/>
  <c r="BL228" i="3"/>
  <c r="AZ228" i="3" s="1"/>
  <c r="BA230" i="3"/>
  <c r="AZ230" i="3" s="1"/>
  <c r="BL232" i="3"/>
  <c r="BL234" i="3"/>
  <c r="BA236" i="3"/>
  <c r="BA238" i="3"/>
  <c r="AZ238" i="3" s="1"/>
  <c r="BA243" i="3"/>
  <c r="BL248" i="3"/>
  <c r="AZ248" i="3" s="1"/>
  <c r="G250" i="3"/>
  <c r="BL250" i="3"/>
  <c r="G252" i="3"/>
  <c r="G254" i="3"/>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BA126" i="3"/>
  <c r="AZ126" i="3" s="1"/>
  <c r="BA129" i="3"/>
  <c r="BL133" i="3"/>
  <c r="AZ133" i="3" s="1"/>
  <c r="BL139" i="3"/>
  <c r="AZ139" i="3" s="1"/>
  <c r="G140" i="3"/>
  <c r="BL141" i="3"/>
  <c r="BL143" i="3"/>
  <c r="AZ143" i="3" s="1"/>
  <c r="G146" i="3"/>
  <c r="BA157" i="3"/>
  <c r="AZ157" i="3" s="1"/>
  <c r="BA164" i="3"/>
  <c r="AZ164" i="3" s="1"/>
  <c r="BA166" i="3"/>
  <c r="AZ166" i="3" s="1"/>
  <c r="BA169" i="3"/>
  <c r="AZ169" i="3" s="1"/>
  <c r="BL171" i="3"/>
  <c r="AZ171" i="3" s="1"/>
  <c r="BA174" i="3"/>
  <c r="BL177" i="3"/>
  <c r="BA184" i="3"/>
  <c r="AZ184" i="3" s="1"/>
  <c r="BL187" i="3"/>
  <c r="AZ187" i="3" s="1"/>
  <c r="G188" i="3"/>
  <c r="BL189" i="3"/>
  <c r="AZ189" i="3" s="1"/>
  <c r="BL190" i="3"/>
  <c r="G191" i="3"/>
  <c r="BA22" i="3"/>
  <c r="BA30" i="3"/>
  <c r="BA40" i="3"/>
  <c r="G48" i="3"/>
  <c r="G66" i="3"/>
  <c r="G92" i="3"/>
  <c r="Y35" i="71"/>
  <c r="Z35" i="71" s="1"/>
  <c r="Y37" i="71"/>
  <c r="Z37" i="71" s="1"/>
  <c r="C38" i="71"/>
  <c r="X36" i="71"/>
  <c r="X35" i="71"/>
  <c r="X38" i="71"/>
  <c r="B39" i="71"/>
  <c r="B40" i="71" s="1"/>
  <c r="S40" i="71" s="1"/>
  <c r="X31" i="71"/>
  <c r="BA237" i="3"/>
  <c r="AZ237" i="3" s="1"/>
  <c r="BL240" i="3"/>
  <c r="AZ240" i="3" s="1"/>
  <c r="BA242" i="3"/>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56" i="3"/>
  <c r="AZ156" i="3" s="1"/>
  <c r="BA160" i="3"/>
  <c r="AZ160" i="3" s="1"/>
  <c r="G162" i="3"/>
  <c r="BL162" i="3"/>
  <c r="AZ162" i="3" s="1"/>
  <c r="BL165" i="3"/>
  <c r="G166" i="3"/>
  <c r="BL170" i="3"/>
  <c r="G171" i="3"/>
  <c r="BA173" i="3"/>
  <c r="AZ173" i="3" s="1"/>
  <c r="BL181" i="3"/>
  <c r="G182" i="3"/>
  <c r="BA201" i="3"/>
  <c r="AZ201" i="3" s="1"/>
  <c r="AZ70" i="3"/>
  <c r="G73" i="3"/>
  <c r="Y26" i="71"/>
  <c r="Z26" i="71" s="1"/>
  <c r="C28" i="71"/>
  <c r="Y28" i="71"/>
  <c r="Z28" i="71" s="1"/>
  <c r="Y25" i="71"/>
  <c r="Z25" i="71" s="1"/>
  <c r="Y27" i="71"/>
  <c r="Z27" i="71" s="1"/>
  <c r="BL183" i="3"/>
  <c r="AZ183" i="3" s="1"/>
  <c r="BA186" i="3"/>
  <c r="AZ186" i="3" s="1"/>
  <c r="BA190" i="3"/>
  <c r="AZ190" i="3" s="1"/>
  <c r="BA197" i="3"/>
  <c r="BL201" i="3"/>
  <c r="BL203" i="3"/>
  <c r="AZ203" i="3" s="1"/>
  <c r="BA204" i="3"/>
  <c r="AZ204" i="3" s="1"/>
  <c r="BA18" i="3"/>
  <c r="BL21" i="3"/>
  <c r="G23" i="3"/>
  <c r="BL29" i="3"/>
  <c r="G33" i="3"/>
  <c r="G34" i="3"/>
  <c r="BA37" i="3"/>
  <c r="BL39" i="3"/>
  <c r="G43" i="3"/>
  <c r="G44" i="3"/>
  <c r="BA45" i="3"/>
  <c r="AZ45" i="3" s="1"/>
  <c r="BA46" i="3"/>
  <c r="BL49" i="3"/>
  <c r="AZ49" i="3" s="1"/>
  <c r="BL50" i="3"/>
  <c r="AZ50" i="3" s="1"/>
  <c r="BL51" i="3"/>
  <c r="AZ51" i="3" s="1"/>
  <c r="BL53" i="3"/>
  <c r="BA56" i="3"/>
  <c r="BA57" i="3"/>
  <c r="BL58" i="3"/>
  <c r="AZ58" i="3" s="1"/>
  <c r="G60" i="3"/>
  <c r="BA60" i="3"/>
  <c r="BA63" i="3"/>
  <c r="BA66" i="3"/>
  <c r="AZ66" i="3" s="1"/>
  <c r="BA71" i="3"/>
  <c r="AZ71" i="3" s="1"/>
  <c r="BL77" i="3"/>
  <c r="AZ77" i="3" s="1"/>
  <c r="BL81" i="3"/>
  <c r="BA82" i="3"/>
  <c r="AZ82" i="3" s="1"/>
  <c r="BL83" i="3"/>
  <c r="G88" i="3"/>
  <c r="BA90" i="3"/>
  <c r="BA100" i="3"/>
  <c r="AZ103" i="3"/>
  <c r="G109" i="3"/>
  <c r="BA111" i="3"/>
  <c r="F40" i="68"/>
  <c r="C21" i="68"/>
  <c r="AC29" i="39"/>
  <c r="W29" i="39"/>
  <c r="AB32" i="71"/>
  <c r="AA34" i="71"/>
  <c r="AA30" i="71"/>
  <c r="AA37" i="71"/>
  <c r="C51" i="71"/>
  <c r="D56" i="71"/>
  <c r="T56" i="71"/>
  <c r="C60" i="71"/>
  <c r="D59" i="71"/>
  <c r="N67" i="71"/>
  <c r="B66" i="71"/>
  <c r="F66" i="71"/>
  <c r="Q67" i="71"/>
  <c r="T80" i="71"/>
  <c r="C79" i="71"/>
  <c r="BA146" i="3"/>
  <c r="AZ146" i="3" s="1"/>
  <c r="BA150" i="3"/>
  <c r="AZ150" i="3" s="1"/>
  <c r="G159" i="3"/>
  <c r="BL167" i="3"/>
  <c r="AZ167" i="3" s="1"/>
  <c r="G175" i="3"/>
  <c r="G176" i="3"/>
  <c r="BL178" i="3"/>
  <c r="AZ178" i="3" s="1"/>
  <c r="BA180" i="3"/>
  <c r="AZ180" i="3" s="1"/>
  <c r="BL182" i="3"/>
  <c r="AZ182" i="3" s="1"/>
  <c r="G183" i="3"/>
  <c r="BA185" i="3"/>
  <c r="BL191" i="3"/>
  <c r="AZ191" i="3" s="1"/>
  <c r="G192" i="3"/>
  <c r="BA193" i="3"/>
  <c r="AZ193" i="3" s="1"/>
  <c r="BA196" i="3"/>
  <c r="AZ196" i="3" s="1"/>
  <c r="G203" i="3"/>
  <c r="BA205" i="3"/>
  <c r="AZ205" i="3" s="1"/>
  <c r="G20" i="3"/>
  <c r="BL20" i="3"/>
  <c r="BA21" i="3"/>
  <c r="AZ21" i="3" s="1"/>
  <c r="BA25" i="3"/>
  <c r="BA26" i="3"/>
  <c r="G28" i="3"/>
  <c r="BL28" i="3"/>
  <c r="BA29" i="3"/>
  <c r="BA36" i="3"/>
  <c r="BL38" i="3"/>
  <c r="BA39" i="3"/>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BL71" i="3"/>
  <c r="BL72" i="3"/>
  <c r="AZ72" i="3" s="1"/>
  <c r="G74" i="3"/>
  <c r="G75" i="3"/>
  <c r="BL75" i="3"/>
  <c r="BL91" i="3"/>
  <c r="BL100" i="3"/>
  <c r="BL105" i="3"/>
  <c r="AZ105" i="3" s="1"/>
  <c r="BL107" i="3"/>
  <c r="C40" i="68"/>
  <c r="F34" i="71"/>
  <c r="F35" i="71" s="1"/>
  <c r="F36" i="71" s="1"/>
  <c r="V36" i="71" s="1"/>
  <c r="AB33" i="71"/>
  <c r="AB28" i="71"/>
  <c r="T72" i="71"/>
  <c r="C71" i="71"/>
  <c r="U76" i="71"/>
  <c r="E75" i="71"/>
  <c r="E74" i="71" s="1"/>
  <c r="AB27" i="71"/>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BA38" i="3"/>
  <c r="BA41" i="3"/>
  <c r="AZ41" i="3" s="1"/>
  <c r="BA42" i="3"/>
  <c r="G46" i="3"/>
  <c r="BL48" i="3"/>
  <c r="AZ48" i="3" s="1"/>
  <c r="BL54" i="3"/>
  <c r="BL55" i="3"/>
  <c r="AZ55" i="3" s="1"/>
  <c r="G57" i="3"/>
  <c r="BA59" i="3"/>
  <c r="AZ59" i="3" s="1"/>
  <c r="G61" i="3"/>
  <c r="BL61" i="3"/>
  <c r="AZ61" i="3" s="1"/>
  <c r="BA64" i="3"/>
  <c r="AZ64" i="3" s="1"/>
  <c r="BL68" i="3"/>
  <c r="AZ68" i="3" s="1"/>
  <c r="BA69" i="3"/>
  <c r="AZ69" i="3" s="1"/>
  <c r="BL73" i="3"/>
  <c r="BA74" i="3"/>
  <c r="AZ74" i="3" s="1"/>
  <c r="BA78" i="3"/>
  <c r="AZ78" i="3" s="1"/>
  <c r="BA80" i="3"/>
  <c r="G84" i="3"/>
  <c r="BL84" i="3"/>
  <c r="AZ84" i="3" s="1"/>
  <c r="BA89" i="3"/>
  <c r="BL92" i="3"/>
  <c r="BL94" i="3"/>
  <c r="AZ94" i="3" s="1"/>
  <c r="BL99" i="3"/>
  <c r="G101" i="3"/>
  <c r="BA101" i="3"/>
  <c r="AZ101" i="3" s="1"/>
  <c r="BA102" i="3"/>
  <c r="BL110" i="3"/>
  <c r="BL111" i="3"/>
  <c r="AA21" i="33"/>
  <c r="S21" i="33"/>
  <c r="E28" i="71"/>
  <c r="AA28" i="71"/>
  <c r="X26" i="71"/>
  <c r="Y29" i="71"/>
  <c r="Z29" i="71" s="1"/>
  <c r="C31" i="71"/>
  <c r="Y30" i="71"/>
  <c r="Z30" i="71" s="1"/>
  <c r="X25" i="71"/>
  <c r="AA35" i="71"/>
  <c r="AA38" i="71"/>
  <c r="AA39" i="71"/>
  <c r="D84" i="71"/>
  <c r="C83" i="71"/>
  <c r="AA27" i="71"/>
  <c r="V24" i="71"/>
  <c r="E23" i="71"/>
  <c r="E22" i="71" s="1"/>
  <c r="E21" i="71" s="1"/>
  <c r="E20" i="71" s="1"/>
  <c r="E19" i="71" s="1"/>
  <c r="E18" i="71" s="1"/>
  <c r="E17" i="71" s="1"/>
  <c r="E16" i="71"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S25" i="40"/>
  <c r="B77" i="43"/>
  <c r="AA18" i="35"/>
  <c r="O67" i="71"/>
  <c r="C87" i="71"/>
  <c r="E79" i="71"/>
  <c r="E78" i="71" s="1"/>
  <c r="AB25" i="71"/>
  <c r="C43" i="71"/>
  <c r="C35" i="71"/>
  <c r="N68" i="71"/>
  <c r="E38" i="71"/>
  <c r="E39" i="71" s="1"/>
  <c r="E40" i="71" s="1"/>
  <c r="U40" i="71" s="1"/>
  <c r="B34" i="71"/>
  <c r="B35" i="71" s="1"/>
  <c r="B36" i="71" s="1"/>
  <c r="S36" i="71" s="1"/>
  <c r="X33" i="71"/>
  <c r="AB37" i="71"/>
  <c r="C5" i="68"/>
  <c r="U29" i="39"/>
  <c r="C66" i="71"/>
  <c r="AB2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C13" i="36"/>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9" i="3"/>
  <c r="AZ44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212" i="3"/>
  <c r="AZ220" i="3"/>
  <c r="AZ231" i="3"/>
  <c r="AZ276"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6" i="3"/>
  <c r="G248" i="3"/>
  <c r="AZ258" i="3"/>
  <c r="AZ260" i="3"/>
  <c r="BL268" i="3"/>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40" i="3"/>
  <c r="AZ73" i="3"/>
  <c r="AZ104" i="3"/>
  <c r="AZ106" i="3"/>
  <c r="G200" i="3"/>
  <c r="G207" i="3"/>
  <c r="BA23" i="3"/>
  <c r="AZ23" i="3" s="1"/>
  <c r="BA24" i="3"/>
  <c r="AZ24" i="3" s="1"/>
  <c r="BL26" i="3"/>
  <c r="BL32" i="3"/>
  <c r="AZ32" i="3" s="1"/>
  <c r="BA34" i="3"/>
  <c r="AZ34" i="3" s="1"/>
  <c r="BA35" i="3"/>
  <c r="AZ35" i="3" s="1"/>
  <c r="BL37" i="3"/>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BL98" i="3"/>
  <c r="AZ98" i="3" s="1"/>
  <c r="BL109" i="3"/>
  <c r="AZ109" i="3" s="1"/>
  <c r="AB21" i="21"/>
  <c r="AZ95" i="3"/>
  <c r="G77" i="3"/>
  <c r="BA81" i="3"/>
  <c r="AZ81" i="3" s="1"/>
  <c r="BA85" i="3"/>
  <c r="AZ85" i="3" s="1"/>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F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3" i="6"/>
  <c r="H16" i="1"/>
  <c r="P6" i="1"/>
  <c r="C13" i="12" s="1"/>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L59" i="15"/>
  <c r="N59" i="15"/>
  <c r="L58" i="15"/>
  <c r="M59" i="15"/>
  <c r="F66" i="15"/>
  <c r="Q71" i="67"/>
  <c r="F64" i="15"/>
  <c r="D103" i="9"/>
  <c r="C27" i="15"/>
  <c r="F65" i="15"/>
  <c r="G20" i="9"/>
  <c r="C103" i="9"/>
  <c r="N59" i="67"/>
  <c r="L59" i="67"/>
  <c r="L58" i="67"/>
  <c r="M59" i="67"/>
  <c r="B13" i="70"/>
  <c r="M7" i="67"/>
  <c r="F50" i="67"/>
  <c r="F68" i="67"/>
  <c r="F64" i="67"/>
  <c r="F68" i="15"/>
  <c r="C36" i="68"/>
  <c r="D9" i="69"/>
  <c r="C36" i="69"/>
  <c r="D9" i="68"/>
  <c r="D5" i="73"/>
  <c r="F38" i="67"/>
  <c r="F26" i="67"/>
  <c r="M22" i="67"/>
  <c r="F16" i="67"/>
  <c r="D4" i="73"/>
  <c r="D7" i="73"/>
  <c r="F43" i="67"/>
  <c r="F13" i="67"/>
  <c r="M24" i="67"/>
  <c r="D3" i="73"/>
  <c r="M6" i="67"/>
  <c r="C16" i="15"/>
  <c r="F6" i="67"/>
  <c r="S43" i="34" l="1"/>
  <c r="W43" i="34"/>
  <c r="U43" i="34"/>
  <c r="AC27" i="34"/>
  <c r="W27" i="34"/>
  <c r="Q31" i="31"/>
  <c r="Q35" i="31"/>
  <c r="Q39" i="31"/>
  <c r="Q43" i="31"/>
  <c r="Q47" i="31"/>
  <c r="Q51" i="31"/>
  <c r="Q55" i="31"/>
  <c r="Q59" i="31"/>
  <c r="Q63" i="31"/>
  <c r="Q67" i="31"/>
  <c r="Q71" i="31"/>
  <c r="Q75" i="31"/>
  <c r="Q79" i="31"/>
  <c r="Q83" i="31"/>
  <c r="Q87" i="31"/>
  <c r="Q91" i="31"/>
  <c r="Q95" i="31"/>
  <c r="Q99" i="31"/>
  <c r="Q103" i="31"/>
  <c r="Q107" i="31"/>
  <c r="Q111" i="31"/>
  <c r="Q115" i="31"/>
  <c r="Q119" i="31"/>
  <c r="Q123" i="31"/>
  <c r="Q127" i="31"/>
  <c r="Q131" i="31"/>
  <c r="Q135" i="31"/>
  <c r="Q139" i="31"/>
  <c r="Q143" i="31"/>
  <c r="Q32" i="31"/>
  <c r="Q36" i="31"/>
  <c r="Q40" i="31"/>
  <c r="Q44" i="31"/>
  <c r="Q48" i="31"/>
  <c r="Q52" i="31"/>
  <c r="Q56" i="31"/>
  <c r="Q60" i="31"/>
  <c r="Q64" i="31"/>
  <c r="Q68" i="31"/>
  <c r="Q72" i="31"/>
  <c r="Q76" i="31"/>
  <c r="Q80" i="31"/>
  <c r="Q84" i="31"/>
  <c r="Q88" i="31"/>
  <c r="Q92" i="31"/>
  <c r="Q96" i="31"/>
  <c r="Q100" i="31"/>
  <c r="Q104" i="31"/>
  <c r="Q108" i="31"/>
  <c r="Q112" i="31"/>
  <c r="Q116" i="31"/>
  <c r="Q120" i="31"/>
  <c r="Q124" i="31"/>
  <c r="Q128" i="31"/>
  <c r="Q132" i="31"/>
  <c r="Q136" i="31"/>
  <c r="Q140" i="31"/>
  <c r="Q144" i="31"/>
  <c r="Q148" i="31"/>
  <c r="Q152" i="31"/>
  <c r="Q156" i="31"/>
  <c r="Q160" i="31"/>
  <c r="Q164" i="31"/>
  <c r="Q168" i="31"/>
  <c r="Q172" i="31"/>
  <c r="Q176" i="31"/>
  <c r="Q180" i="31"/>
  <c r="Q184" i="31"/>
  <c r="Q188" i="31"/>
  <c r="Q192" i="31"/>
  <c r="Q196" i="31"/>
  <c r="Q200" i="31"/>
  <c r="Q204" i="31"/>
  <c r="Q208" i="31"/>
  <c r="Q212" i="31"/>
  <c r="Q216" i="31"/>
  <c r="Q220" i="31"/>
  <c r="Q224" i="31"/>
  <c r="Q228" i="31"/>
  <c r="Q232" i="31"/>
  <c r="Q236" i="31"/>
  <c r="Q240" i="31"/>
  <c r="Q244" i="31"/>
  <c r="Q248" i="31"/>
  <c r="Q252" i="31"/>
  <c r="Q256" i="31"/>
  <c r="Q260" i="31"/>
  <c r="Q264" i="31"/>
  <c r="Q268" i="31"/>
  <c r="Q272" i="31"/>
  <c r="Q276" i="31"/>
  <c r="Q280" i="31"/>
  <c r="Q284" i="31"/>
  <c r="Q288" i="31"/>
  <c r="Q292" i="31"/>
  <c r="Q296" i="31"/>
  <c r="Q300" i="31"/>
  <c r="Q304" i="31"/>
  <c r="Q308" i="31"/>
  <c r="Q312" i="31"/>
  <c r="Q316" i="31"/>
  <c r="Q320" i="31"/>
  <c r="Q324" i="31"/>
  <c r="Q328" i="31"/>
  <c r="Q332" i="31"/>
  <c r="Q336" i="31"/>
  <c r="Q340" i="31"/>
  <c r="Q344" i="31"/>
  <c r="Q348" i="31"/>
  <c r="Q352" i="31"/>
  <c r="Q356" i="31"/>
  <c r="Q360" i="31"/>
  <c r="Q364" i="31"/>
  <c r="Q368" i="31"/>
  <c r="Q29" i="31"/>
  <c r="Q33" i="31"/>
  <c r="Q37" i="31"/>
  <c r="Q41" i="31"/>
  <c r="Q45" i="31"/>
  <c r="Q49" i="31"/>
  <c r="Q53" i="31"/>
  <c r="Q57" i="31"/>
  <c r="Q61" i="31"/>
  <c r="Q65" i="31"/>
  <c r="Q69" i="31"/>
  <c r="Q73" i="31"/>
  <c r="Q77" i="31"/>
  <c r="Q81" i="31"/>
  <c r="Q85" i="31"/>
  <c r="Q89" i="31"/>
  <c r="Q93" i="31"/>
  <c r="Q97" i="31"/>
  <c r="Q101" i="31"/>
  <c r="Q105" i="31"/>
  <c r="Q109" i="31"/>
  <c r="Q113" i="31"/>
  <c r="Q117" i="31"/>
  <c r="Q121" i="31"/>
  <c r="Q125" i="31"/>
  <c r="Q129" i="31"/>
  <c r="Q133" i="31"/>
  <c r="Q137" i="31"/>
  <c r="Q141" i="31"/>
  <c r="Q145" i="31"/>
  <c r="Q149" i="31"/>
  <c r="Q153" i="31"/>
  <c r="Q157" i="31"/>
  <c r="Q161" i="31"/>
  <c r="Q165" i="31"/>
  <c r="Q169" i="31"/>
  <c r="Q173" i="31"/>
  <c r="Q177" i="31"/>
  <c r="Q181" i="31"/>
  <c r="Q185" i="31"/>
  <c r="Q189" i="31"/>
  <c r="Q193" i="31"/>
  <c r="Q197" i="31"/>
  <c r="Q201" i="31"/>
  <c r="Q205" i="31"/>
  <c r="Q209" i="31"/>
  <c r="Q213" i="31"/>
  <c r="Q217" i="31"/>
  <c r="Q221" i="31"/>
  <c r="Q225" i="31"/>
  <c r="Q229" i="31"/>
  <c r="Q233" i="31"/>
  <c r="Q237" i="31"/>
  <c r="Q241" i="31"/>
  <c r="Q245" i="31"/>
  <c r="Q249" i="31"/>
  <c r="Q253" i="31"/>
  <c r="Q257" i="31"/>
  <c r="Q261" i="31"/>
  <c r="Q265" i="31"/>
  <c r="Q269" i="31"/>
  <c r="Q273" i="31"/>
  <c r="Q277" i="31"/>
  <c r="Q281" i="31"/>
  <c r="Q285" i="31"/>
  <c r="Q289" i="31"/>
  <c r="Q293" i="31"/>
  <c r="Q297" i="31"/>
  <c r="Q301" i="31"/>
  <c r="Q305" i="31"/>
  <c r="Q309" i="31"/>
  <c r="Q313" i="31"/>
  <c r="Q317" i="31"/>
  <c r="Q321" i="31"/>
  <c r="Q325" i="31"/>
  <c r="Q329" i="31"/>
  <c r="Q333" i="31"/>
  <c r="Q337" i="31"/>
  <c r="Q341" i="31"/>
  <c r="Q345" i="31"/>
  <c r="Q349" i="31"/>
  <c r="Q353" i="31"/>
  <c r="Q357" i="31"/>
  <c r="Q361" i="31"/>
  <c r="Q365" i="31"/>
  <c r="Q38" i="31"/>
  <c r="Q54" i="31"/>
  <c r="Q70" i="31"/>
  <c r="Q86" i="31"/>
  <c r="Q102" i="31"/>
  <c r="Q118" i="31"/>
  <c r="Q134" i="31"/>
  <c r="Q147" i="31"/>
  <c r="Q155" i="31"/>
  <c r="Q163" i="31"/>
  <c r="Q171" i="31"/>
  <c r="Q179" i="31"/>
  <c r="Q187" i="31"/>
  <c r="Q195" i="31"/>
  <c r="Q203" i="31"/>
  <c r="Q211" i="31"/>
  <c r="Q219" i="31"/>
  <c r="Q227" i="31"/>
  <c r="Q235" i="31"/>
  <c r="Q243" i="31"/>
  <c r="Q251" i="31"/>
  <c r="Q259" i="31"/>
  <c r="Q267" i="31"/>
  <c r="Q275" i="31"/>
  <c r="Q283" i="31"/>
  <c r="Q291" i="31"/>
  <c r="Q299" i="31"/>
  <c r="Q307" i="31"/>
  <c r="Q315" i="31"/>
  <c r="Q323" i="31"/>
  <c r="Q331" i="31"/>
  <c r="Q339" i="31"/>
  <c r="Q347" i="31"/>
  <c r="Q355" i="31"/>
  <c r="Q363" i="31"/>
  <c r="Q370" i="31"/>
  <c r="Q374" i="31"/>
  <c r="Q378" i="31"/>
  <c r="Q382" i="31"/>
  <c r="Q386" i="31"/>
  <c r="Q390" i="31"/>
  <c r="Q394" i="31"/>
  <c r="Q398" i="31"/>
  <c r="Q402" i="31"/>
  <c r="Q406" i="31"/>
  <c r="Q410" i="31"/>
  <c r="Q414" i="31"/>
  <c r="Q418" i="31"/>
  <c r="Q422" i="31"/>
  <c r="Q426" i="31"/>
  <c r="Q430" i="31"/>
  <c r="Q434" i="31"/>
  <c r="Q438" i="31"/>
  <c r="Q442" i="31"/>
  <c r="Q446" i="31"/>
  <c r="Q450" i="31"/>
  <c r="Q454" i="31"/>
  <c r="Q458" i="31"/>
  <c r="Q462" i="31"/>
  <c r="Q466" i="31"/>
  <c r="Q470" i="31"/>
  <c r="Q474" i="31"/>
  <c r="Q478" i="31"/>
  <c r="Q482" i="31"/>
  <c r="Q486" i="31"/>
  <c r="Q490" i="31"/>
  <c r="Q494" i="31"/>
  <c r="Q498" i="31"/>
  <c r="Q502" i="31"/>
  <c r="Q506" i="31"/>
  <c r="Q510" i="31"/>
  <c r="Q514" i="31"/>
  <c r="Q518" i="31"/>
  <c r="Q522" i="31"/>
  <c r="Q26" i="31"/>
  <c r="Q468" i="31"/>
  <c r="Q496" i="31"/>
  <c r="Q508" i="31"/>
  <c r="Q520" i="31"/>
  <c r="Q66" i="31"/>
  <c r="Q114" i="31"/>
  <c r="Q154" i="31"/>
  <c r="Q178" i="31"/>
  <c r="Q42" i="31"/>
  <c r="Q58" i="31"/>
  <c r="Q74" i="31"/>
  <c r="Q90" i="31"/>
  <c r="Q106" i="31"/>
  <c r="Q122" i="31"/>
  <c r="Q138" i="31"/>
  <c r="Q150" i="31"/>
  <c r="Q158" i="31"/>
  <c r="Q166" i="31"/>
  <c r="Q174" i="31"/>
  <c r="Q182" i="31"/>
  <c r="Q190" i="31"/>
  <c r="Q198" i="31"/>
  <c r="Q206" i="31"/>
  <c r="Q214" i="31"/>
  <c r="Q222" i="31"/>
  <c r="Q230" i="31"/>
  <c r="Q238" i="31"/>
  <c r="Q246" i="31"/>
  <c r="Q254" i="31"/>
  <c r="Q262" i="31"/>
  <c r="Q270" i="31"/>
  <c r="Q278" i="31"/>
  <c r="Q286" i="31"/>
  <c r="Q294" i="31"/>
  <c r="Q302" i="31"/>
  <c r="Q310" i="31"/>
  <c r="Q318" i="31"/>
  <c r="Q326" i="31"/>
  <c r="Q334" i="31"/>
  <c r="Q342" i="31"/>
  <c r="Q350" i="31"/>
  <c r="Q358" i="31"/>
  <c r="Q366" i="31"/>
  <c r="Q371" i="31"/>
  <c r="Q375" i="31"/>
  <c r="Q379" i="31"/>
  <c r="Q383" i="31"/>
  <c r="Q387" i="31"/>
  <c r="Q391" i="31"/>
  <c r="Q395" i="31"/>
  <c r="Q399" i="31"/>
  <c r="Q403" i="31"/>
  <c r="Q407" i="31"/>
  <c r="Q411" i="31"/>
  <c r="Q415" i="31"/>
  <c r="Q419" i="31"/>
  <c r="Q423" i="31"/>
  <c r="Q427" i="31"/>
  <c r="Q431" i="31"/>
  <c r="Q435" i="31"/>
  <c r="Q439" i="31"/>
  <c r="Q443" i="31"/>
  <c r="Q447" i="31"/>
  <c r="Q451" i="31"/>
  <c r="Q455" i="31"/>
  <c r="Q459" i="31"/>
  <c r="Q463" i="31"/>
  <c r="Q467" i="31"/>
  <c r="Q471" i="31"/>
  <c r="Q475" i="31"/>
  <c r="Q479" i="31"/>
  <c r="Q483" i="31"/>
  <c r="Q487" i="31"/>
  <c r="Q491" i="31"/>
  <c r="Q495" i="31"/>
  <c r="Q499" i="31"/>
  <c r="Q503" i="31"/>
  <c r="Q507" i="31"/>
  <c r="Q511" i="31"/>
  <c r="Q515" i="31"/>
  <c r="Q519" i="31"/>
  <c r="Q523" i="31"/>
  <c r="Q460" i="31"/>
  <c r="Q480" i="31"/>
  <c r="Q488" i="31"/>
  <c r="Q500" i="31"/>
  <c r="Q512" i="31"/>
  <c r="Q524" i="31"/>
  <c r="Q34" i="31"/>
  <c r="Q98" i="31"/>
  <c r="Q146" i="31"/>
  <c r="Q170" i="31"/>
  <c r="Q30" i="31"/>
  <c r="Q46" i="31"/>
  <c r="Q62" i="31"/>
  <c r="Q78" i="31"/>
  <c r="Q94" i="31"/>
  <c r="Q110" i="31"/>
  <c r="Q126" i="31"/>
  <c r="Q142" i="31"/>
  <c r="Q151" i="31"/>
  <c r="Q159" i="31"/>
  <c r="Q167" i="31"/>
  <c r="Q175" i="31"/>
  <c r="Q183" i="31"/>
  <c r="Q191" i="31"/>
  <c r="Q199" i="31"/>
  <c r="Q207" i="31"/>
  <c r="Q215" i="31"/>
  <c r="Q223" i="31"/>
  <c r="Q231" i="31"/>
  <c r="Q239" i="31"/>
  <c r="Q247" i="31"/>
  <c r="Q255" i="31"/>
  <c r="Q263" i="31"/>
  <c r="Q271" i="31"/>
  <c r="Q279" i="31"/>
  <c r="Q287" i="31"/>
  <c r="Q295" i="31"/>
  <c r="Q303" i="31"/>
  <c r="Q311" i="31"/>
  <c r="Q319" i="31"/>
  <c r="Q327" i="31"/>
  <c r="Q335" i="31"/>
  <c r="Q343" i="31"/>
  <c r="Q351" i="31"/>
  <c r="Q359" i="31"/>
  <c r="Q367" i="31"/>
  <c r="Q372" i="31"/>
  <c r="Q376" i="31"/>
  <c r="Q380" i="31"/>
  <c r="Q384" i="31"/>
  <c r="Q388" i="31"/>
  <c r="Q392" i="31"/>
  <c r="Q396" i="31"/>
  <c r="Q400" i="31"/>
  <c r="Q404" i="31"/>
  <c r="Q408" i="31"/>
  <c r="Q412" i="31"/>
  <c r="Q416" i="31"/>
  <c r="Q420" i="31"/>
  <c r="Q424" i="31"/>
  <c r="Q428" i="31"/>
  <c r="Q432" i="31"/>
  <c r="Q436" i="31"/>
  <c r="Q440" i="31"/>
  <c r="Q444" i="31"/>
  <c r="Q448" i="31"/>
  <c r="Q452" i="31"/>
  <c r="Q456" i="31"/>
  <c r="Q464" i="31"/>
  <c r="Q472" i="31"/>
  <c r="Q476" i="31"/>
  <c r="Q484" i="31"/>
  <c r="Q492" i="31"/>
  <c r="Q504" i="31"/>
  <c r="Q516" i="31"/>
  <c r="Q28" i="31"/>
  <c r="Q50" i="31"/>
  <c r="Q82" i="31"/>
  <c r="Q130" i="31"/>
  <c r="Q162" i="31"/>
  <c r="Q186" i="31"/>
  <c r="Q210" i="31"/>
  <c r="Q242" i="31"/>
  <c r="Q274" i="31"/>
  <c r="Q306" i="31"/>
  <c r="Q338" i="31"/>
  <c r="Q369" i="31"/>
  <c r="Q385" i="31"/>
  <c r="Q401" i="31"/>
  <c r="Q417" i="31"/>
  <c r="Q433" i="31"/>
  <c r="Q449" i="31"/>
  <c r="Q465" i="31"/>
  <c r="Q481" i="31"/>
  <c r="Q497" i="31"/>
  <c r="Q513" i="31"/>
  <c r="Q234" i="31"/>
  <c r="Q330" i="31"/>
  <c r="Q413" i="31"/>
  <c r="Q461" i="31"/>
  <c r="Q509" i="31"/>
  <c r="Q218" i="31"/>
  <c r="Q250" i="31"/>
  <c r="Q282" i="31"/>
  <c r="Q314" i="31"/>
  <c r="Q346" i="31"/>
  <c r="Q373" i="31"/>
  <c r="Q389" i="31"/>
  <c r="Q405" i="31"/>
  <c r="Q421" i="31"/>
  <c r="Q437" i="31"/>
  <c r="Q453" i="31"/>
  <c r="Q469" i="31"/>
  <c r="Q485" i="31"/>
  <c r="Q501" i="31"/>
  <c r="Q517" i="31"/>
  <c r="Q202" i="31"/>
  <c r="Q298" i="31"/>
  <c r="Q381" i="31"/>
  <c r="Q429" i="31"/>
  <c r="Q477" i="31"/>
  <c r="Q25" i="31"/>
  <c r="Q194" i="31"/>
  <c r="Q226" i="31"/>
  <c r="Q258" i="31"/>
  <c r="Q290" i="31"/>
  <c r="Q322" i="31"/>
  <c r="Q354" i="31"/>
  <c r="Q377" i="31"/>
  <c r="Q393" i="31"/>
  <c r="Q409" i="31"/>
  <c r="Q425" i="31"/>
  <c r="Q441" i="31"/>
  <c r="Q457" i="31"/>
  <c r="Q473" i="31"/>
  <c r="Q489" i="31"/>
  <c r="Q505" i="31"/>
  <c r="Q521" i="31"/>
  <c r="Q27" i="31"/>
  <c r="Q266" i="31"/>
  <c r="Q362" i="31"/>
  <c r="Q397" i="31"/>
  <c r="Q445" i="31"/>
  <c r="Q493" i="31"/>
  <c r="F90" i="34"/>
  <c r="E18" i="31"/>
  <c r="F30" i="68"/>
  <c r="F32" i="15"/>
  <c r="F60" i="15" s="1"/>
  <c r="F31" i="12"/>
  <c r="C31" i="12" s="1"/>
  <c r="F52" i="9"/>
  <c r="F30" i="11"/>
  <c r="D68" i="9"/>
  <c r="F54" i="9"/>
  <c r="F48" i="9"/>
  <c r="O52" i="9" s="1"/>
  <c r="F28" i="67"/>
  <c r="C28" i="67" s="1"/>
  <c r="F32" i="67"/>
  <c r="F60" i="67" s="1"/>
  <c r="F28" i="15"/>
  <c r="C28" i="15" s="1"/>
  <c r="S9" i="34"/>
  <c r="E26" i="43"/>
  <c r="H26" i="43"/>
  <c r="E59" i="40"/>
  <c r="G26" i="43"/>
  <c r="J26" i="43"/>
  <c r="N370" i="46"/>
  <c r="E11" i="6"/>
  <c r="C27" i="67"/>
  <c r="F31" i="67"/>
  <c r="C6" i="67"/>
  <c r="C32" i="67" s="1"/>
  <c r="F66" i="67"/>
  <c r="F71" i="67"/>
  <c r="C36" i="71"/>
  <c r="D35" i="71"/>
  <c r="C70" i="71"/>
  <c r="D70" i="71" s="1"/>
  <c r="D71" i="71"/>
  <c r="C52" i="71"/>
  <c r="D51" i="71"/>
  <c r="AZ100" i="3"/>
  <c r="AA23" i="35"/>
  <c r="S23" i="35"/>
  <c r="S46" i="34"/>
  <c r="AA46" i="34"/>
  <c r="AB43" i="39"/>
  <c r="U43" i="39"/>
  <c r="AB9" i="34"/>
  <c r="U9" i="34"/>
  <c r="W27" i="21"/>
  <c r="AC27" i="21"/>
  <c r="W39" i="40"/>
  <c r="AC39" i="40"/>
  <c r="AC35" i="35"/>
  <c r="W35" i="35"/>
  <c r="U32" i="34"/>
  <c r="AB32" i="34"/>
  <c r="AB14" i="34"/>
  <c r="U14" i="34"/>
  <c r="U28" i="33"/>
  <c r="AB28" i="33"/>
  <c r="O65" i="71"/>
  <c r="D66" i="71"/>
  <c r="O66" i="71"/>
  <c r="C86" i="71"/>
  <c r="D86" i="71" s="1"/>
  <c r="D87" i="71"/>
  <c r="E10" i="6"/>
  <c r="F30" i="6"/>
  <c r="F31" i="6" s="1"/>
  <c r="G5" i="3"/>
  <c r="B3" i="3" s="1"/>
  <c r="AZ36" i="3"/>
  <c r="AZ295" i="3"/>
  <c r="AZ142" i="3"/>
  <c r="AZ281" i="3"/>
  <c r="AZ215" i="3"/>
  <c r="W29" i="33"/>
  <c r="C44" i="71"/>
  <c r="D43" i="71"/>
  <c r="D31" i="71"/>
  <c r="C32" i="71"/>
  <c r="AZ29" i="3"/>
  <c r="AZ5" i="3" s="1"/>
  <c r="AZ25" i="3"/>
  <c r="D60" i="71"/>
  <c r="T60" i="71"/>
  <c r="AZ111" i="3"/>
  <c r="AZ63" i="3"/>
  <c r="AZ57" i="3"/>
  <c r="T28" i="71"/>
  <c r="D28" i="71"/>
  <c r="U28" i="71" s="1"/>
  <c r="C27" i="71"/>
  <c r="AZ294" i="3"/>
  <c r="AZ263" i="3"/>
  <c r="AZ243" i="3"/>
  <c r="AZ130" i="3"/>
  <c r="AZ247" i="3"/>
  <c r="AZ218" i="3"/>
  <c r="AZ441" i="3"/>
  <c r="AZ405" i="3"/>
  <c r="AB32" i="36"/>
  <c r="U32" i="36"/>
  <c r="W28" i="34"/>
  <c r="AC28" i="34"/>
  <c r="AC43" i="39"/>
  <c r="W43" i="39"/>
  <c r="AC9" i="33"/>
  <c r="W9" i="33"/>
  <c r="AC23" i="36"/>
  <c r="W23" i="36"/>
  <c r="AZ515" i="3"/>
  <c r="S12" i="40"/>
  <c r="AA12" i="40"/>
  <c r="AZ579" i="3"/>
  <c r="W32" i="34"/>
  <c r="AC32" i="34"/>
  <c r="U45" i="33"/>
  <c r="AB45" i="33"/>
  <c r="S29" i="33"/>
  <c r="AA29" i="33"/>
  <c r="AA28" i="33"/>
  <c r="S28" i="33"/>
  <c r="AZ89" i="3"/>
  <c r="AZ37" i="3"/>
  <c r="AZ26" i="3"/>
  <c r="AZ300" i="3"/>
  <c r="AZ486" i="3"/>
  <c r="AZ481" i="3"/>
  <c r="AZ268" i="3"/>
  <c r="C82" i="71"/>
  <c r="D82" i="71" s="1"/>
  <c r="D83" i="71"/>
  <c r="AZ102" i="3"/>
  <c r="AZ20" i="3"/>
  <c r="AZ39" i="3"/>
  <c r="C78" i="71"/>
  <c r="D78" i="71" s="1"/>
  <c r="D79" i="71"/>
  <c r="N65" i="71"/>
  <c r="N66" i="71"/>
  <c r="AZ197" i="3"/>
  <c r="AZ271" i="3"/>
  <c r="AZ181" i="3"/>
  <c r="AZ297" i="3"/>
  <c r="AZ397" i="3"/>
  <c r="AZ404" i="3"/>
  <c r="AZ241" i="3"/>
  <c r="AZ454" i="3"/>
  <c r="AZ418" i="3"/>
  <c r="AZ584" i="3"/>
  <c r="AA32" i="36"/>
  <c r="S32" i="36"/>
  <c r="U23" i="35"/>
  <c r="AB23" i="35"/>
  <c r="U23" i="36"/>
  <c r="AB23" i="36"/>
  <c r="W12" i="34"/>
  <c r="AC12" i="34"/>
  <c r="W12" i="40"/>
  <c r="AC12" i="40"/>
  <c r="U12" i="35"/>
  <c r="AB12" i="35"/>
  <c r="S14" i="34"/>
  <c r="AA14" i="34"/>
  <c r="W45" i="33"/>
  <c r="AC45" i="33"/>
  <c r="AC27" i="40"/>
  <c r="W27" i="40"/>
  <c r="AZ530" i="3"/>
  <c r="AZ561" i="3"/>
  <c r="J6" i="67"/>
  <c r="J18" i="67" s="1"/>
  <c r="K16" i="1"/>
  <c r="AZ234" i="3"/>
  <c r="AZ38" i="3"/>
  <c r="AZ242" i="3"/>
  <c r="D38" i="71"/>
  <c r="C39" i="71"/>
  <c r="AZ137" i="3"/>
  <c r="AZ435" i="3"/>
  <c r="U27" i="21"/>
  <c r="AB27" i="21"/>
  <c r="AZ550" i="3"/>
  <c r="AC23" i="35"/>
  <c r="W23" i="35"/>
  <c r="AC9" i="34"/>
  <c r="W9" i="34"/>
  <c r="AA27" i="21"/>
  <c r="S27" i="21"/>
  <c r="W12" i="35"/>
  <c r="AC12" i="35"/>
  <c r="AA39" i="40"/>
  <c r="S39" i="40"/>
  <c r="AB39" i="40"/>
  <c r="U39" i="40"/>
  <c r="AZ566" i="3"/>
  <c r="AA35" i="35"/>
  <c r="S35" i="35"/>
  <c r="W14" i="34"/>
  <c r="AC14" i="34"/>
  <c r="S45" i="33"/>
  <c r="AA45" i="33"/>
  <c r="AZ543" i="3"/>
  <c r="AZ560" i="3"/>
  <c r="G16" i="1"/>
  <c r="F10" i="39" s="1"/>
  <c r="S10" i="39" s="1"/>
  <c r="J7" i="37"/>
  <c r="AC7" i="37" s="1"/>
  <c r="K1" i="73"/>
  <c r="E346" i="3"/>
  <c r="E299" i="3"/>
  <c r="E176" i="3"/>
  <c r="E521" i="3"/>
  <c r="E138" i="3"/>
  <c r="E341" i="3"/>
  <c r="E154" i="3"/>
  <c r="E313" i="3"/>
  <c r="E93" i="3"/>
  <c r="E547" i="3"/>
  <c r="E29" i="3"/>
  <c r="E97" i="3"/>
  <c r="E304" i="3"/>
  <c r="AN6" i="3"/>
  <c r="E330" i="3"/>
  <c r="E55" i="3"/>
  <c r="I6" i="3"/>
  <c r="E443" i="3"/>
  <c r="E295" i="3"/>
  <c r="E282" i="3"/>
  <c r="E358" i="3"/>
  <c r="E130" i="3"/>
  <c r="E61" i="3"/>
  <c r="E253" i="3"/>
  <c r="E519" i="3"/>
  <c r="E433" i="3"/>
  <c r="E567" i="3"/>
  <c r="E414" i="3"/>
  <c r="E186" i="3"/>
  <c r="E343" i="3"/>
  <c r="E270" i="3"/>
  <c r="E216" i="3"/>
  <c r="E91" i="3"/>
  <c r="E347" i="3"/>
  <c r="E277" i="3"/>
  <c r="E406" i="3"/>
  <c r="E454" i="3"/>
  <c r="E362" i="3"/>
  <c r="E204" i="3"/>
  <c r="E400" i="3"/>
  <c r="E70" i="3"/>
  <c r="E572" i="3"/>
  <c r="E322" i="3"/>
  <c r="E201" i="3"/>
  <c r="AB6" i="3"/>
  <c r="E69" i="3"/>
  <c r="E161" i="3"/>
  <c r="AI6" i="3"/>
  <c r="E200" i="3"/>
  <c r="E242" i="3"/>
  <c r="AA26" i="37"/>
  <c r="S26" i="37"/>
  <c r="BA5" i="3"/>
  <c r="E27" i="6" s="1"/>
  <c r="K26" i="6" s="1"/>
  <c r="M26" i="6" s="1"/>
  <c r="I26" i="6" s="1"/>
  <c r="S26" i="6" s="1"/>
  <c r="C19" i="71"/>
  <c r="T20" i="71"/>
  <c r="D20" i="71"/>
  <c r="U20" i="71" s="1"/>
  <c r="E240" i="3"/>
  <c r="W40" i="40"/>
  <c r="AC40" i="40"/>
  <c r="AC12" i="21"/>
  <c r="W12" i="21"/>
  <c r="AB12" i="21"/>
  <c r="U12" i="21"/>
  <c r="AA27" i="34"/>
  <c r="S27" i="34"/>
  <c r="AC26" i="37"/>
  <c r="W26" i="37"/>
  <c r="BL5" i="3"/>
  <c r="B15" i="71"/>
  <c r="B14" i="71" s="1"/>
  <c r="B13" i="71" s="1"/>
  <c r="B12" i="71" s="1"/>
  <c r="S16" i="71"/>
  <c r="F7" i="36"/>
  <c r="AA7" i="36" s="1"/>
  <c r="H7" i="36"/>
  <c r="AB7" i="36" s="1"/>
  <c r="T36" i="36" s="1"/>
  <c r="G36" i="36" s="1"/>
  <c r="E118" i="3"/>
  <c r="AA9" i="36"/>
  <c r="S9" i="36"/>
  <c r="AA34" i="35"/>
  <c r="S34" i="35"/>
  <c r="E15" i="71"/>
  <c r="E14" i="71" s="1"/>
  <c r="E13" i="71" s="1"/>
  <c r="E12" i="71" s="1"/>
  <c r="V16" i="71"/>
  <c r="E139"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E51" i="40"/>
  <c r="E58" i="40"/>
  <c r="E62" i="39"/>
  <c r="M14" i="1"/>
  <c r="D5" i="43"/>
  <c r="D26" i="43"/>
  <c r="C25" i="43" s="1"/>
  <c r="C7" i="43"/>
  <c r="C5" i="43" s="1"/>
  <c r="D10" i="52"/>
  <c r="D125" i="9"/>
  <c r="D11" i="52" s="1"/>
  <c r="B7" i="74"/>
  <c r="C7" i="74" s="1"/>
  <c r="F59" i="67"/>
  <c r="H7" i="37"/>
  <c r="AB7" i="37" s="1"/>
  <c r="T42" i="37" s="1"/>
  <c r="G42" i="37" s="1"/>
  <c r="H7" i="33"/>
  <c r="J7" i="33"/>
  <c r="D65" i="40"/>
  <c r="E63" i="40"/>
  <c r="F48" i="35"/>
  <c r="S7" i="36"/>
  <c r="F7" i="33"/>
  <c r="E58" i="21"/>
  <c r="AC7" i="36"/>
  <c r="V36" i="36" s="1"/>
  <c r="I36" i="36" s="1"/>
  <c r="W7" i="36"/>
  <c r="F7" i="37"/>
  <c r="M17" i="67"/>
  <c r="M17" i="15"/>
  <c r="F59" i="15"/>
  <c r="P28" i="43"/>
  <c r="B66" i="40" s="1"/>
  <c r="P25" i="43"/>
  <c r="C49" i="67"/>
  <c r="P29" i="43"/>
  <c r="P27" i="43"/>
  <c r="B70" i="39" s="1"/>
  <c r="C49" i="15"/>
  <c r="J18" i="15"/>
  <c r="C32" i="9"/>
  <c r="Q60" i="67"/>
  <c r="Q73" i="67"/>
  <c r="M11" i="67"/>
  <c r="J10" i="67" s="1"/>
  <c r="F11" i="15"/>
  <c r="M11" i="15"/>
  <c r="J10" i="15" s="1"/>
  <c r="J5" i="15" s="1"/>
  <c r="J24" i="15" s="1"/>
  <c r="F11" i="67"/>
  <c r="F1" i="15"/>
  <c r="Q52" i="15"/>
  <c r="C32" i="15"/>
  <c r="F1" i="67"/>
  <c r="Q52" i="67"/>
  <c r="Q60" i="15"/>
  <c r="Q73" i="15"/>
  <c r="Q61" i="67"/>
  <c r="Q74" i="67"/>
  <c r="Q74" i="15"/>
  <c r="Q61" i="15"/>
  <c r="AE11" i="1"/>
  <c r="AE6" i="1"/>
  <c r="AE9" i="1"/>
  <c r="F27" i="68"/>
  <c r="AE7" i="1"/>
  <c r="AE8" i="1"/>
  <c r="AE12" i="1"/>
  <c r="AE10" i="1"/>
  <c r="G1" i="73"/>
  <c r="F41" i="67"/>
  <c r="C16" i="67"/>
  <c r="G90" i="34" l="1"/>
  <c r="H90" i="34" s="1"/>
  <c r="I90" i="34" s="1"/>
  <c r="J90" i="34" s="1"/>
  <c r="K90" i="34" s="1"/>
  <c r="L90" i="34" s="1"/>
  <c r="M90" i="34" s="1"/>
  <c r="H27" i="34"/>
  <c r="F10" i="40"/>
  <c r="S10" i="40" s="1"/>
  <c r="F48" i="68"/>
  <c r="C30" i="68"/>
  <c r="C48" i="68"/>
  <c r="C48" i="11"/>
  <c r="C30" i="11"/>
  <c r="E510" i="3"/>
  <c r="E536" i="3"/>
  <c r="E502" i="3"/>
  <c r="E255" i="3"/>
  <c r="E479" i="3"/>
  <c r="E241" i="3"/>
  <c r="E59" i="3"/>
  <c r="E160" i="3"/>
  <c r="E492"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212" i="3"/>
  <c r="E442" i="3"/>
  <c r="E554" i="3"/>
  <c r="E37" i="3"/>
  <c r="E292" i="3"/>
  <c r="E484" i="3"/>
  <c r="E267"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E286" i="3"/>
  <c r="E517" i="3"/>
  <c r="E389" i="3"/>
  <c r="E249"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397" i="3"/>
  <c r="E411" i="3"/>
  <c r="E403" i="3"/>
  <c r="E272" i="3"/>
  <c r="E319" i="3"/>
  <c r="O6" i="3"/>
  <c r="E390" i="3"/>
  <c r="E321" i="3"/>
  <c r="E565" i="3"/>
  <c r="E254" i="3"/>
  <c r="E280" i="3"/>
  <c r="E128" i="3"/>
  <c r="Q6"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E499" i="3"/>
  <c r="E491" i="3"/>
  <c r="E544" i="3"/>
  <c r="E310"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207" i="3"/>
  <c r="E548" i="3"/>
  <c r="E546" i="3"/>
  <c r="E317" i="3"/>
  <c r="E501" i="3"/>
  <c r="E574" i="3"/>
  <c r="E523" i="3"/>
  <c r="E298" i="3"/>
  <c r="E213" i="3"/>
  <c r="E303" i="3"/>
  <c r="AA6" i="3"/>
  <c r="E262"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131" i="3"/>
  <c r="E248" i="3"/>
  <c r="E378" i="3"/>
  <c r="E142" i="3"/>
  <c r="E100" i="3"/>
  <c r="E445" i="3"/>
  <c r="E431" i="3"/>
  <c r="E377" i="3"/>
  <c r="E485" i="3"/>
  <c r="E214" i="3"/>
  <c r="E472" i="3"/>
  <c r="E399" i="3"/>
  <c r="E143" i="3"/>
  <c r="E162" i="3"/>
  <c r="E478" i="3"/>
  <c r="E450" i="3"/>
  <c r="E193" i="3"/>
  <c r="E583" i="3"/>
  <c r="E290" i="3"/>
  <c r="E151" i="3"/>
  <c r="E553" i="3"/>
  <c r="E166" i="3"/>
  <c r="P6" i="3"/>
  <c r="E32" i="3"/>
  <c r="E496" i="3"/>
  <c r="E177" i="3"/>
  <c r="E402" i="3"/>
  <c r="E169" i="3"/>
  <c r="E285" i="3"/>
  <c r="AM6" i="3"/>
  <c r="E432" i="3"/>
  <c r="E14" i="3"/>
  <c r="E224" i="3"/>
  <c r="E87" i="3"/>
  <c r="E584" i="3"/>
  <c r="E446" i="3"/>
  <c r="E58" i="3"/>
  <c r="E62" i="3"/>
  <c r="E234" i="3"/>
  <c r="E276" i="3"/>
  <c r="E422" i="3"/>
  <c r="E158" i="3"/>
  <c r="E115" i="3"/>
  <c r="E405" i="3"/>
  <c r="E34" i="3"/>
  <c r="E198" i="3"/>
  <c r="E67" i="3"/>
  <c r="E95" i="3"/>
  <c r="E440" i="3"/>
  <c r="E326" i="3"/>
  <c r="E225" i="3"/>
  <c r="E456" i="3"/>
  <c r="E206" i="3"/>
  <c r="E281" i="3"/>
  <c r="E33" i="3"/>
  <c r="E60" i="39"/>
  <c r="E65" i="39" s="1"/>
  <c r="E16" i="6"/>
  <c r="E296" i="3"/>
  <c r="E423" i="3"/>
  <c r="E189" i="3"/>
  <c r="M6" i="3"/>
  <c r="E268" i="3"/>
  <c r="E489" i="3"/>
  <c r="E89" i="3"/>
  <c r="E468" i="3"/>
  <c r="AK6" i="3"/>
  <c r="E180" i="3"/>
  <c r="E231" i="3"/>
  <c r="E530" i="3"/>
  <c r="E31" i="3"/>
  <c r="E230" i="3"/>
  <c r="E94" i="3"/>
  <c r="E219" i="3"/>
  <c r="E132" i="3"/>
  <c r="X6" i="3"/>
  <c r="E191" i="3"/>
  <c r="E172" i="3"/>
  <c r="E215" i="3"/>
  <c r="E514" i="3"/>
  <c r="E579" i="3"/>
  <c r="E526" i="3"/>
  <c r="E211" i="3"/>
  <c r="E531" i="3"/>
  <c r="AO6" i="3"/>
  <c r="E227" i="3"/>
  <c r="E171" i="3"/>
  <c r="E577" i="3"/>
  <c r="K6" i="3"/>
  <c r="H6" i="3" s="1"/>
  <c r="E545" i="3"/>
  <c r="E586" i="3"/>
  <c r="E183" i="3"/>
  <c r="E538" i="3"/>
  <c r="E555" i="3"/>
  <c r="E44" i="3"/>
  <c r="E476" i="3"/>
  <c r="E107" i="3"/>
  <c r="E279" i="3"/>
  <c r="E457" i="3"/>
  <c r="E511" i="3"/>
  <c r="E518" i="3"/>
  <c r="E260" i="3"/>
  <c r="E407" i="3"/>
  <c r="E569" i="3"/>
  <c r="E480" i="3"/>
  <c r="E404" i="3"/>
  <c r="E576" i="3"/>
  <c r="E274" i="3"/>
  <c r="E344" i="3"/>
  <c r="E434" i="3"/>
  <c r="E221" i="3"/>
  <c r="E418" i="3"/>
  <c r="E328" i="3"/>
  <c r="E126" i="3"/>
  <c r="E379" i="3"/>
  <c r="E471" i="3"/>
  <c r="E82" i="3"/>
  <c r="E66" i="3"/>
  <c r="E464" i="3"/>
  <c r="E312" i="3"/>
  <c r="E552" i="3"/>
  <c r="E123" i="3"/>
  <c r="E15" i="3"/>
  <c r="E463" i="3"/>
  <c r="E393" i="3"/>
  <c r="E324" i="3"/>
  <c r="E13" i="3"/>
  <c r="E205" i="3"/>
  <c r="E96" i="3"/>
  <c r="E81" i="3"/>
  <c r="E64" i="3"/>
  <c r="E449" i="3"/>
  <c r="E258" i="3"/>
  <c r="E56" i="40"/>
  <c r="E369" i="3"/>
  <c r="E487" i="3"/>
  <c r="E483" i="3"/>
  <c r="E119" i="3"/>
  <c r="E385" i="3"/>
  <c r="E135" i="3"/>
  <c r="E563" i="3"/>
  <c r="E387" i="3"/>
  <c r="E311" i="3"/>
  <c r="E509" i="3"/>
  <c r="E109" i="3"/>
  <c r="E182" i="3"/>
  <c r="E557" i="3"/>
  <c r="E327" i="3"/>
  <c r="E74" i="3"/>
  <c r="E146" i="3"/>
  <c r="E465" i="3"/>
  <c r="E133" i="3"/>
  <c r="E181" i="3"/>
  <c r="E350" i="3"/>
  <c r="E528" i="3"/>
  <c r="E561" i="3"/>
  <c r="E388" i="3"/>
  <c r="E384" i="3"/>
  <c r="AS6" i="3"/>
  <c r="E271" i="3"/>
  <c r="E150" i="3"/>
  <c r="E527" i="3"/>
  <c r="E314" i="3"/>
  <c r="E578" i="3"/>
  <c r="E395" i="3"/>
  <c r="V6" i="3"/>
  <c r="E516" i="3"/>
  <c r="E30" i="3"/>
  <c r="E444" i="3"/>
  <c r="E164" i="3"/>
  <c r="E256" i="3"/>
  <c r="E424" i="3"/>
  <c r="E156" i="3"/>
  <c r="E302" i="3"/>
  <c r="E506" i="3"/>
  <c r="E153" i="3"/>
  <c r="E92" i="3"/>
  <c r="E145" i="3"/>
  <c r="E537" i="3"/>
  <c r="E127" i="3"/>
  <c r="E163" i="3"/>
  <c r="E149" i="3"/>
  <c r="E244" i="3"/>
  <c r="E141" i="3"/>
  <c r="E112" i="3"/>
  <c r="E473" i="3"/>
  <c r="E401" i="3"/>
  <c r="E105" i="3"/>
  <c r="E220" i="3"/>
  <c r="E497" i="3"/>
  <c r="E22" i="3"/>
  <c r="E18" i="3"/>
  <c r="E63" i="3"/>
  <c r="E467" i="3"/>
  <c r="E430" i="3"/>
  <c r="E371" i="3"/>
  <c r="E46" i="3"/>
  <c r="E409" i="3"/>
  <c r="E349" i="3"/>
  <c r="E152" i="3"/>
  <c r="E417" i="3"/>
  <c r="AP6" i="3"/>
  <c r="E466" i="3"/>
  <c r="E575" i="3"/>
  <c r="E539" i="3"/>
  <c r="AA10" i="39"/>
  <c r="H10" i="39"/>
  <c r="U10" i="39" s="1"/>
  <c r="H10" i="40"/>
  <c r="AB10" i="40" s="1"/>
  <c r="J10" i="40"/>
  <c r="AC10" i="40" s="1"/>
  <c r="J10" i="39"/>
  <c r="W10" i="39" s="1"/>
  <c r="J5" i="67"/>
  <c r="J24" i="67" s="1"/>
  <c r="F67" i="39"/>
  <c r="U7" i="36"/>
  <c r="W7" i="37"/>
  <c r="AY6" i="3"/>
  <c r="E3" i="6"/>
  <c r="D3" i="21" s="1"/>
  <c r="T32" i="71"/>
  <c r="D32" i="71"/>
  <c r="T52" i="71"/>
  <c r="D52" i="71"/>
  <c r="D36" i="71"/>
  <c r="T36" i="71"/>
  <c r="R36" i="36"/>
  <c r="E23" i="3"/>
  <c r="E300" i="3"/>
  <c r="E103" i="3"/>
  <c r="E425" i="3"/>
  <c r="E76" i="3"/>
  <c r="E363" i="3"/>
  <c r="E192" i="3"/>
  <c r="E56" i="3"/>
  <c r="E435" i="3"/>
  <c r="I3" i="6"/>
  <c r="E541" i="3"/>
  <c r="R6" i="3"/>
  <c r="E199" i="3"/>
  <c r="C40" i="71"/>
  <c r="D39" i="71"/>
  <c r="D44" i="71"/>
  <c r="T44" i="71"/>
  <c r="C26" i="71"/>
  <c r="D26" i="71" s="1"/>
  <c r="D27"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4" i="12"/>
  <c r="D19" i="11"/>
  <c r="C19" i="11" s="1"/>
  <c r="L18" i="9"/>
  <c r="D3" i="37"/>
  <c r="C39" i="43"/>
  <c r="C42" i="43"/>
  <c r="E42" i="43" s="1"/>
  <c r="C38" i="43"/>
  <c r="AB10" i="39"/>
  <c r="AA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15"/>
  <c r="F41" i="15"/>
  <c r="M27" i="67"/>
  <c r="AB27" i="34" l="1"/>
  <c r="T49" i="34" s="1"/>
  <c r="G49" i="34" s="1"/>
  <c r="G53" i="34" s="1"/>
  <c r="H53" i="34" s="1"/>
  <c r="U27" i="34"/>
  <c r="AC6" i="3"/>
  <c r="E6" i="3" s="1"/>
  <c r="D3" i="33"/>
  <c r="D3" i="34"/>
  <c r="E6" i="6"/>
  <c r="D20" i="12" s="1"/>
  <c r="C20" i="12" s="1"/>
  <c r="C18" i="12" s="1"/>
  <c r="F25" i="12"/>
  <c r="C26" i="12" s="1"/>
  <c r="D25" i="12" s="1"/>
  <c r="U10" i="40"/>
  <c r="C17" i="4"/>
  <c r="B4" i="52" s="1"/>
  <c r="B43" i="72" s="1"/>
  <c r="M18" i="9"/>
  <c r="B118" i="9" s="1"/>
  <c r="B1" i="74" s="1"/>
  <c r="D116" i="43"/>
  <c r="W10" i="40"/>
  <c r="T40" i="71"/>
  <c r="D40" i="71"/>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C34" i="69"/>
  <c r="D10" i="68"/>
  <c r="C17" i="67"/>
  <c r="C17" i="15"/>
  <c r="C14" i="67"/>
  <c r="R50" i="34" l="1"/>
  <c r="C50" i="34" s="1"/>
  <c r="R24" i="31" s="1"/>
  <c r="R25" i="31" s="1"/>
  <c r="S25" i="31" s="1"/>
  <c r="G54" i="34"/>
  <c r="H54" i="34" s="1"/>
  <c r="E54" i="34"/>
  <c r="F54" i="34" s="1"/>
  <c r="D10" i="69"/>
  <c r="D19" i="69" s="1"/>
  <c r="H21" i="6"/>
  <c r="D30" i="6"/>
  <c r="H24" i="6"/>
  <c r="R24" i="6" s="1"/>
  <c r="R11" i="1" s="1"/>
  <c r="I54" i="34"/>
  <c r="J54" i="34" s="1"/>
  <c r="C23" i="68"/>
  <c r="C26" i="11"/>
  <c r="D22" i="11" s="1"/>
  <c r="C44" i="11"/>
  <c r="D41" i="11" s="1"/>
  <c r="C26" i="68"/>
  <c r="D22" i="68" s="1"/>
  <c r="F41" i="68"/>
  <c r="H25" i="6"/>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49" i="34" l="1"/>
  <c r="S24" i="31"/>
  <c r="S22" i="31" s="1"/>
  <c r="R22" i="31"/>
  <c r="E10" i="74" s="1"/>
  <c r="C10" i="69"/>
  <c r="C8" i="69" s="1"/>
  <c r="C5" i="69" s="1"/>
  <c r="C23" i="69"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E8" i="74" l="1"/>
  <c r="E7" i="74"/>
  <c r="B10" i="74"/>
  <c r="D14" i="74" s="1"/>
  <c r="G14" i="74" s="1"/>
  <c r="B20" i="31"/>
  <c r="B21" i="31"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10" i="1"/>
  <c r="AO8" i="1"/>
  <c r="AO6" i="1"/>
  <c r="AO12"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3" i="9"/>
  <c r="D52" i="9"/>
  <c r="B20" i="72"/>
  <c r="C105" i="9"/>
  <c r="I4" i="52"/>
  <c r="N61" i="9"/>
  <c r="N60" i="9"/>
  <c r="B49" i="72"/>
  <c r="D9" i="52"/>
  <c r="C6" i="74"/>
  <c r="C81" i="9"/>
  <c r="B21" i="72"/>
  <c r="D8" i="52"/>
  <c r="D122" i="9"/>
  <c r="D123" i="9"/>
  <c r="C93" i="9"/>
  <c r="C86" i="9"/>
  <c r="N59" i="9"/>
  <c r="P57" i="9"/>
  <c r="N57" i="9"/>
  <c r="N58" i="9"/>
  <c r="B47" i="72"/>
  <c r="D4" i="52"/>
  <c r="C78" i="9"/>
  <c r="C73" i="9"/>
  <c r="M48" i="9"/>
  <c r="F5" i="52"/>
  <c r="B53" i="72"/>
  <c r="F119" i="9"/>
  <c r="E96" i="9"/>
  <c r="E97" i="9"/>
  <c r="B30" i="72"/>
  <c r="H4" i="52"/>
  <c r="C104" i="9"/>
  <c r="C96" i="9"/>
  <c r="D119" i="9"/>
  <c r="D5" i="52"/>
  <c r="H119" i="9"/>
  <c r="H5" i="52"/>
  <c r="C97" i="9"/>
  <c r="D58" i="9"/>
  <c r="D56" i="9"/>
  <c r="M54" i="9"/>
  <c r="D54" i="9"/>
  <c r="G4" i="52"/>
  <c r="B52" i="72"/>
  <c r="C5" i="74"/>
  <c r="H102" i="9"/>
  <c r="D7" i="53"/>
  <c r="D118" i="9"/>
  <c r="C80" i="9"/>
  <c r="E80" i="9"/>
  <c r="E81" i="9"/>
  <c r="C72" i="9"/>
  <c r="C79" i="9"/>
  <c r="G118" i="9"/>
  <c r="F118" i="9"/>
  <c r="F4" i="52"/>
  <c r="B51" i="72"/>
  <c r="C68" i="9"/>
  <c r="D55" i="9"/>
  <c r="M53" i="9"/>
  <c r="C64" i="9"/>
  <c r="C63" i="9"/>
  <c r="C67" i="9"/>
  <c r="D59" i="9"/>
  <c r="M55" i="9"/>
  <c r="D45" i="9"/>
  <c r="C85" i="9"/>
  <c r="C95" i="9"/>
  <c r="H108" i="9"/>
  <c r="D15" i="53"/>
  <c r="B31" i="72"/>
  <c r="E118" i="9"/>
  <c r="E4" i="52"/>
  <c r="B48" i="72"/>
  <c r="D5" i="53"/>
  <c r="D6" i="53"/>
  <c r="B22" i="72"/>
  <c r="I118" i="9"/>
  <c r="H118" i="9"/>
  <c r="H101" i="9"/>
  <c r="H107" i="9"/>
  <c r="D13" i="53"/>
  <c r="D14" i="53"/>
  <c r="B3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<sst xmlns="http://schemas.openxmlformats.org/spreadsheetml/2006/main" count="11294" uniqueCount="3902">
  <si>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</si>
  <si>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</si>
  <si>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</si>
  <si>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</si>
  <si>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</si>
  <si>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</si>
  <si>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</si>
  <si>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</si>
  <si>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</si>
  <si>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</si>
  <si>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</si>
  <si>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</si>
  <si>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</si>
  <si>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</si>
  <si>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</si>
  <si>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</si>
  <si>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</si>
  <si>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</si>
  <si>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</si>
  <si>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</si>
  <si>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</si>
  <si>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</si>
  <si>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</si>
  <si>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</si>
  <si>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</si>
  <si>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</si>
  <si>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</si>
  <si>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</si>
  <si>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</si>
  <si>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</si>
  <si>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</si>
  <si>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</si>
  <si>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</si>
  <si>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</si>
  <si>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</si>
  <si>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</si>
  <si>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</si>
  <si>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</si>
  <si>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</si>
  <si>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</si>
  <si>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</si>
  <si>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</si>
  <si>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</si>
  <si>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</si>
  <si>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</si>
  <si>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</si>
  <si>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</si>
  <si>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</si>
  <si>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</si>
  <si>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</si>
  <si>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</si>
  <si>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</si>
  <si>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</si>
  <si>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</si>
  <si>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</si>
  <si>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</si>
  <si>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</si>
  <si>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</si>
  <si>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</si>
  <si>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</si>
  <si>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</si>
  <si>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</si>
  <si>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</si>
  <si>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</si>
  <si>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</si>
  <si>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</si>
  <si>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</si>
  <si>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</si>
  <si>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</si>
  <si>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</si>
  <si>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</si>
  <si>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</si>
  <si>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</si>
  <si>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</si>
  <si>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</si>
  <si>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</si>
  <si>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</si>
  <si>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</si>
  <si>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</si>
  <si>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</si>
  <si>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</si>
  <si>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</si>
  <si>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</si>
  <si>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</si>
  <si>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</si>
  <si>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</si>
  <si>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</si>
  <si>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</si>
  <si>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</si>
  <si>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</si>
  <si>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</si>
  <si>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</si>
  <si>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</si>
  <si>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</si>
  <si>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</si>
  <si>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</si>
  <si>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</si>
  <si>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</si>
  <si>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</si>
  <si>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</si>
  <si>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</si>
  <si>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</si>
  <si>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</si>
  <si>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</si>
  <si>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</si>
  <si>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</si>
  <si>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</si>
  <si>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</si>
  <si>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</si>
  <si>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</si>
  <si>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</si>
  <si>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</si>
  <si>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</si>
  <si>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</si>
  <si>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</si>
  <si>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</si>
  <si>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</si>
  <si>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</si>
  <si>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</si>
  <si>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</si>
  <si>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</si>
  <si>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</si>
  <si>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</si>
  <si>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</si>
  <si>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</si>
  <si>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</si>
  <si>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</si>
  <si>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</si>
  <si>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</si>
  <si>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</si>
  <si>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</si>
  <si>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</si>
  <si>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</si>
  <si>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</si>
  <si>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</si>
  <si>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</si>
  <si>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</si>
  <si>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</si>
  <si>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</si>
  <si>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</si>
  <si>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</si>
  <si>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</si>
  <si>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</si>
  <si>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</si>
  <si>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</si>
  <si>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</si>
  <si>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</si>
  <si>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</si>
  <si>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</si>
  <si>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</si>
  <si>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</si>
  <si>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</si>
  <si>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</si>
  <si>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</si>
  <si>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</si>
  <si>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</si>
  <si>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</si>
  <si>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</si>
  <si>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</si>
  <si>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</si>
  <si>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</si>
  <si>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</si>
  <si>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</si>
  <si>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</si>
  <si>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</si>
  <si>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</si>
  <si>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</si>
  <si>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</si>
  <si>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</si>
  <si>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</si>
  <si>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</si>
  <si>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</si>
  <si>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</si>
  <si>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</si>
  <si>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</si>
  <si>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</si>
  <si>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</si>
  <si>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</si>
  <si>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</si>
  <si>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</si>
  <si>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</si>
  <si>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</si>
  <si>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</si>
  <si>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</si>
  <si>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</si>
  <si>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</si>
  <si>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</si>
  <si>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</si>
  <si>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</si>
  <si>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</si>
  <si>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</si>
  <si>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</si>
  <si>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</si>
  <si>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</si>
  <si>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</si>
  <si>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</si>
  <si>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</si>
  <si>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</si>
  <si>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</si>
  <si>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</si>
  <si>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</si>
  <si>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</si>
  <si>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</si>
  <si>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</si>
  <si>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</si>
  <si>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</si>
  <si>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</si>
  <si>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</si>
  <si>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</si>
  <si>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</si>
  <si>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</si>
  <si>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</si>
  <si>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</si>
  <si>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</si>
  <si>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</si>
  <si>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</si>
  <si>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</si>
  <si>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</si>
  <si>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</si>
  <si>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</si>
  <si>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</si>
  <si>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</si>
  <si>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</si>
  <si>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</si>
  <si>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</si>
  <si>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</si>
  <si>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</si>
  <si>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</si>
  <si>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</si>
  <si>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</si>
  <si>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</si>
  <si>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</si>
  <si>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</si>
  <si>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</si>
  <si>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</si>
  <si>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</si>
  <si>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</si>
  <si>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</si>
  <si>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</si>
  <si>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</si>
  <si>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</si>
  <si>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</si>
  <si>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</si>
  <si>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</si>
  <si>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</si>
  <si>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</si>
  <si>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</si>
  <si>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</si>
  <si>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</si>
  <si>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</si>
  <si>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</si>
  <si>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</si>
  <si>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</si>
  <si>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</si>
  <si>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</si>
  <si>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</si>
  <si>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</si>
  <si>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</si>
  <si>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</si>
  <si>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</si>
  <si>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</si>
  <si>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</si>
  <si>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</si>
  <si>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</si>
  <si>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</si>
  <si>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</si>
  <si>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</si>
  <si>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</si>
  <si>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</si>
  <si>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</si>
  <si>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</si>
  <si>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</si>
  <si>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</si>
  <si>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</si>
  <si>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</si>
  <si>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</si>
  <si>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</si>
  <si>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</si>
  <si>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</si>
  <si>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</si>
  <si>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</si>
  <si>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</si>
  <si>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</si>
  <si>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</si>
  <si>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</si>
  <si>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</si>
  <si>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</si>
  <si>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</si>
  <si>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</si>
  <si>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</si>
  <si>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</si>
  <si>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</si>
  <si>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</si>
  <si>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</si>
  <si>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</si>
  <si>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</si>
  <si>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</si>
  <si>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</si>
  <si>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</si>
  <si>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</si>
  <si>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</si>
  <si>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</si>
  <si>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</si>
  <si>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</si>
  <si>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</si>
  <si>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</si>
  <si>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</si>
  <si>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</si>
  <si>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</si>
  <si>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</si>
  <si>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</si>
  <si>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</si>
  <si>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</si>
  <si>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</si>
  <si>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</si>
  <si>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</si>
  <si>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</si>
  <si>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</si>
  <si>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</si>
  <si>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</si>
  <si>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</si>
  <si>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</si>
  <si>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</si>
  <si>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</si>
  <si>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</si>
  <si>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</si>
  <si>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</si>
  <si>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</si>
  <si>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</si>
  <si>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</si>
  <si>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</si>
  <si>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</si>
  <si>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</si>
  <si>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</si>
  <si>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</si>
  <si>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</si>
  <si>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</si>
  <si>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</si>
  <si>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</si>
  <si>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</si>
  <si>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</si>
  <si>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</si>
  <si>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</si>
  <si>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</si>
  <si>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</si>
  <si>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</si>
  <si>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</si>
  <si>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</si>
  <si>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</si>
  <si>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</si>
  <si>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</si>
  <si>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</si>
  <si>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</si>
  <si>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</si>
  <si>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</si>
  <si>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</si>
  <si>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</si>
  <si>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</si>
  <si>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</si>
  <si>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</si>
  <si>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</si>
  <si>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</si>
  <si>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</si>
  <si>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</si>
  <si>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</si>
  <si>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</si>
  <si>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</si>
  <si>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</si>
  <si>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</si>
  <si>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</si>
  <si>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</si>
  <si>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</si>
  <si>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</si>
  <si>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</si>
  <si>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</si>
  <si>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</si>
  <si>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</si>
  <si>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</si>
  <si>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</si>
  <si>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</si>
  <si>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</si>
  <si>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</si>
  <si>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</si>
  <si>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</si>
  <si>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</si>
  <si>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</si>
  <si>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</si>
  <si>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</si>
  <si>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</si>
  <si>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</si>
  <si>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</si>
  <si>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</si>
  <si>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</si>
  <si>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</si>
  <si>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</si>
  <si>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</si>
  <si>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</si>
  <si>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</si>
  <si>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</si>
  <si>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</si>
  <si>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</si>
  <si>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</si>
  <si>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</si>
  <si>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</si>
  <si>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</si>
  <si>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</si>
  <si>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</si>
  <si>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</si>
  <si>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</si>
  <si>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</si>
  <si>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</si>
  <si>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</si>
  <si>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</si>
  <si>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</si>
  <si>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</si>
  <si>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</si>
  <si>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</si>
  <si>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</si>
  <si>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</si>
  <si>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</si>
  <si>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</si>
  <si>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</si>
  <si>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</si>
  <si>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</si>
  <si>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</si>
  <si>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</si>
  <si>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</si>
  <si>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</si>
  <si>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</si>
  <si>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</si>
  <si>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</si>
  <si>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</si>
  <si>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</si>
  <si>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</si>
  <si>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</si>
  <si>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</si>
  <si>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</si>
  <si>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</si>
  <si>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</si>
  <si>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</si>
  <si>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</si>
  <si>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</si>
  <si>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</si>
  <si>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</si>
  <si>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</si>
  <si>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</si>
  <si>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</si>
  <si>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</si>
  <si>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</si>
  <si>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</si>
  <si>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</si>
  <si>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</si>
  <si>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</si>
  <si>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</si>
  <si>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</si>
  <si>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</si>
  <si>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</si>
  <si>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</si>
  <si>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</si>
  <si>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</si>
  <si>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</si>
  <si>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</si>
  <si>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</si>
  <si>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</si>
  <si>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</si>
  <si>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</si>
  <si>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</si>
  <si>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</si>
  <si>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</si>
  <si>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</si>
  <si>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</si>
  <si>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</si>
  <si>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</si>
  <si>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</si>
  <si>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</si>
  <si>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</si>
  <si>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</si>
  <si>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</si>
  <si>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</si>
  <si>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</si>
  <si>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</si>
  <si>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</si>
  <si>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</si>
  <si>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</si>
  <si>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</si>
  <si>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</si>
  <si>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</si>
  <si>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</si>
  <si>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</si>
  <si>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</si>
  <si>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</si>
  <si>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</si>
  <si>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</si>
  <si>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</si>
  <si>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</si>
  <si>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</si>
  <si>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</si>
  <si>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</si>
  <si>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</si>
  <si>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</si>
  <si>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</si>
  <si>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</si>
  <si>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</si>
  <si>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</si>
  <si>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</si>
  <si>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</si>
  <si>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</si>
  <si>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</si>
  <si>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</si>
  <si>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</si>
  <si>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</si>
  <si>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</si>
  <si>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</si>
  <si>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</si>
  <si>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</si>
  <si>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</si>
  <si>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</si>
  <si>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</si>
  <si>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</si>
  <si>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</si>
  <si>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</si>
  <si>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</si>
  <si>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</si>
  <si>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</si>
  <si>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</si>
  <si>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</si>
  <si>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</si>
  <si>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</si>
  <si>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</si>
  <si>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</si>
  <si>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</si>
  <si>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</si>
  <si>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</si>
  <si>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</si>
  <si>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</si>
  <si>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</si>
  <si>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</si>
  <si>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</si>
  <si>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</si>
  <si>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</si>
  <si>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</si>
  <si>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</si>
  <si>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</si>
  <si>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</si>
  <si>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</si>
  <si>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</si>
  <si>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</si>
  <si>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</si>
  <si>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</si>
  <si>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</si>
  <si>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</si>
  <si>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</si>
  <si>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</si>
  <si>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</si>
  <si>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</si>
  <si>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</si>
  <si>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</si>
  <si>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</si>
  <si>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</si>
  <si>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</si>
  <si>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</si>
  <si>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</si>
  <si>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</si>
  <si>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</si>
  <si>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</si>
  <si>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</si>
  <si>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</si>
  <si>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</si>
  <si>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</si>
  <si>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</si>
  <si>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</si>
  <si>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</si>
  <si>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</si>
  <si>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</si>
  <si>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</si>
  <si>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</si>
  <si>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</si>
  <si>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</si>
  <si>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</si>
  <si>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</si>
  <si>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</si>
  <si>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</si>
  <si>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</si>
  <si>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</si>
  <si>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</si>
  <si>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</si>
  <si>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</si>
  <si>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</si>
  <si>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</si>
  <si>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</si>
  <si>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</si>
  <si>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</si>
  <si>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</si>
  <si>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</si>
  <si>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</si>
  <si>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</si>
  <si>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</si>
  <si>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</si>
  <si>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</si>
  <si>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</si>
  <si>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</si>
  <si>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</si>
  <si>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</si>
  <si>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</si>
  <si>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</si>
  <si>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</si>
  <si>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</si>
  <si>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</si>
  <si>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</si>
  <si>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</si>
  <si>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</si>
  <si>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</si>
  <si>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</si>
  <si>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</si>
  <si>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</si>
  <si>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</si>
  <si>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</si>
  <si>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</si>
  <si>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</si>
  <si>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</si>
  <si>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</si>
  <si>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</si>
  <si>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</si>
  <si>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</si>
  <si>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</si>
  <si>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</si>
  <si>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</si>
  <si>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</si>
  <si>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</si>
  <si>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</si>
  <si>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</si>
  <si>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</si>
  <si>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</si>
  <si>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</si>
  <si>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</si>
  <si>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</si>
  <si>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</si>
  <si>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</si>
  <si>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</si>
  <si>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</si>
  <si>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</si>
  <si>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</si>
  <si>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</si>
  <si>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</si>
  <si>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</si>
  <si>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</si>
  <si>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</si>
  <si>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</si>
  <si>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</si>
  <si>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</si>
  <si>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</si>
  <si>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</si>
  <si>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</si>
  <si>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</si>
  <si>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</si>
  <si>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</si>
  <si>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</si>
  <si>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</si>
  <si>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</si>
  <si>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</si>
  <si>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</si>
  <si>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</si>
  <si>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</si>
  <si>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</si>
  <si>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</si>
  <si>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</si>
  <si>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</si>
  <si>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</si>
  <si>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</si>
  <si>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</si>
  <si>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</si>
  <si>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</si>
  <si>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</si>
  <si>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</si>
  <si>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</si>
  <si>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</si>
  <si>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</si>
  <si>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</si>
  <si>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</si>
  <si>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</si>
  <si>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</si>
  <si>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</si>
  <si>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</si>
  <si>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</si>
  <si>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</si>
  <si>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</si>
  <si>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</si>
  <si>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</si>
  <si>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</si>
  <si>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</si>
  <si>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</si>
  <si>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</si>
  <si>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</si>
  <si>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</si>
  <si>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</si>
  <si>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</si>
  <si>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</si>
  <si>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</si>
  <si>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</si>
  <si>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</si>
  <si>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</si>
  <si>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</si>
  <si>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</si>
  <si>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</si>
  <si>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</si>
  <si>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</si>
  <si>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</si>
  <si>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</si>
  <si>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</si>
  <si>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</si>
  <si>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</si>
  <si>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</si>
  <si>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</si>
  <si>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</si>
  <si>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</si>
  <si>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</si>
  <si>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</si>
  <si>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</si>
  <si>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</si>
  <si>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</si>
  <si>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</si>
  <si>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</si>
  <si>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</si>
  <si>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</si>
  <si>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</si>
  <si>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</si>
  <si>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</si>
  <si>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</si>
  <si>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</si>
  <si>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</si>
  <si>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</si>
  <si>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</si>
  <si>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</si>
  <si>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</si>
  <si>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</si>
  <si>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</si>
  <si>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</si>
  <si>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</si>
  <si>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</si>
  <si>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</si>
  <si>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</si>
  <si>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</si>
  <si>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</si>
  <si>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</si>
  <si>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</si>
  <si>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</si>
  <si>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</si>
  <si>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</si>
  <si>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</si>
  <si>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</si>
  <si>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</si>
  <si>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</si>
  <si>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</si>
  <si>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</si>
  <si>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</si>
  <si>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</si>
  <si>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</si>
  <si>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</si>
  <si>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</si>
  <si>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</si>
  <si>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</si>
  <si>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</si>
  <si>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</si>
  <si>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</si>
  <si>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</si>
  <si>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</si>
  <si>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</si>
  <si>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</si>
  <si>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</si>
  <si>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</si>
  <si>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</si>
  <si>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</si>
  <si>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</si>
  <si>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</si>
  <si>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</si>
  <si>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</si>
  <si>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</si>
  <si>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</si>
  <si>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</si>
  <si>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</si>
  <si>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</si>
  <si>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</si>
  <si>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</si>
  <si>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</si>
  <si>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</si>
  <si>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</si>
  <si>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</si>
  <si>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</si>
  <si>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</si>
  <si>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</si>
  <si>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</si>
  <si>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</si>
  <si>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</si>
  <si>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</si>
  <si>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</si>
  <si>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</si>
  <si>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</si>
  <si>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</si>
  <si>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</si>
  <si>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</si>
  <si>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</si>
  <si>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</si>
  <si>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</si>
  <si>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</si>
  <si>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</si>
  <si>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</si>
  <si>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</si>
  <si>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</si>
  <si>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</si>
  <si>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</si>
  <si>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</si>
  <si>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</si>
  <si>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</si>
  <si>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</si>
  <si>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</si>
  <si>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</si>
  <si>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</si>
  <si>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</si>
  <si>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</si>
  <si>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</si>
  <si>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</si>
  <si>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</si>
  <si>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</si>
  <si>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</si>
  <si>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</si>
  <si>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</si>
  <si>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</si>
  <si>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</si>
  <si>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</si>
  <si>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</si>
  <si>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</si>
  <si>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</si>
  <si>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</si>
  <si>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</si>
  <si>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</si>
  <si>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</si>
  <si>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</si>
  <si>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</si>
  <si>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</si>
  <si>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</si>
  <si>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</si>
  <si>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</si>
  <si>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</si>
  <si>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</si>
  <si>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</si>
  <si>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</si>
  <si>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</si>
  <si>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</si>
  <si>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</si>
  <si>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</si>
  <si>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</si>
  <si>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</si>
  <si>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</si>
  <si>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</si>
  <si>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</si>
  <si>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</si>
  <si>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</si>
  <si>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</si>
  <si>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</si>
  <si>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</si>
  <si>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</si>
  <si>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</si>
  <si>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</si>
  <si>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</si>
  <si>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</si>
  <si>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</si>
  <si>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</si>
  <si>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</si>
  <si>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</si>
  <si>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</si>
  <si>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</si>
  <si>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</si>
  <si>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</si>
  <si>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</si>
  <si>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</si>
  <si>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</si>
  <si>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</si>
  <si>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</si>
  <si>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</si>
  <si>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</si>
  <si>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</si>
  <si>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</si>
  <si>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</si>
  <si>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</si>
  <si>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</si>
  <si>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</si>
  <si>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</si>
  <si>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</si>
  <si>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</si>
  <si>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</si>
  <si>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</si>
  <si>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</si>
  <si>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</si>
  <si>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</si>
  <si>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</si>
  <si>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</si>
  <si>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</si>
  <si>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</si>
  <si>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</si>
  <si>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</si>
  <si>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</si>
  <si>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</si>
  <si>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</si>
  <si>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</si>
  <si>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</si>
  <si>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</si>
  <si>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</si>
  <si>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</si>
  <si>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</si>
  <si>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</si>
  <si>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</si>
  <si>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</si>
  <si>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</si>
  <si>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</si>
  <si>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</si>
  <si>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</si>
  <si>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</si>
  <si>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</si>
  <si>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</si>
  <si>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</si>
  <si>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</si>
  <si>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</si>
  <si>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</si>
  <si>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</si>
  <si>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</si>
  <si>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</si>
  <si>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</si>
  <si>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</si>
  <si>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</si>
  <si>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</si>
  <si>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</si>
  <si>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</si>
  <si>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</si>
  <si>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</si>
  <si>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</si>
  <si>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</si>
  <si>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</si>
  <si>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</si>
  <si>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</si>
  <si>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</si>
  <si>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</si>
  <si>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</si>
  <si>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</si>
  <si>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</si>
  <si>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</si>
  <si>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</si>
  <si>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</si>
  <si>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</si>
  <si>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</si>
  <si>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</si>
  <si>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</si>
  <si>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</si>
  <si>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</si>
  <si>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</si>
  <si>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</si>
  <si>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</si>
  <si>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</si>
  <si>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</si>
  <si>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</si>
  <si>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</si>
  <si>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</si>
  <si>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</si>
  <si>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</si>
  <si>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</si>
  <si>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</si>
  <si>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</si>
  <si>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</si>
  <si>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</si>
  <si>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</si>
  <si>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</si>
  <si>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</si>
  <si>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</si>
  <si>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</si>
  <si>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</si>
  <si>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</si>
  <si>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</si>
  <si>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</si>
  <si>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</si>
  <si>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</si>
  <si>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</si>
  <si>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</si>
  <si>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</si>
  <si>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</si>
  <si>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</si>
  <si>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</si>
  <si>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</si>
  <si>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</si>
  <si>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</si>
  <si>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</si>
  <si>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</si>
  <si>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</si>
  <si>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</si>
  <si>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</si>
  <si>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</si>
  <si>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</si>
  <si>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</si>
  <si>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</si>
  <si>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</si>
  <si>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</si>
  <si>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</si>
  <si>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</si>
  <si>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</si>
  <si>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</si>
  <si>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</si>
  <si>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</si>
  <si>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</si>
  <si>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</si>
  <si>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</si>
  <si>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</si>
  <si>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</si>
  <si>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</si>
  <si>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</si>
  <si>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</si>
  <si>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</si>
  <si>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</si>
  <si>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</si>
  <si>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</si>
  <si>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</si>
  <si>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</si>
  <si>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</si>
  <si>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</si>
  <si>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</si>
  <si>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</si>
  <si>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</si>
  <si>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</si>
  <si>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</si>
  <si>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</si>
  <si>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</si>
  <si>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</si>
  <si>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</si>
  <si>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</si>
  <si>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</si>
  <si>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</si>
  <si>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</si>
  <si>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</si>
  <si>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</si>
  <si>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</si>
  <si>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</si>
  <si>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</si>
  <si>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</si>
  <si>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</si>
  <si>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</si>
  <si>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</si>
  <si>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</si>
  <si>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</si>
  <si>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</si>
  <si>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</si>
  <si>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</si>
  <si>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</si>
  <si>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</si>
  <si>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</si>
  <si>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</si>
  <si>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</si>
  <si>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</si>
  <si>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</si>
  <si>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</si>
  <si>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</si>
  <si>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</si>
  <si>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</si>
  <si>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</si>
  <si>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</si>
  <si>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</si>
  <si>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</si>
  <si>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</si>
  <si>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</si>
  <si>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</si>
  <si>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</si>
  <si>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</si>
  <si>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</si>
  <si>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</si>
  <si>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</si>
  <si>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</si>
  <si>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</si>
  <si>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</si>
  <si>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</si>
  <si>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</si>
  <si>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</si>
  <si>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</si>
  <si>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</si>
  <si>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</si>
  <si>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</si>
  <si>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</si>
  <si>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</si>
  <si>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</si>
  <si>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</si>
  <si>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</si>
  <si>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</si>
  <si>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</si>
  <si>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</si>
  <si>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</si>
  <si>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</si>
  <si>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</si>
  <si>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</si>
  <si>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</si>
  <si>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</si>
  <si>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</si>
  <si>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</si>
  <si>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</si>
  <si>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</si>
  <si>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</si>
  <si>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</si>
  <si>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</si>
  <si>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</si>
  <si>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</si>
  <si>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</si>
  <si>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</si>
  <si>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</si>
  <si>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</si>
  <si>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</si>
  <si>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</si>
  <si>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</si>
  <si>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</si>
  <si>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</si>
  <si>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</si>
  <si>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</si>
  <si>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</si>
  <si>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</si>
  <si>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</si>
  <si>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</si>
  <si>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</si>
  <si>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</si>
  <si>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</si>
  <si>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</si>
  <si>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</si>
  <si>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</si>
  <si>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</si>
  <si>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</si>
  <si>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</si>
  <si>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</si>
  <si>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</si>
  <si>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</si>
  <si>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</si>
  <si>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</si>
  <si>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</si>
  <si>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</si>
  <si>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</si>
  <si>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</si>
  <si>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</si>
  <si>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</si>
  <si>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</si>
  <si>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</si>
  <si>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</si>
  <si>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</si>
  <si>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</si>
  <si>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</si>
  <si>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</si>
  <si>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</si>
  <si>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</si>
  <si>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</si>
  <si>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</si>
  <si>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</si>
  <si>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</si>
  <si>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</si>
  <si>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</si>
  <si>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</si>
  <si>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</si>
  <si>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</si>
  <si>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</si>
  <si>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</si>
  <si>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</si>
  <si>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</si>
  <si>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</si>
  <si>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</si>
  <si>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</si>
  <si>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</si>
  <si>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</si>
  <si>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</si>
  <si>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</si>
  <si>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</si>
  <si>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</si>
  <si>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</si>
  <si>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</si>
  <si>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</si>
  <si>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</si>
  <si>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</si>
  <si>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</si>
  <si>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</si>
  <si>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</si>
  <si>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</si>
  <si>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</si>
  <si>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</si>
  <si>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</si>
  <si>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</si>
  <si>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</si>
  <si>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</si>
  <si>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</si>
  <si>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</si>
  <si>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</si>
  <si>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</si>
  <si>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</si>
  <si>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</si>
  <si>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</si>
  <si>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</si>
  <si>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</si>
  <si>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</si>
  <si>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</si>
  <si>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</si>
  <si>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</si>
  <si>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</si>
  <si>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</si>
  <si>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</si>
  <si>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</si>
  <si>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</si>
  <si>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</si>
  <si>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</si>
  <si>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</si>
  <si>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</si>
  <si>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</si>
  <si>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</si>
  <si>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</si>
  <si>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</si>
  <si>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</si>
  <si>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</si>
  <si>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</si>
  <si>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</si>
  <si>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</si>
  <si>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</si>
  <si>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</si>
  <si>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</si>
  <si>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</si>
  <si>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</si>
  <si>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</si>
  <si>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</si>
  <si>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</si>
  <si>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</si>
  <si>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</si>
  <si>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</si>
  <si>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</si>
  <si>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</si>
  <si>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</si>
  <si>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</si>
  <si>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</si>
  <si>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</si>
  <si>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</si>
  <si>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</si>
  <si>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</si>
  <si>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</si>
  <si>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</si>
  <si>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</si>
  <si>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</si>
  <si>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</si>
  <si>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</si>
  <si>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</si>
  <si>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</si>
  <si>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</si>
  <si>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</si>
  <si>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</si>
  <si>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</si>
  <si>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</si>
  <si>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</si>
  <si>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</si>
  <si>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</si>
  <si>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</si>
  <si>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</si>
  <si>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</si>
  <si>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</si>
  <si>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</si>
  <si>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</si>
  <si>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</si>
  <si>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</si>
  <si>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</si>
  <si>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</si>
  <si>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</si>
  <si>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</si>
  <si>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</si>
  <si>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</si>
  <si>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</si>
  <si>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</si>
  <si>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</si>
  <si>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</si>
  <si>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</si>
  <si>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</si>
  <si>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</si>
  <si>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</si>
  <si>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</si>
  <si>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</si>
  <si>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</si>
  <si>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</si>
  <si>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</si>
  <si>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</si>
  <si>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</si>
  <si>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</si>
  <si>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</si>
  <si>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</si>
  <si>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</si>
  <si>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</si>
  <si>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</si>
  <si>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</si>
  <si>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</si>
  <si>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</si>
  <si>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</si>
  <si>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</si>
  <si>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</si>
  <si>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</si>
  <si>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</si>
  <si>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</si>
  <si>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</si>
  <si>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</si>
  <si>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</si>
  <si>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</si>
  <si>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</si>
  <si>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</si>
  <si>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</si>
  <si>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</si>
  <si>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</si>
  <si>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</si>
  <si>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</si>
  <si>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</si>
  <si>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</si>
  <si>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</si>
  <si>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</si>
  <si>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</si>
  <si>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</si>
  <si>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</si>
  <si>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</si>
  <si>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</si>
  <si>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</si>
  <si>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</si>
  <si>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</si>
  <si>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</si>
  <si>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</si>
  <si>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</si>
  <si>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</si>
  <si>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</si>
  <si>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</si>
  <si>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</si>
  <si>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</si>
  <si>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</si>
  <si>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</si>
  <si>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</si>
  <si>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</si>
  <si>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</si>
  <si>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</si>
  <si>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</si>
  <si>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</si>
  <si>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</si>
  <si>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</si>
  <si>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</si>
  <si>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</si>
  <si>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</si>
  <si>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</si>
  <si>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</si>
  <si>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</si>
  <si>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</si>
  <si>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</si>
  <si>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</si>
  <si>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</si>
  <si>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</si>
  <si>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</si>
  <si>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</si>
  <si>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</si>
  <si>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</si>
  <si>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</si>
  <si>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</si>
  <si>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</si>
  <si>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</si>
  <si>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</si>
  <si>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</si>
  <si>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</si>
  <si>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</si>
  <si>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</si>
  <si>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</si>
  <si>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</si>
  <si>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</si>
  <si>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</si>
  <si>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</si>
  <si>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</si>
  <si>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</si>
  <si>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</si>
  <si>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</si>
  <si>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</si>
  <si>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</si>
  <si>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</si>
  <si>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</si>
  <si>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</si>
  <si>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</si>
  <si>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</si>
  <si>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</si>
  <si>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</si>
  <si>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</si>
  <si>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</si>
  <si>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</si>
  <si>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</si>
  <si>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</si>
  <si>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</si>
  <si>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</si>
  <si>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</si>
  <si>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</si>
  <si>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</si>
  <si>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</si>
  <si>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</si>
  <si>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</si>
  <si>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</si>
  <si>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</si>
  <si>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</si>
  <si>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</si>
  <si>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</si>
  <si>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</si>
  <si>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</si>
  <si>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</si>
  <si>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</si>
  <si>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</si>
  <si>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</si>
  <si>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</si>
  <si>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</si>
  <si>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</si>
  <si>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</si>
  <si>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</si>
  <si>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</si>
  <si>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</si>
  <si>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</si>
  <si>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</si>
  <si>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</si>
  <si>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</si>
  <si>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</si>
  <si>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</si>
  <si>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</si>
  <si>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</si>
  <si>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</si>
  <si>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</si>
  <si>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</si>
  <si>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</si>
  <si>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</si>
  <si>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</si>
  <si>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</si>
  <si>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</si>
  <si>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</si>
  <si>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</si>
  <si>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</si>
  <si>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</si>
  <si>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</si>
  <si>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</si>
  <si>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</si>
  <si>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</si>
  <si>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</si>
  <si>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</si>
  <si>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</si>
  <si>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</si>
  <si>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</si>
  <si>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</si>
  <si>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</si>
  <si>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</si>
  <si>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</si>
  <si>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</si>
  <si>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</si>
  <si>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</si>
  <si>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</si>
  <si>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</si>
  <si>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</si>
  <si>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</si>
  <si>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</si>
  <si>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</si>
  <si>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</si>
  <si>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</si>
  <si>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</si>
  <si>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</si>
  <si>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</si>
  <si>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</si>
  <si>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</si>
  <si>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</si>
  <si>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</si>
  <si>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</si>
  <si>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</si>
  <si>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</si>
  <si>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</si>
  <si>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</si>
  <si>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</si>
  <si>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</si>
  <si>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</si>
  <si>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</si>
  <si>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</si>
  <si>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</si>
  <si>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</si>
  <si>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</si>
  <si>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</si>
  <si>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</si>
  <si>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</si>
  <si>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</si>
  <si>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</si>
  <si>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</si>
  <si>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</si>
  <si>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</si>
  <si>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</si>
  <si>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</si>
  <si>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</si>
  <si>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</si>
  <si>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</si>
  <si>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</si>
  <si>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</si>
  <si>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</si>
  <si>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</si>
  <si>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</si>
  <si>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</si>
  <si>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</si>
  <si>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</si>
  <si>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</si>
  <si>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</si>
  <si>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</si>
  <si>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</si>
  <si>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</si>
  <si>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</si>
  <si>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</si>
  <si>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</si>
  <si>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</si>
  <si>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</si>
  <si>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</si>
  <si>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</si>
  <si>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</si>
  <si>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</si>
  <si>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</si>
  <si>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</si>
  <si>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</si>
  <si>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</si>
  <si>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</si>
  <si>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</si>
  <si>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</si>
  <si>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</si>
  <si>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</si>
  <si>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</si>
  <si>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</si>
  <si>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</si>
  <si>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</si>
  <si>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</si>
  <si>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</si>
  <si>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</si>
  <si>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</si>
  <si>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</si>
  <si>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</si>
  <si>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</si>
  <si>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</si>
  <si>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</si>
  <si>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</si>
  <si>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</si>
  <si>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</si>
  <si>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</si>
  <si>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</si>
  <si>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</si>
  <si>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</si>
  <si>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</si>
  <si>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</si>
  <si>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</si>
  <si>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</si>
  <si>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</si>
  <si>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</si>
  <si>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</si>
  <si>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</si>
  <si>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</si>
  <si>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</si>
  <si>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</si>
  <si>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</si>
  <si>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</si>
  <si>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</si>
  <si>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</si>
  <si>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</si>
  <si>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</si>
  <si>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</si>
  <si>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</si>
  <si>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</si>
  <si>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</si>
  <si>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</si>
  <si>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</si>
  <si>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</si>
  <si>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</si>
  <si>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</si>
  <si>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</si>
  <si>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</si>
  <si>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</si>
  <si>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</si>
  <si>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</si>
  <si>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</si>
  <si>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</si>
  <si>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</si>
  <si>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</si>
  <si>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</si>
  <si>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</si>
  <si>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</si>
  <si>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</si>
  <si>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</si>
  <si>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</si>
  <si>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</si>
  <si>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</si>
  <si>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</si>
  <si>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</si>
  <si>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</si>
  <si>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</si>
  <si>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</si>
  <si>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</si>
  <si>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</si>
  <si>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</si>
  <si>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</si>
  <si>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</si>
  <si>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</si>
  <si>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</si>
  <si>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</si>
  <si>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</si>
  <si>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</si>
  <si>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</si>
  <si>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</si>
  <si>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</si>
  <si>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</si>
  <si>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</si>
  <si>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</si>
  <si>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</si>
  <si>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</si>
  <si>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</si>
  <si>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</si>
  <si>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</si>
  <si>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</si>
  <si>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</si>
  <si>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</si>
  <si>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</si>
  <si>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</si>
  <si>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</si>
  <si>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</si>
  <si>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</si>
  <si>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</si>
  <si>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</si>
  <si>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</si>
  <si>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</si>
  <si>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</si>
  <si>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</si>
  <si>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</si>
  <si>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</si>
  <si>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</si>
  <si>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</si>
  <si>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</si>
  <si>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</si>
  <si>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</si>
  <si>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</si>
  <si>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</si>
  <si>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</si>
  <si>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</si>
  <si>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</si>
  <si>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</si>
  <si>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</si>
  <si>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</si>
  <si>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</si>
  <si>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</si>
  <si>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</si>
  <si>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</si>
  <si>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</si>
  <si>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</si>
  <si>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</si>
  <si>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</si>
  <si>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</si>
  <si>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</si>
  <si>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</si>
  <si>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</si>
  <si>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</si>
  <si>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</si>
  <si>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</si>
  <si>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</si>
  <si>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</si>
  <si>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</si>
  <si>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</si>
  <si>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</si>
  <si>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</si>
  <si>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</si>
  <si>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</si>
  <si>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</si>
  <si>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</si>
  <si>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</si>
  <si>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</si>
  <si>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</si>
  <si>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</si>
  <si>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</si>
  <si>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</si>
  <si>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</si>
  <si>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</si>
  <si>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</si>
  <si>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</si>
  <si>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</si>
  <si>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</si>
  <si>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</si>
  <si>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</si>
  <si>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</si>
  <si>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</si>
  <si>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</si>
  <si>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</si>
  <si>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</si>
  <si>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</si>
  <si>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</si>
  <si>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</si>
  <si>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</si>
  <si>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</si>
  <si>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</si>
  <si>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</si>
  <si>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</si>
  <si>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</si>
  <si>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</si>
  <si>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</si>
  <si>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</si>
  <si>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</si>
  <si>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</si>
  <si>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</si>
  <si>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</si>
  <si>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</si>
  <si>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</si>
  <si>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</si>
  <si>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</si>
  <si>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</si>
  <si>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</si>
  <si>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</si>
  <si>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</si>
  <si>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</si>
  <si>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</si>
  <si>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</si>
  <si>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</si>
  <si>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</si>
  <si>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</si>
  <si>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</si>
  <si>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</si>
  <si>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</si>
  <si>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</si>
  <si>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</si>
  <si>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</si>
  <si>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</si>
  <si>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</si>
  <si>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</si>
  <si>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</si>
  <si>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</si>
  <si>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</si>
  <si>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</si>
  <si>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</si>
  <si>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</si>
  <si>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</si>
  <si>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</si>
  <si>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</si>
  <si>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</si>
  <si>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</si>
  <si>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</si>
  <si>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</si>
  <si>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</si>
  <si>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</si>
  <si>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</si>
  <si>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</si>
  <si>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</si>
  <si>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</si>
  <si>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</si>
  <si>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</si>
  <si>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</si>
  <si>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</si>
  <si>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</si>
  <si>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</si>
  <si>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</si>
  <si>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</si>
  <si>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</si>
  <si>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</si>
  <si>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</si>
  <si>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</si>
  <si>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</si>
  <si>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</si>
  <si>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</si>
  <si>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</si>
  <si>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</si>
  <si>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</si>
  <si>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</si>
  <si>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</si>
  <si>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</si>
  <si>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</si>
  <si>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</si>
  <si>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</si>
  <si>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</si>
  <si>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</si>
  <si>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</si>
  <si>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</si>
  <si>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</si>
  <si>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</si>
  <si>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</si>
  <si>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</si>
  <si>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</si>
  <si>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</si>
  <si>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</si>
  <si>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</si>
  <si>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</si>
  <si>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</si>
  <si>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</si>
  <si>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</si>
  <si>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</si>
  <si>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</si>
  <si>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</si>
  <si>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</si>
  <si>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</si>
  <si>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</si>
  <si>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</si>
  <si>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</si>
  <si>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</si>
  <si>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</si>
  <si>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</si>
  <si>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</si>
  <si>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</si>
  <si>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</si>
  <si>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</si>
  <si>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</si>
  <si>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</si>
  <si>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</si>
  <si>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</si>
  <si>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</si>
  <si>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</si>
  <si>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</si>
  <si>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</si>
  <si>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</si>
  <si>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</si>
  <si>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</si>
  <si>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</si>
  <si>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</si>
  <si>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</si>
  <si>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</si>
  <si>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</si>
  <si>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</si>
  <si>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</si>
  <si>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</si>
  <si>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</si>
  <si>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</si>
  <si>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</si>
  <si>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</si>
  <si>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</si>
  <si>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</si>
  <si>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</si>
  <si>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</si>
  <si>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</si>
  <si>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</si>
  <si>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</si>
  <si>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</si>
  <si>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</si>
  <si>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</si>
  <si>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</si>
  <si>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</si>
  <si>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</si>
  <si>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</si>
  <si>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</si>
  <si>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</si>
  <si>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</si>
  <si>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</si>
  <si>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</si>
  <si>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</si>
  <si>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</si>
  <si>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</si>
  <si>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</si>
  <si>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</si>
  <si>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</si>
  <si>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</si>
  <si>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</si>
  <si>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</si>
  <si>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</si>
  <si>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</si>
  <si>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</si>
  <si>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</si>
  <si>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</si>
  <si>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</si>
  <si>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</si>
  <si>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</si>
  <si>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</si>
  <si>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</si>
  <si>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</si>
  <si>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</si>
  <si>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</si>
  <si>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</si>
  <si>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</si>
  <si>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</si>
  <si>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</si>
  <si>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</si>
  <si>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</si>
  <si>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</si>
  <si>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</si>
  <si>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</si>
  <si>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</si>
  <si>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</si>
  <si>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</si>
  <si>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</si>
  <si>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</si>
  <si>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</si>
  <si>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</si>
  <si>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</si>
  <si>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</si>
  <si>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</si>
  <si>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</si>
  <si>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</si>
  <si>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</si>
  <si>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</si>
  <si>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</si>
  <si>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</si>
  <si>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</si>
  <si>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</si>
  <si>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</si>
  <si>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</si>
  <si>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</si>
  <si>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</si>
  <si>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</si>
  <si>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</si>
  <si>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</si>
  <si>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</si>
  <si>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</si>
  <si>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</si>
  <si>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</si>
  <si>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</si>
  <si>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</si>
  <si>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</si>
  <si>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</si>
  <si>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</si>
  <si>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</si>
  <si>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</si>
  <si>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</si>
  <si>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</si>
  <si>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</si>
  <si>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</si>
  <si>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</si>
  <si>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</si>
  <si>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</si>
  <si>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</si>
  <si>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</si>
  <si>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</si>
  <si>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</si>
  <si>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</si>
  <si>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</si>
  <si>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</si>
  <si>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</si>
  <si>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</si>
  <si>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</si>
  <si>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</si>
  <si>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</si>
  <si>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</si>
  <si>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</si>
  <si>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</si>
  <si>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</si>
  <si>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</si>
  <si>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</si>
  <si>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</si>
  <si>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</si>
  <si>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</si>
  <si>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</si>
  <si>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</si>
  <si>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</si>
  <si>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</si>
  <si>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</si>
  <si>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</si>
  <si>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</si>
  <si>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</si>
  <si>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</si>
  <si>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</si>
  <si>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</si>
  <si>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</si>
  <si>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</si>
  <si>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</si>
  <si>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</si>
  <si>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</si>
  <si>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</si>
  <si>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</si>
  <si>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</si>
  <si>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</si>
  <si>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</si>
  <si>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</si>
  <si>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</si>
  <si>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</si>
  <si>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</si>
  <si>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</si>
  <si>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</si>
  <si>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</si>
  <si>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</si>
  <si>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</si>
  <si>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</si>
  <si>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</si>
  <si>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</si>
  <si>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</si>
  <si>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</si>
  <si>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</si>
  <si>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</si>
  <si>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</si>
  <si>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</si>
  <si>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</si>
  <si>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</si>
  <si>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</si>
  <si>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</si>
  <si>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</si>
  <si>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</si>
  <si>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</si>
  <si>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</si>
  <si>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</si>
  <si>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</si>
  <si>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</si>
  <si>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</si>
  <si>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</si>
  <si>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</si>
  <si>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</si>
  <si>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</si>
  <si>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</si>
  <si>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</si>
  <si>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</si>
  <si>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</si>
  <si>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</si>
  <si>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</si>
  <si>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</si>
  <si>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</si>
  <si>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</si>
  <si>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</si>
  <si>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</si>
  <si>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</si>
  <si>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</si>
  <si>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</si>
  <si>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</si>
  <si>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</si>
  <si>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</si>
  <si>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</si>
  <si>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</si>
  <si>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</si>
  <si>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</si>
  <si>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</si>
  <si>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</si>
  <si>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</si>
  <si>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</si>
  <si>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</si>
  <si>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</si>
  <si>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</si>
  <si>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</si>
  <si>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</si>
  <si>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</si>
  <si>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</si>
  <si>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</si>
  <si>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</si>
  <si>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</si>
  <si>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</si>
  <si>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</si>
  <si>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</si>
  <si>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</si>
  <si>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</si>
  <si>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</si>
  <si>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</si>
  <si>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</si>
  <si>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</si>
  <si>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</si>
  <si>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</si>
  <si>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</si>
  <si>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</si>
  <si>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</si>
  <si>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</si>
  <si>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</si>
  <si>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</si>
  <si>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</si>
  <si>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</si>
  <si>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</si>
  <si>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</si>
  <si>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</si>
  <si>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</si>
  <si>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</si>
  <si>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</si>
  <si>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</si>
  <si>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</si>
  <si>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</si>
  <si>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</si>
  <si>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</si>
  <si>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</si>
  <si>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</si>
  <si>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</si>
  <si>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</si>
  <si>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</si>
  <si>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</si>
  <si>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</si>
  <si>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</si>
  <si>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</si>
  <si>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</si>
  <si>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</si>
  <si>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</si>
  <si>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</si>
  <si>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</si>
  <si>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</si>
  <si>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</si>
  <si>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</si>
  <si>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</si>
  <si>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</si>
  <si>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</si>
  <si>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</si>
  <si>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</si>
  <si>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</si>
  <si>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</si>
  <si>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</si>
  <si>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</si>
  <si>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</si>
  <si>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</si>
  <si>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</si>
  <si>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</si>
  <si>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</si>
  <si>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</si>
  <si>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</si>
  <si>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</si>
  <si>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</si>
  <si>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</si>
  <si>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</si>
  <si>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</si>
  <si>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</si>
  <si>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</si>
  <si>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</si>
  <si>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</si>
  <si>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</si>
  <si>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</si>
  <si>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</si>
  <si>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</si>
  <si>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</si>
  <si>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</si>
  <si>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</si>
  <si>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</si>
  <si>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</si>
  <si>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</si>
  <si>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</si>
  <si>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</si>
  <si>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</si>
  <si>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</si>
  <si>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</si>
  <si>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</si>
  <si>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</si>
  <si>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</si>
  <si>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</si>
  <si>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</si>
  <si>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</si>
  <si>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</si>
  <si>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</si>
  <si>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</si>
  <si>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</si>
  <si>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</si>
  <si>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</si>
  <si>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</si>
  <si>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</si>
  <si>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</si>
  <si>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</si>
  <si>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</si>
  <si>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</si>
  <si>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</si>
  <si>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</si>
  <si>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</si>
  <si>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</si>
  <si>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</si>
  <si>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</si>
  <si>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</si>
  <si>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</si>
  <si>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</si>
  <si>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</si>
  <si>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</si>
  <si>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</si>
  <si>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</si>
  <si>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</si>
  <si>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</si>
  <si>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</si>
  <si>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</si>
  <si>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</si>
  <si>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</si>
  <si>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</si>
  <si>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</si>
  <si>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</si>
  <si>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</si>
  <si>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</si>
  <si>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</si>
  <si>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</si>
  <si>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</si>
  <si>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</si>
  <si>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</si>
  <si>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</si>
  <si>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</si>
  <si>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</si>
  <si>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</si>
  <si>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</si>
  <si>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</si>
  <si>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</si>
  <si>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</si>
  <si>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</si>
  <si>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</si>
  <si>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</si>
  <si>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</si>
  <si>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</si>
  <si>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</si>
  <si>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</si>
  <si>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</si>
  <si>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</si>
  <si>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</si>
  <si>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</si>
  <si>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</si>
  <si>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</si>
  <si>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</si>
  <si>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</si>
  <si>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</si>
  <si>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</si>
  <si>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</si>
  <si>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</si>
  <si>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</si>
  <si>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</si>
  <si>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</si>
  <si>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</si>
  <si>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</si>
  <si>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</si>
  <si>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</si>
  <si>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</si>
  <si>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</si>
  <si>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</si>
  <si>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</si>
  <si>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</si>
  <si>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</si>
  <si>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</si>
  <si>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</si>
  <si>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</si>
  <si>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</si>
  <si>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</si>
  <si>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</si>
  <si>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</si>
  <si>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</si>
  <si>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</si>
  <si>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</si>
  <si>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</si>
  <si>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</si>
  <si>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</si>
  <si>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</si>
  <si>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</si>
  <si>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</si>
  <si>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</si>
  <si>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</si>
  <si>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</si>
  <si>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</si>
  <si>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</si>
  <si>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</si>
  <si>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</si>
  <si>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</si>
  <si>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</si>
  <si>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</si>
  <si>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</si>
  <si>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</si>
  <si>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</si>
  <si>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</si>
  <si>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</si>
  <si>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</si>
  <si>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</si>
  <si>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</si>
  <si>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</si>
  <si>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</si>
  <si>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</si>
  <si>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</si>
  <si>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</si>
  <si>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</si>
  <si>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</si>
  <si>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</si>
  <si>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</si>
  <si>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</si>
  <si>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</si>
  <si>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</si>
  <si>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</si>
  <si>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</si>
  <si>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</si>
  <si>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</si>
  <si>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</si>
  <si>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</si>
  <si>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</si>
  <si>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</si>
  <si>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</si>
  <si>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</si>
  <si>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</si>
  <si>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</si>
  <si>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</si>
  <si>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</si>
  <si>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</si>
  <si>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</si>
  <si>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</si>
  <si>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</si>
  <si>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</si>
  <si>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</si>
  <si>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</si>
  <si>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</si>
  <si>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</si>
  <si>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</si>
  <si>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</si>
  <si>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</si>
  <si>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</si>
  <si>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</si>
  <si>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</si>
  <si>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</si>
  <si>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</si>
  <si>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</si>
  <si>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</si>
  <si>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</si>
  <si>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</si>
  <si>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</si>
  <si>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</si>
  <si>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</si>
  <si>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</si>
  <si>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</si>
  <si>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</si>
  <si>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</si>
  <si>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</si>
  <si>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</si>
  <si>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</si>
  <si>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</si>
  <si>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</si>
  <si>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</si>
  <si>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</si>
  <si>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</si>
  <si>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</si>
  <si>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</si>
  <si>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</si>
  <si>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</si>
  <si>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</si>
  <si>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</si>
  <si>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</si>
  <si>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</si>
  <si>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</si>
  <si>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</si>
  <si>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</si>
  <si>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</si>
  <si>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</si>
  <si>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</si>
  <si>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</si>
  <si>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</si>
  <si>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</si>
  <si>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</si>
  <si>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</si>
  <si>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</si>
  <si>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</si>
  <si>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</si>
  <si>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</si>
  <si>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</si>
  <si>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</si>
  <si>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</si>
  <si>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</si>
  <si>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</si>
  <si>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</si>
  <si>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</si>
  <si>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</si>
  <si>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</si>
  <si>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</si>
  <si>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</si>
  <si>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</si>
  <si>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</si>
  <si>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</si>
  <si>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</si>
  <si>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</si>
  <si>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</si>
  <si>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</si>
  <si>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</si>
  <si>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</si>
  <si>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</si>
  <si>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</si>
  <si>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</si>
  <si>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</si>
  <si>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</si>
  <si>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</si>
  <si>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</si>
  <si>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</si>
  <si>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</si>
  <si>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</si>
  <si>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</si>
  <si>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</si>
  <si>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</si>
  <si>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</si>
  <si>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</si>
  <si>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</si>
  <si>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</si>
  <si>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</si>
  <si>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</si>
  <si>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</si>
  <si>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</si>
  <si>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</si>
  <si>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</si>
  <si>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</si>
  <si>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</si>
  <si>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</si>
  <si>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</si>
  <si>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</si>
  <si>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</si>
  <si>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</si>
  <si>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</si>
  <si>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</si>
  <si>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</si>
  <si>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</si>
  <si>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</si>
  <si>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</si>
  <si>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</si>
  <si>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</si>
  <si>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</si>
  <si>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</si>
  <si>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</si>
  <si>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</si>
  <si>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</si>
  <si>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</si>
  <si>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</si>
  <si>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</si>
  <si>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</si>
  <si>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</si>
  <si>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</si>
  <si>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</si>
  <si>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</si>
  <si>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</si>
  <si>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</si>
  <si>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</si>
  <si>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</si>
  <si>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</si>
  <si>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</si>
  <si>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</si>
  <si>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</si>
  <si>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</si>
  <si>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</si>
  <si>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</si>
  <si>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</si>
  <si>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</si>
  <si>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</si>
  <si>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</si>
  <si>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</si>
  <si>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</si>
  <si>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</si>
  <si>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</si>
  <si>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</si>
  <si>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</si>
  <si>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</si>
  <si>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</si>
  <si>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</si>
  <si>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</si>
  <si>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</si>
  <si>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</si>
  <si>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</si>
  <si>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</si>
  <si>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</si>
  <si>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</si>
  <si>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</si>
  <si>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</si>
  <si>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</si>
  <si>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</si>
  <si>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</si>
  <si>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</si>
  <si>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</si>
  <si>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</si>
  <si>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</si>
  <si>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</si>
  <si>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</si>
  <si>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</si>
  <si>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</si>
  <si>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</si>
  <si>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</si>
  <si>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</si>
  <si>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</si>
  <si>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</si>
  <si>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</si>
  <si>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</si>
  <si>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</si>
  <si>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</si>
  <si>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</si>
  <si>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</si>
  <si>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</si>
  <si>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</si>
  <si>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</si>
  <si>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</si>
  <si>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</si>
  <si>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</si>
  <si>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</si>
  <si>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</si>
  <si>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</si>
  <si>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</si>
  <si>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</si>
  <si>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</si>
  <si>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</si>
  <si>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</si>
  <si>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</si>
  <si>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</si>
  <si>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</si>
  <si>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</si>
  <si>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</si>
  <si>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</si>
  <si>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</si>
  <si>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</si>
  <si>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</si>
  <si>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</si>
  <si>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</si>
  <si>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</si>
  <si>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</si>
  <si>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</si>
  <si>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</si>
  <si>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</si>
  <si>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</si>
  <si>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</si>
  <si>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</si>
  <si>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</si>
  <si>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</si>
  <si>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</si>
  <si>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</si>
  <si>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</si>
  <si>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</si>
  <si>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</si>
  <si>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</si>
  <si>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</si>
  <si>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</si>
  <si>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</si>
  <si>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</si>
  <si>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</si>
  <si>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</si>
  <si>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</si>
  <si>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</si>
  <si>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</si>
  <si>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</si>
  <si>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</si>
  <si>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</si>
  <si>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</si>
  <si>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</si>
  <si>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</si>
  <si>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</si>
  <si>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</si>
  <si>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</si>
  <si>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</si>
  <si>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</si>
  <si>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</si>
  <si>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</si>
  <si>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</si>
  <si>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</si>
  <si>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</si>
  <si>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</si>
  <si>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</si>
  <si>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</si>
  <si>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</si>
  <si>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</si>
  <si>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</si>
  <si>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</si>
  <si>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</si>
  <si>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</si>
  <si>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</si>
  <si>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</si>
  <si>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</si>
  <si>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</si>
  <si>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</si>
  <si>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</si>
  <si>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</si>
  <si>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</si>
  <si>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</si>
  <si>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</si>
  <si>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</si>
  <si>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</si>
  <si>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</si>
  <si>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</si>
  <si>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</si>
  <si>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</si>
  <si>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</si>
  <si>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</si>
  <si>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</si>
  <si>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</si>
  <si>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</si>
  <si>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</si>
  <si>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</si>
  <si>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</si>
  <si>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</si>
  <si>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</si>
  <si>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</si>
  <si>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</si>
  <si>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</si>
  <si>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</si>
  <si>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</si>
  <si>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</si>
  <si>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</si>
  <si>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</si>
  <si>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</si>
  <si>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</si>
  <si>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</si>
  <si>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</si>
  <si>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</si>
  <si>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</si>
  <si>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</si>
  <si>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</si>
  <si>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</si>
  <si>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</si>
  <si>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</si>
  <si>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</si>
  <si>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</si>
  <si>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</si>
  <si>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</si>
  <si>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</si>
  <si>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</si>
  <si>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</si>
  <si>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</si>
  <si>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</si>
  <si>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</si>
  <si>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</si>
  <si>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</si>
  <si>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</si>
  <si>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</si>
  <si>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</si>
  <si>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</si>
  <si>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</si>
  <si>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</si>
  <si>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</si>
  <si>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</si>
  <si>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</si>
  <si>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</si>
  <si>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</si>
  <si>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</si>
  <si>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</si>
  <si>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</si>
  <si>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</si>
  <si>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</si>
  <si>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</si>
  <si>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</si>
  <si>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</si>
  <si>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</si>
  <si>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</si>
  <si>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</si>
  <si>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</si>
  <si>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</si>
  <si>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</si>
  <si>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</si>
  <si>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</si>
  <si>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</si>
  <si>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</si>
  <si>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</si>
  <si>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</si>
  <si>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</si>
  <si>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</si>
  <si>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</si>
  <si>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</si>
  <si>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</si>
  <si>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</si>
  <si>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</si>
  <si>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</si>
  <si>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</si>
  <si>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</si>
  <si>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</si>
  <si>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</si>
  <si>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</si>
  <si>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</si>
  <si>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</si>
  <si>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</si>
  <si>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</si>
  <si>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</si>
  <si>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</si>
  <si>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</si>
  <si>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</si>
  <si>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</si>
  <si>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</si>
  <si>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</si>
  <si>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</si>
  <si>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</si>
  <si>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</si>
  <si>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</si>
  <si>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</si>
  <si>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</si>
  <si>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</si>
  <si>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</si>
  <si>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</si>
  <si>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</si>
  <si>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</si>
  <si>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</si>
  <si>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</si>
  <si>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</si>
  <si>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</si>
  <si>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</si>
  <si>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</si>
  <si>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</si>
  <si>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</si>
  <si>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</si>
  <si>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</si>
  <si>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</si>
  <si>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</si>
  <si>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</si>
  <si>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</si>
  <si>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</si>
  <si>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</si>
  <si>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</si>
  <si>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</si>
  <si>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</si>
  <si>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</si>
  <si>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</si>
  <si>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</si>
  <si>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</si>
  <si>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</si>
  <si>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</si>
  <si>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</si>
  <si>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</si>
  <si>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</si>
  <si>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</si>
  <si>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</si>
  <si>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</si>
  <si>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</si>
  <si>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</si>
  <si>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</si>
  <si>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</si>
  <si>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</si>
  <si>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</si>
  <si>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</si>
  <si>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</si>
  <si>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</si>
  <si>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</si>
  <si>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</si>
  <si>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</si>
  <si>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</si>
  <si>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</si>
  <si>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</si>
  <si>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</si>
  <si>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</si>
  <si>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</si>
  <si>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</si>
  <si>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</si>
  <si>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</si>
  <si>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</si>
  <si>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</si>
  <si>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</si>
  <si>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</si>
  <si>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</si>
  <si>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</si>
  <si>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</si>
  <si>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</si>
  <si>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</si>
  <si>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</si>
  <si>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</si>
  <si>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</si>
  <si>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</si>
  <si>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</si>
  <si>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</si>
  <si>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</si>
  <si>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</si>
  <si>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</si>
  <si>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</si>
  <si>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</si>
  <si>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</si>
  <si>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</si>
  <si>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</si>
  <si>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</si>
  <si>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</si>
  <si>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</si>
  <si>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</si>
  <si>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</si>
  <si>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</si>
  <si>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</si>
  <si>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</si>
  <si>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</si>
  <si>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</si>
  <si>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</si>
  <si>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</si>
  <si>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</si>
  <si>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</si>
  <si>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</si>
  <si>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</si>
  <si>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</si>
  <si>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</si>
  <si>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</si>
  <si>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</si>
  <si>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</si>
  <si>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</si>
  <si>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</si>
  <si>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</si>
  <si>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</si>
  <si>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</si>
  <si>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</si>
  <si>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</si>
  <si>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</si>
  <si>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</si>
  <si>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</si>
  <si>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</si>
  <si>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</si>
  <si>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</si>
  <si>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</si>
  <si>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</si>
  <si>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</si>
  <si>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</si>
  <si>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</si>
  <si>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</si>
  <si>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</si>
  <si>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</si>
  <si>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</si>
  <si>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</si>
  <si>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</si>
  <si>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</si>
  <si>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</si>
  <si>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</si>
  <si>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</si>
  <si>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</si>
  <si>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</si>
  <si>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</si>
  <si>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</si>
  <si>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</si>
  <si>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</si>
  <si>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</si>
  <si>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</si>
  <si>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</si>
  <si>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</si>
  <si>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</si>
  <si>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</si>
  <si>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</si>
  <si>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</si>
  <si>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</si>
  <si>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</si>
  <si>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</si>
  <si>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</si>
  <si>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</si>
  <si>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</si>
  <si>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</si>
  <si>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</si>
  <si>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</si>
  <si>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</si>
  <si>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</si>
  <si>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</si>
  <si>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</si>
  <si>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</si>
  <si>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</si>
  <si>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</si>
  <si>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</si>
  <si>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</si>
  <si>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</si>
  <si>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</si>
  <si>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</si>
  <si>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</si>
  <si>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</si>
  <si>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</si>
  <si>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</si>
  <si>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</si>
  <si>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</si>
  <si>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</si>
  <si>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</si>
  <si>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</si>
  <si>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</si>
  <si>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</si>
  <si>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</si>
  <si>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</si>
  <si>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</si>
  <si>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</si>
  <si>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</si>
  <si>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</si>
  <si>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</si>
  <si>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</si>
  <si>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</si>
  <si>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</si>
  <si>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</si>
  <si>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</si>
  <si>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</si>
  <si>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</si>
  <si>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</si>
  <si>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</si>
  <si>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</si>
  <si>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</si>
  <si>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</si>
  <si>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</si>
  <si>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</si>
  <si>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</si>
  <si>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</si>
  <si>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</si>
  <si>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</si>
  <si>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</si>
  <si>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</si>
  <si>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</si>
  <si>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</si>
  <si>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</si>
  <si>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</si>
  <si>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</si>
  <si>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</si>
  <si>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</si>
  <si>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</si>
  <si>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</si>
  <si>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</si>
  <si>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</si>
  <si>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</si>
  <si>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</si>
  <si>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</si>
  <si>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</si>
  <si>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</si>
  <si>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</si>
  <si>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</si>
  <si>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</si>
  <si>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</si>
  <si>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</si>
  <si>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</si>
  <si>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</si>
  <si>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</si>
  <si>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</si>
  <si>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</si>
  <si>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</si>
  <si>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</si>
  <si>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</si>
  <si>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</si>
  <si>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</si>
  <si>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</si>
  <si>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</si>
  <si>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</si>
  <si>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</si>
  <si>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</si>
  <si>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</si>
  <si>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</si>
  <si>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</si>
  <si>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</si>
  <si>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</si>
  <si>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</si>
  <si>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</si>
  <si>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</si>
  <si>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</si>
  <si>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</si>
  <si>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</si>
  <si>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</si>
  <si>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</si>
  <si>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</si>
  <si>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</si>
  <si>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</si>
  <si>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</si>
  <si>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</si>
  <si>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</si>
  <si>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</si>
  <si>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</si>
  <si>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</si>
  <si>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</si>
  <si>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</si>
  <si>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</si>
  <si>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</si>
  <si>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</si>
  <si>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</si>
  <si>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</si>
  <si>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</si>
  <si>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</si>
  <si>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</si>
  <si>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</si>
  <si>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</si>
  <si>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</si>
  <si>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</si>
  <si>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</si>
  <si>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</si>
  <si>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</si>
  <si>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</si>
  <si>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</si>
  <si>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</si>
  <si>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</si>
  <si>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</si>
  <si>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</si>
  <si>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</si>
  <si>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</si>
  <si>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</si>
  <si>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</si>
  <si>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</si>
  <si>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</si>
  <si>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</si>
  <si>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</si>
  <si>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</si>
  <si>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</si>
  <si>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</si>
  <si>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</si>
  <si>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</si>
  <si>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</si>
  <si>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</si>
  <si>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</si>
  <si>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</si>
  <si>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</si>
  <si>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</si>
  <si>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</si>
  <si>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</si>
  <si>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</si>
  <si>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</si>
  <si>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</si>
  <si>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</si>
  <si>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</si>
  <si>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</si>
  <si>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</si>
  <si>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</si>
  <si>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</si>
  <si>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</si>
  <si>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</si>
  <si>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</si>
  <si>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</si>
  <si>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</si>
  <si>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</si>
  <si>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</si>
  <si>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</si>
  <si>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</si>
  <si>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</si>
  <si>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</si>
  <si>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</si>
  <si>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</si>
  <si>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</si>
  <si>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</si>
  <si>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</si>
  <si>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</si>
  <si>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</si>
  <si>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</si>
  <si>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</si>
  <si>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</si>
  <si>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</si>
  <si>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</si>
  <si>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</si>
  <si>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</si>
  <si>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</si>
  <si>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</si>
  <si>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</si>
  <si>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</si>
  <si>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</si>
  <si>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</si>
  <si>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</si>
  <si>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</si>
  <si>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</si>
  <si>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</si>
  <si>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</si>
  <si>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</si>
  <si>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</si>
  <si>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</si>
  <si>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</si>
  <si>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</si>
  <si>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</si>
  <si>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</si>
  <si>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</si>
  <si>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</si>
  <si>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</si>
  <si>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</si>
  <si>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</si>
  <si>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</si>
  <si>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</si>
  <si>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</si>
  <si>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</si>
  <si>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</si>
  <si>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</si>
  <si>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</si>
  <si>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</si>
  <si>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</si>
  <si>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</si>
  <si>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</si>
  <si>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</si>
  <si>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</si>
  <si>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</si>
  <si>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</si>
  <si>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</si>
  <si>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</si>
  <si>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</si>
  <si>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</si>
  <si>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</si>
  <si>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</si>
  <si>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</si>
  <si>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</si>
  <si>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</si>
  <si>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</si>
  <si>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</si>
  <si>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</si>
  <si>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</si>
  <si>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</si>
  <si>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</si>
  <si>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</si>
  <si>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</si>
  <si>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</si>
  <si>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</si>
  <si>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</si>
  <si>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</si>
  <si>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</si>
  <si>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</si>
  <si>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</si>
  <si>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</si>
  <si>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</si>
  <si>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</si>
  <si>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</si>
  <si>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</si>
  <si>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</si>
  <si>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</si>
  <si>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</si>
  <si>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</si>
  <si>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</si>
  <si>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</si>
  <si>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</si>
  <si>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</si>
  <si>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</si>
  <si>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</si>
  <si>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</si>
  <si>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</si>
  <si>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</si>
  <si>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</si>
  <si>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</si>
  <si>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</si>
  <si>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</si>
  <si>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</si>
  <si>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</si>
  <si>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</si>
  <si>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</si>
  <si>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</si>
  <si>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</si>
  <si>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</si>
  <si>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</si>
  <si>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</si>
  <si>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</si>
  <si>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</si>
  <si>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</si>
  <si>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</si>
  <si>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</si>
  <si>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</si>
  <si>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</si>
  <si>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</si>
  <si>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</si>
  <si>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</si>
  <si>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</si>
  <si>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</si>
  <si>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</si>
  <si>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</si>
  <si>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</si>
  <si>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</si>
  <si>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</si>
  <si>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</si>
  <si>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</si>
  <si>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</si>
  <si>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</si>
  <si>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</si>
  <si>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</si>
  <si>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</si>
  <si>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</si>
  <si>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</si>
  <si>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</si>
  <si>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</si>
  <si>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</si>
  <si>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</si>
  <si>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</si>
  <si>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</si>
  <si>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</si>
  <si>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</si>
  <si>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</si>
  <si>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</si>
  <si>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</si>
  <si>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</si>
  <si>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</si>
  <si>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</si>
  <si>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</si>
  <si>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</si>
  <si>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</si>
  <si>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</si>
  <si>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</si>
  <si>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</si>
  <si>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</si>
  <si>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</si>
  <si>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</si>
  <si>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</si>
  <si>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</si>
  <si>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</si>
  <si>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</si>
  <si>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</si>
  <si>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</si>
  <si>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</si>
  <si>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</si>
  <si>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</si>
  <si>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</si>
  <si>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</si>
  <si>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</si>
  <si>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</si>
  <si>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</si>
  <si>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</si>
  <si>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</si>
  <si>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</si>
  <si>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</si>
  <si>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</si>
  <si>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</si>
  <si>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</si>
  <si>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</si>
  <si>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</si>
  <si>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</si>
  <si>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</si>
  <si>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</si>
  <si>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</si>
  <si>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</si>
  <si>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</si>
  <si>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</si>
  <si>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</si>
  <si>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</si>
  <si>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</si>
  <si>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</si>
  <si>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</si>
  <si>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</si>
  <si>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</si>
  <si>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</si>
  <si>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</si>
  <si>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</si>
  <si>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</si>
  <si>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</si>
  <si>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</si>
  <si>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</si>
  <si>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</si>
  <si>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</si>
  <si>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</si>
  <si>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</si>
  <si>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</si>
  <si>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</si>
  <si>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</si>
  <si>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</si>
  <si>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</si>
  <si>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</si>
  <si>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</si>
  <si>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</si>
  <si>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</si>
  <si>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</si>
  <si>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</si>
  <si>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</si>
  <si>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</si>
  <si>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</si>
  <si>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</si>
  <si>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</si>
  <si>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</si>
  <si>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</si>
  <si>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</si>
  <si>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</si>
  <si>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</si>
  <si>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</si>
  <si>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</si>
  <si>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</si>
  <si>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</si>
  <si>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</si>
  <si>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</si>
  <si>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</si>
  <si>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</si>
  <si>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</si>
  <si>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</si>
  <si>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</si>
  <si>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</si>
  <si>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</si>
  <si>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</si>
  <si>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</si>
  <si>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</si>
  <si>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</si>
  <si>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</si>
  <si>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</si>
  <si>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</si>
  <si>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</si>
  <si>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</si>
  <si>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</si>
  <si>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</si>
  <si>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</si>
  <si>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</si>
  <si>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</si>
  <si>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</si>
  <si>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</si>
  <si>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</si>
  <si>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</si>
  <si>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</si>
  <si>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</si>
  <si>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</si>
  <si>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</si>
  <si>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</si>
  <si>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</si>
  <si>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</si>
  <si>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</si>
  <si>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</si>
  <si>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</si>
  <si>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</si>
  <si>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</si>
  <si>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</si>
  <si>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</si>
  <si>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</si>
  <si>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</si>
  <si>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</si>
  <si>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</si>
  <si>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</si>
  <si>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</si>
  <si>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</si>
  <si>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</si>
  <si>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</si>
  <si>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</si>
  <si>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</si>
  <si>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</si>
  <si>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</si>
  <si>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</si>
  <si>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</si>
  <si>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</si>
  <si>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</si>
  <si>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</si>
  <si>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</si>
  <si>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</si>
  <si>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</si>
  <si>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</si>
  <si>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</si>
  <si>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</si>
  <si>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</si>
  <si>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</si>
  <si>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</si>
  <si>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</si>
  <si>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</si>
  <si>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</si>
  <si>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</si>
  <si>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</si>
  <si>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</si>
  <si>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</si>
  <si>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</si>
  <si>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</si>
  <si>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</si>
  <si>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</si>
  <si>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</si>
  <si>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</si>
  <si>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</si>
  <si>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</si>
  <si>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</si>
  <si>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</si>
  <si>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</si>
  <si>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</si>
  <si>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</si>
  <si>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</si>
  <si>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</si>
  <si>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</si>
  <si>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</si>
  <si>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</si>
  <si>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</si>
  <si>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</si>
  <si>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</si>
  <si>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</si>
  <si>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</si>
  <si>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</si>
  <si>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</si>
  <si>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</si>
  <si>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</si>
  <si>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</si>
  <si>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</si>
  <si>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</si>
  <si>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</si>
  <si>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</si>
  <si>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</si>
  <si>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</si>
  <si>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</si>
  <si>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</si>
  <si>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</si>
  <si>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</si>
  <si>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</si>
  <si>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</si>
  <si>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</si>
  <si>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</si>
  <si>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</si>
  <si>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</si>
  <si>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</si>
  <si>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</si>
  <si>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</si>
  <si>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</si>
  <si>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</si>
  <si>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</si>
  <si>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</si>
  <si>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</si>
  <si>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</si>
  <si>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</si>
  <si>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</si>
  <si>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</si>
  <si>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</si>
  <si>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</si>
  <si>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</si>
  <si>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</si>
  <si>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</si>
  <si>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</si>
  <si>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</si>
  <si>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</si>
  <si>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</si>
  <si>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</si>
  <si>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</si>
  <si>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</si>
  <si>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</si>
  <si>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</si>
  <si>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</si>
  <si>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</si>
  <si>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</si>
  <si>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</si>
  <si>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</si>
  <si>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</si>
  <si>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</si>
  <si>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</si>
  <si>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</si>
  <si>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</si>
  <si>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</si>
  <si>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</si>
  <si>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</si>
  <si>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</si>
  <si>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</si>
  <si>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</si>
  <si>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</si>
  <si>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</si>
  <si>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</si>
  <si>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</si>
  <si>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</si>
  <si>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</si>
  <si>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</si>
  <si>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</si>
  <si>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</si>
  <si>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</si>
  <si>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</si>
  <si>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</si>
  <si>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</si>
  <si>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</si>
  <si>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</si>
  <si>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</si>
  <si>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</si>
  <si>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</si>
  <si>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</si>
  <si>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</si>
  <si>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</si>
  <si>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</si>
  <si>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</si>
  <si>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</si>
  <si>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</si>
  <si>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</si>
  <si>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</si>
  <si>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</si>
  <si>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</si>
  <si>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</si>
  <si>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</si>
  <si>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</si>
  <si>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</si>
  <si>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</si>
  <si>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</si>
  <si>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</si>
  <si>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</si>
  <si>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</si>
  <si>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</si>
  <si>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</si>
  <si>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</si>
  <si>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</si>
  <si>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</si>
  <si>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</si>
  <si>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</si>
  <si>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</si>
  <si>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</si>
  <si>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</si>
  <si>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</si>
  <si>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</si>
  <si>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</si>
  <si>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</si>
  <si>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</si>
  <si>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</si>
  <si>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</si>
  <si>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</si>
  <si>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</si>
  <si>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</si>
  <si>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</si>
  <si>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</si>
  <si>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</si>
  <si>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</si>
  <si>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</si>
  <si>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</si>
  <si>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</si>
  <si>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</si>
  <si>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</si>
  <si>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</si>
  <si>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</si>
  <si>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</si>
  <si>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核定资产</t>
  </si>
  <si>
    <t>房地产市场价值</t>
  </si>
  <si>
    <t>北京市</t>
  </si>
  <si>
    <t>企业</t>
  </si>
  <si>
    <t>工业项目</t>
  </si>
  <si>
    <t>现房</t>
  </si>
  <si>
    <t>是</t>
  </si>
  <si>
    <t>地上</t>
  </si>
  <si>
    <t>办公楼</t>
  </si>
  <si>
    <r>
      <t>3</t>
    </r>
    <r>
      <rPr>
        <sz val="10"/>
        <color indexed="8"/>
        <rFont val="宋体"/>
        <family val="3"/>
        <charset val="134"/>
      </rPr>
      <t>层</t>
    </r>
    <phoneticPr fontId="3" type="noConversion"/>
  </si>
  <si>
    <t>3层</t>
    <phoneticPr fontId="24" type="noConversion"/>
  </si>
  <si>
    <r>
      <t>4</t>
    </r>
    <r>
      <rPr>
        <sz val="10"/>
        <color indexed="8"/>
        <rFont val="宋体"/>
        <family val="3"/>
        <charset val="134"/>
      </rPr>
      <t>层</t>
    </r>
    <phoneticPr fontId="24" type="noConversion"/>
  </si>
  <si>
    <t>3层科研办公</t>
  </si>
  <si>
    <t>3层科研办公</t>
    <phoneticPr fontId="7" type="noConversion"/>
  </si>
  <si>
    <t>成新度</t>
  </si>
  <si>
    <t>单套模式</t>
  </si>
  <si>
    <t>租金</t>
  </si>
  <si>
    <t>正常</t>
  </si>
  <si>
    <t>租金内涵</t>
    <phoneticPr fontId="134" type="noConversion"/>
  </si>
  <si>
    <t>含税，不含物业费、能源费等</t>
    <phoneticPr fontId="134" type="noConversion"/>
  </si>
  <si>
    <t>挂牌</t>
  </si>
  <si>
    <t>挂牌</t>
    <phoneticPr fontId="31" type="noConversion"/>
  </si>
  <si>
    <t>教育科研设计</t>
  </si>
  <si>
    <t>教育科研设计</t>
    <phoneticPr fontId="31" type="noConversion"/>
  </si>
  <si>
    <t>高层</t>
    <phoneticPr fontId="31" type="noConversion"/>
  </si>
  <si>
    <t>中层</t>
  </si>
  <si>
    <t>低层</t>
    <phoneticPr fontId="31" type="noConversion"/>
  </si>
  <si>
    <t>办公楼</t>
    <phoneticPr fontId="31" type="noConversion"/>
  </si>
  <si>
    <t>钢混</t>
  </si>
  <si>
    <t>钢混</t>
    <phoneticPr fontId="31" type="noConversion"/>
  </si>
  <si>
    <t>精装修</t>
  </si>
  <si>
    <t>普通装修</t>
  </si>
  <si>
    <t>简单装修</t>
  </si>
  <si>
    <t>毛坯</t>
  </si>
  <si>
    <t>标准层高</t>
  </si>
  <si>
    <t>标准层高</t>
    <phoneticPr fontId="31" type="noConversion"/>
  </si>
  <si>
    <t>七通</t>
  </si>
  <si>
    <t>七通</t>
    <phoneticPr fontId="31" type="noConversion"/>
  </si>
  <si>
    <t>六通</t>
    <phoneticPr fontId="31" type="noConversion"/>
  </si>
  <si>
    <t>五通</t>
    <phoneticPr fontId="31" type="noConversion"/>
  </si>
  <si>
    <t>专业</t>
  </si>
  <si>
    <t>专业</t>
    <phoneticPr fontId="31" type="noConversion"/>
  </si>
  <si>
    <t>普通</t>
    <phoneticPr fontId="31" type="noConversion"/>
  </si>
  <si>
    <t>较好</t>
  </si>
  <si>
    <t>中关村壹号</t>
    <phoneticPr fontId="134" type="noConversion"/>
  </si>
  <si>
    <t>好</t>
  </si>
  <si>
    <t>一般</t>
  </si>
  <si>
    <t>较差</t>
  </si>
  <si>
    <t>差</t>
  </si>
  <si>
    <t>Ⅵ-永丰产业基地</t>
  </si>
  <si>
    <t>西北旺镇</t>
    <phoneticPr fontId="3" type="noConversion"/>
  </si>
  <si>
    <t>建筑面积</t>
    <phoneticPr fontId="134" type="noConversion"/>
  </si>
  <si>
    <r>
      <t>1</t>
    </r>
    <r>
      <rPr>
        <sz val="11"/>
        <color theme="1"/>
        <rFont val="宋体"/>
        <family val="3"/>
        <charset val="134"/>
        <scheme val="minor"/>
      </rPr>
      <t>70-2500平</t>
    </r>
    <phoneticPr fontId="134" type="noConversion"/>
  </si>
  <si>
    <r>
      <t>4</t>
    </r>
    <r>
      <rPr>
        <sz val="11"/>
        <color theme="1"/>
        <rFont val="宋体"/>
        <family val="3"/>
        <charset val="134"/>
        <scheme val="minor"/>
      </rPr>
      <t>.9-6</t>
    </r>
    <phoneticPr fontId="134" type="noConversion"/>
  </si>
  <si>
    <t>不含物业租金</t>
    <phoneticPr fontId="134" type="noConversion"/>
  </si>
  <si>
    <t>物业费</t>
    <phoneticPr fontId="134" type="noConversion"/>
  </si>
  <si>
    <t>33元/月/平</t>
    <phoneticPr fontId="134" type="noConversion"/>
  </si>
  <si>
    <t>3.8-4.9</t>
    <phoneticPr fontId="134" type="noConversion"/>
  </si>
  <si>
    <t>58-380平</t>
    <phoneticPr fontId="134" type="noConversion"/>
  </si>
  <si>
    <t>24元/月/平</t>
    <phoneticPr fontId="134" type="noConversion"/>
  </si>
  <si>
    <t>11.75元/月/平</t>
    <phoneticPr fontId="134" type="noConversion"/>
  </si>
  <si>
    <t>80-300平</t>
    <phoneticPr fontId="134" type="noConversion"/>
  </si>
  <si>
    <r>
      <t>2</t>
    </r>
    <r>
      <rPr>
        <sz val="11"/>
        <color theme="1"/>
        <rFont val="宋体"/>
        <family val="3"/>
        <charset val="134"/>
        <scheme val="minor"/>
      </rPr>
      <t>.8-3</t>
    </r>
    <phoneticPr fontId="134" type="noConversion"/>
  </si>
  <si>
    <r>
      <t>2</t>
    </r>
    <r>
      <rPr>
        <sz val="11"/>
        <color theme="1"/>
        <rFont val="宋体"/>
        <family val="3"/>
        <charset val="134"/>
        <scheme val="minor"/>
      </rPr>
      <t>.4-2.6</t>
    </r>
    <phoneticPr fontId="134" type="noConversion"/>
  </si>
  <si>
    <t>中关村集成电路设计园ICPARK</t>
    <phoneticPr fontId="134" type="noConversion"/>
  </si>
  <si>
    <t>302平</t>
    <phoneticPr fontId="134" type="noConversion"/>
  </si>
  <si>
    <t>朗丽兹大厦</t>
    <phoneticPr fontId="134" type="noConversion"/>
  </si>
  <si>
    <t>30元/月/平</t>
    <phoneticPr fontId="134" type="noConversion"/>
  </si>
  <si>
    <t>100-400平</t>
    <phoneticPr fontId="134" type="noConversion"/>
  </si>
  <si>
    <t>40-1000平</t>
    <phoneticPr fontId="134" type="noConversion"/>
  </si>
  <si>
    <r>
      <t>3</t>
    </r>
    <r>
      <rPr>
        <sz val="11"/>
        <color theme="1"/>
        <rFont val="宋体"/>
        <family val="3"/>
        <charset val="134"/>
        <scheme val="minor"/>
      </rPr>
      <t>.6-4</t>
    </r>
    <phoneticPr fontId="134" type="noConversion"/>
  </si>
  <si>
    <t>盛景大厦</t>
    <phoneticPr fontId="134" type="noConversion"/>
  </si>
  <si>
    <t>宋13522455672</t>
    <phoneticPr fontId="134" type="noConversion"/>
  </si>
  <si>
    <t>18元/月/平</t>
    <phoneticPr fontId="134" type="noConversion"/>
  </si>
  <si>
    <t>70-300平</t>
    <phoneticPr fontId="134" type="noConversion"/>
  </si>
  <si>
    <t>含税租金</t>
    <phoneticPr fontId="134" type="noConversion"/>
  </si>
  <si>
    <t>E_ZIKOO智慧谷（一期）</t>
    <phoneticPr fontId="134" type="noConversion"/>
  </si>
  <si>
    <t>86-460平</t>
    <phoneticPr fontId="134" type="noConversion"/>
  </si>
  <si>
    <r>
      <t>3</t>
    </r>
    <r>
      <rPr>
        <sz val="11"/>
        <color theme="1"/>
        <rFont val="宋体"/>
        <family val="3"/>
        <charset val="134"/>
        <scheme val="minor"/>
      </rPr>
      <t>.3-3.6</t>
    </r>
    <phoneticPr fontId="134" type="noConversion"/>
  </si>
  <si>
    <r>
      <t>2</t>
    </r>
    <r>
      <rPr>
        <sz val="11"/>
        <color theme="1"/>
        <rFont val="宋体"/>
        <family val="3"/>
        <charset val="134"/>
        <scheme val="minor"/>
      </rPr>
      <t>.3-2.6</t>
    </r>
    <phoneticPr fontId="134" type="noConversion"/>
  </si>
  <si>
    <r>
      <t>2</t>
    </r>
    <r>
      <rPr>
        <sz val="11"/>
        <color theme="1"/>
        <rFont val="宋体"/>
        <family val="3"/>
        <charset val="134"/>
        <scheme val="minor"/>
      </rPr>
      <t>.6-3</t>
    </r>
    <phoneticPr fontId="134" type="noConversion"/>
  </si>
  <si>
    <t>340-1000平</t>
    <phoneticPr fontId="134" type="noConversion"/>
  </si>
  <si>
    <r>
      <t>5</t>
    </r>
    <r>
      <rPr>
        <sz val="11"/>
        <color theme="1"/>
        <rFont val="宋体"/>
        <family val="3"/>
        <charset val="134"/>
        <scheme val="minor"/>
      </rPr>
      <t>-5.5</t>
    </r>
    <phoneticPr fontId="134" type="noConversion"/>
  </si>
  <si>
    <r>
      <t>4</t>
    </r>
    <r>
      <rPr>
        <sz val="11"/>
        <color theme="1"/>
        <rFont val="宋体"/>
        <family val="3"/>
        <charset val="134"/>
        <scheme val="minor"/>
      </rPr>
      <t>-4.5</t>
    </r>
    <phoneticPr fontId="134" type="noConversion"/>
  </si>
  <si>
    <t>中关村软件园互联网创新中心</t>
    <phoneticPr fontId="134" type="noConversion"/>
  </si>
  <si>
    <t>90-1001平</t>
    <phoneticPr fontId="134" type="noConversion"/>
  </si>
  <si>
    <r>
      <t>3</t>
    </r>
    <r>
      <rPr>
        <sz val="11"/>
        <color theme="1"/>
        <rFont val="宋体"/>
        <family val="3"/>
        <charset val="134"/>
        <scheme val="minor"/>
      </rPr>
      <t>.5-4</t>
    </r>
    <phoneticPr fontId="134" type="noConversion"/>
  </si>
  <si>
    <t>23.4元/月/平</t>
    <phoneticPr fontId="134" type="noConversion"/>
  </si>
  <si>
    <t>陈13811208375</t>
    <phoneticPr fontId="134" type="noConversion"/>
  </si>
  <si>
    <r>
      <t>2</t>
    </r>
    <r>
      <rPr>
        <sz val="11"/>
        <color theme="1"/>
        <rFont val="宋体"/>
        <family val="3"/>
        <charset val="134"/>
        <scheme val="minor"/>
      </rPr>
      <t>.72-3.22</t>
    </r>
    <phoneticPr fontId="134" type="noConversion"/>
  </si>
  <si>
    <t>永丰科技企业加速器三区</t>
    <phoneticPr fontId="134" type="noConversion"/>
  </si>
  <si>
    <t>新材料创业大厦</t>
    <phoneticPr fontId="134" type="noConversion"/>
  </si>
  <si>
    <t>用友产业园</t>
    <phoneticPr fontId="134" type="noConversion"/>
  </si>
  <si>
    <t>中关村壹号</t>
    <phoneticPr fontId="134" type="noConversion"/>
  </si>
  <si>
    <t>永丰科技企业加速器一区</t>
    <phoneticPr fontId="134" type="noConversion"/>
  </si>
  <si>
    <r>
      <t>整栋出租（地上5层 地下1层），</t>
    </r>
    <r>
      <rPr>
        <sz val="11"/>
        <color theme="1"/>
        <rFont val="宋体"/>
        <family val="3"/>
        <charset val="134"/>
        <scheme val="minor"/>
      </rPr>
      <t>简单装修</t>
    </r>
    <phoneticPr fontId="134" type="noConversion"/>
  </si>
  <si>
    <t>总层数26层，嘉楠捷思，在20-21层，简装交付</t>
    <phoneticPr fontId="134" type="noConversion"/>
  </si>
  <si>
    <t>中关村壹号西区——北部服务大厦</t>
    <phoneticPr fontId="3" type="noConversion"/>
  </si>
  <si>
    <t>中关村壹号</t>
    <phoneticPr fontId="3" type="noConversion"/>
  </si>
  <si>
    <t>永丰科技企业加速器一区</t>
    <phoneticPr fontId="3" type="noConversion"/>
  </si>
  <si>
    <t>整栋</t>
    <phoneticPr fontId="31" type="noConversion"/>
  </si>
  <si>
    <t>低层</t>
  </si>
  <si>
    <t>建成年代</t>
    <phoneticPr fontId="31" type="noConversion"/>
  </si>
  <si>
    <r>
      <t>2004</t>
    </r>
    <r>
      <rPr>
        <sz val="11"/>
        <color indexed="8"/>
        <rFont val="宋体"/>
        <family val="3"/>
        <charset val="134"/>
      </rPr>
      <t>竣工，</t>
    </r>
    <r>
      <rPr>
        <sz val="11"/>
        <color indexed="8"/>
        <rFont val="Arial"/>
        <family val="2"/>
      </rPr>
      <t>2024</t>
    </r>
    <r>
      <rPr>
        <sz val="11"/>
        <color indexed="8"/>
        <rFont val="宋体"/>
        <family val="3"/>
        <charset val="134"/>
      </rPr>
      <t>年完成改造</t>
    </r>
    <phoneticPr fontId="31" type="noConversion"/>
  </si>
  <si>
    <t>凯龙高科岭</t>
    <phoneticPr fontId="134" type="noConversion"/>
  </si>
  <si>
    <t>物业费（元/月·平）</t>
    <phoneticPr fontId="31" type="noConversion"/>
  </si>
  <si>
    <t>凯龙高科岭</t>
    <phoneticPr fontId="3" type="noConversion"/>
  </si>
  <si>
    <t>租赁情况表（办公+商业）2022.7月</t>
  </si>
  <si>
    <t>楼号</t>
  </si>
  <si>
    <t>单元号</t>
  </si>
  <si>
    <t>房号</t>
  </si>
  <si>
    <t>面积</t>
  </si>
  <si>
    <t>自持/销售</t>
  </si>
  <si>
    <t>备注</t>
  </si>
  <si>
    <t>租期（月）</t>
  </si>
  <si>
    <t>日租金（元/平米）</t>
  </si>
  <si>
    <t>1号楼</t>
  </si>
  <si>
    <t>101</t>
  </si>
  <si>
    <t>自持</t>
  </si>
  <si>
    <t>北京可礼客餐饮服务有限公司</t>
  </si>
  <si>
    <t>60（2019.10.10-2024.10.9）</t>
  </si>
  <si>
    <t>前两年10元，第三年10.30元，第四年10.61元，第五年10.93元，物业管理费0.87元</t>
  </si>
  <si>
    <t>102</t>
  </si>
  <si>
    <t>北京吉野家西一餐饮有限公司</t>
  </si>
  <si>
    <t>120（2019.7.1-2029.6.30）</t>
  </si>
  <si>
    <t>前两年10元，第三年10.30元，第四年10.61元，第五年10.93元，第六年11.26元，第七年11.60元，第八年11.95元，第九年12.31元，第十年12.68元，物业管理费0.87元</t>
  </si>
  <si>
    <t>103</t>
  </si>
  <si>
    <t>104</t>
  </si>
  <si>
    <t>北京巴谱绝味餐饮有限责任公司</t>
  </si>
  <si>
    <t>60（2019.1.1-2023.12.31）</t>
  </si>
  <si>
    <t>105</t>
  </si>
  <si>
    <t>201</t>
  </si>
  <si>
    <t>60（2019.03.01-2024.02.29）</t>
  </si>
  <si>
    <t>前两年5元，第三年5.15元，第四年5.30元，第五年5.46元，物业管理费0.87元</t>
  </si>
  <si>
    <t>202</t>
  </si>
  <si>
    <t>203</t>
  </si>
  <si>
    <t>204</t>
  </si>
  <si>
    <t>205</t>
  </si>
  <si>
    <t>2号楼</t>
  </si>
  <si>
    <t>1单元</t>
  </si>
  <si>
    <t>汉堡王（北京）餐饮管理有限公司</t>
  </si>
  <si>
    <t>120（2019.7.31-2029.7.30）</t>
  </si>
  <si>
    <t>第一年3.55元，第二年6.08元，第三年第四年6.57元，第五年第六年7.09元，第七年第八年7.66元，第九年第十年8.27元，第1-4年提成租金为每月营业额的8%，第5-7年提成租金为每月营业额的9%，第8-10年提成租金为每月营业额的10%，物业管理费0.87元</t>
  </si>
  <si>
    <t>106</t>
  </si>
  <si>
    <t>北京绿雅蓝湾餐饮服务有限公司</t>
  </si>
  <si>
    <t>60（2019.10.10.2024.10.9）</t>
  </si>
  <si>
    <t>107</t>
  </si>
  <si>
    <t>北京四伙餐饮管理有限公司</t>
  </si>
  <si>
    <t>60（2020.6.1-2025.5.31）</t>
  </si>
  <si>
    <t>108</t>
  </si>
  <si>
    <t>北京富闳餐饮管理有限公司</t>
  </si>
  <si>
    <t>109</t>
  </si>
  <si>
    <t>优选全球（北京）科技有限公司</t>
  </si>
  <si>
    <t>60（2019.06.20-2024.06.19）</t>
  </si>
  <si>
    <t>北京哈马尔罕餐饮管理有限公司</t>
  </si>
  <si>
    <t>120（2020.10.01-2030.09.30）</t>
  </si>
  <si>
    <t>前三年4.5元，第4-6年4.73元，第7-9年4.97元，第10年5.22元，物业管理费0.87元</t>
  </si>
  <si>
    <t>206</t>
  </si>
  <si>
    <t>207</t>
  </si>
  <si>
    <t>208</t>
  </si>
  <si>
    <t>301</t>
  </si>
  <si>
    <t>北京地平线信息技术有限公司</t>
  </si>
  <si>
    <t>60（2022.5.30-2027.5.29）</t>
  </si>
  <si>
    <t>前两年5.81元，第三年第四年6.29元，第五年6.49元，综合服务1元</t>
  </si>
  <si>
    <t>302</t>
  </si>
  <si>
    <t>303</t>
  </si>
  <si>
    <t>304</t>
  </si>
  <si>
    <t>305</t>
  </si>
  <si>
    <t>306</t>
  </si>
  <si>
    <t>307</t>
  </si>
  <si>
    <t>豪威科技（北京）股份有限公司</t>
  </si>
  <si>
    <t>60（2021.7.20-2026.7.19）</t>
  </si>
  <si>
    <t>前两年6.3元，第三年第四年6.62元，第五年6.95元，综合服务费1元</t>
  </si>
  <si>
    <t>308</t>
  </si>
  <si>
    <t>北京地平线征途智能科技有限公司</t>
  </si>
  <si>
    <t>前两年6.2元，第三年第四年6.51元，第五年6.84元，综合服务费1元</t>
  </si>
  <si>
    <t>309</t>
  </si>
  <si>
    <t>北京地平线机器人技术研发有限公司</t>
  </si>
  <si>
    <t>401</t>
  </si>
  <si>
    <t>402</t>
  </si>
  <si>
    <t>403</t>
  </si>
  <si>
    <t>404</t>
  </si>
  <si>
    <t>405</t>
  </si>
  <si>
    <t>406</t>
  </si>
  <si>
    <t>407</t>
  </si>
  <si>
    <t>408</t>
  </si>
  <si>
    <t>409</t>
  </si>
  <si>
    <t>410</t>
  </si>
  <si>
    <t>501</t>
  </si>
  <si>
    <t>502</t>
  </si>
  <si>
    <t>503</t>
  </si>
  <si>
    <t>504</t>
  </si>
  <si>
    <t>505</t>
  </si>
  <si>
    <t>506</t>
  </si>
  <si>
    <t>507</t>
  </si>
  <si>
    <t>508</t>
  </si>
  <si>
    <t>509</t>
  </si>
  <si>
    <t>510</t>
  </si>
  <si>
    <t>601</t>
  </si>
  <si>
    <t>602</t>
  </si>
  <si>
    <t>603</t>
  </si>
  <si>
    <t>604</t>
  </si>
  <si>
    <t>605</t>
  </si>
  <si>
    <t>606</t>
  </si>
  <si>
    <t>607</t>
  </si>
  <si>
    <t>608</t>
  </si>
  <si>
    <t>609</t>
  </si>
  <si>
    <t>610</t>
  </si>
  <si>
    <t>701</t>
  </si>
  <si>
    <t>702</t>
  </si>
  <si>
    <t>703</t>
  </si>
  <si>
    <t>704</t>
  </si>
  <si>
    <t>705</t>
  </si>
  <si>
    <t>706</t>
  </si>
  <si>
    <t>707</t>
  </si>
  <si>
    <t>708</t>
  </si>
  <si>
    <t>709</t>
  </si>
  <si>
    <t>710</t>
  </si>
  <si>
    <t>801</t>
  </si>
  <si>
    <t>802</t>
  </si>
  <si>
    <t>803</t>
  </si>
  <si>
    <t>804</t>
  </si>
  <si>
    <t>805</t>
  </si>
  <si>
    <t>806</t>
  </si>
  <si>
    <t>807</t>
  </si>
  <si>
    <t>808</t>
  </si>
  <si>
    <t>809</t>
  </si>
  <si>
    <t>810</t>
  </si>
  <si>
    <t>901</t>
  </si>
  <si>
    <t>902</t>
  </si>
  <si>
    <t>903</t>
  </si>
  <si>
    <t>904</t>
  </si>
  <si>
    <t>905</t>
  </si>
  <si>
    <t>906</t>
  </si>
  <si>
    <t>907</t>
  </si>
  <si>
    <t>908</t>
  </si>
  <si>
    <t>909</t>
  </si>
  <si>
    <t>910</t>
  </si>
  <si>
    <t>1001</t>
  </si>
  <si>
    <t>1002</t>
  </si>
  <si>
    <t>1003</t>
  </si>
  <si>
    <t>1004</t>
  </si>
  <si>
    <t>1005</t>
  </si>
  <si>
    <t>1006</t>
  </si>
  <si>
    <t>1007</t>
  </si>
  <si>
    <t>1008</t>
  </si>
  <si>
    <t>1009</t>
  </si>
  <si>
    <t>1010</t>
  </si>
  <si>
    <t>2单元</t>
  </si>
  <si>
    <t>北京德玉尚品商贸有限公司</t>
  </si>
  <si>
    <t>60（2018.11.1-2023.10.31）</t>
  </si>
  <si>
    <t>交通银行股份有限公司北京市分行</t>
  </si>
  <si>
    <t>120（2019.3.1-2029.2.28）</t>
  </si>
  <si>
    <t>前两年10元，后每三年租金上浮10%，物业管理费0.87元</t>
  </si>
  <si>
    <t>北京潇湘码头永丰餐饮管理有限公司</t>
  </si>
  <si>
    <t>96（2019.11.20-2027.11.19）</t>
  </si>
  <si>
    <t>第一年第二年5元，第三年45.15元，第四年5.3元，第五年5.46元，第六年5.62元，第七年5.79元，第八年5.96元，物业管理费0.87元</t>
  </si>
  <si>
    <t>潇湘码头集成（北京）餐饮管理有限公司</t>
  </si>
  <si>
    <t>96（2021.3.20-2029.3.19）</t>
  </si>
  <si>
    <t>第一年第二年4元，第三年4.2元，第四年4.41元，第五年4.63元，第六年4.86元，第七年5.1元，第八年5.36元，物业管理费0.87元</t>
  </si>
  <si>
    <t>3单元</t>
  </si>
  <si>
    <t>北京芭拉便利店有限公司</t>
  </si>
  <si>
    <t>60（2018.11.01-2023.10.31）</t>
  </si>
  <si>
    <t>北京鑫良瑞餐饮有限公司</t>
  </si>
  <si>
    <t>60（2019.04.01-2024.03.31）</t>
  </si>
  <si>
    <t>港品臻（北京）餐饮管理有限公司</t>
  </si>
  <si>
    <t>60（2019.10.20-2024.10.19）</t>
  </si>
  <si>
    <t>北京叁德友餐饮有限公司</t>
  </si>
  <si>
    <t>60（2019.12.20-2024.12.19）</t>
  </si>
  <si>
    <t>图书馆</t>
  </si>
  <si>
    <t>会议中心</t>
  </si>
  <si>
    <t>租赁2573.36</t>
  </si>
  <si>
    <t>瀚芯智能科技（北京）有限公司</t>
  </si>
  <si>
    <t>12(2022.5.10-2023.5.9)</t>
  </si>
  <si>
    <t>孵化器价格体系：
2022-2023.4.30（5.39元）
2023.5.1-2025.4.30（5.71元）
2025.5.1（6.03）
物业费全含</t>
  </si>
  <si>
    <t>北京见合八方科技发展有限公里数</t>
  </si>
  <si>
    <t>12（2022.5.1-2023.4.30）</t>
  </si>
  <si>
    <t>普迪凯科技发展（北京）有限公司</t>
  </si>
  <si>
    <t>鸿芯智能科技（北京）有限公司</t>
  </si>
  <si>
    <t>12（2022.5.10-2023.5.9）</t>
  </si>
  <si>
    <t>江西嘉捷信达新材料科技有限公司北京分公司</t>
  </si>
  <si>
    <t>北京智信易联科技有限公司</t>
  </si>
  <si>
    <t>英众世纪(北京）信息科技有限公司</t>
  </si>
  <si>
    <t>北京博天数创科技有限公司</t>
  </si>
  <si>
    <t>12（2022.6.15-2023.6.14）</t>
  </si>
  <si>
    <t>北京慧天智慧科技有限公司</t>
  </si>
  <si>
    <t>12（2022.5.15-2023.5.14）</t>
  </si>
  <si>
    <t>北京米兜科技有限公司</t>
  </si>
  <si>
    <t>深圳新声半导体科技有限公司</t>
  </si>
  <si>
    <t>12（2021.8.10-2022.8.9）</t>
  </si>
  <si>
    <t>北京冲量在线科技有限公司</t>
  </si>
  <si>
    <t>北京连心医疗科技有限公司</t>
  </si>
  <si>
    <t>12（2022.5.20-2023.5.19）</t>
  </si>
  <si>
    <t>北京思比科微电子技术股份有限公司</t>
  </si>
  <si>
    <t>60（2019.11.20-2024.11.19）</t>
  </si>
  <si>
    <t>前三年5.34元，后两年5.61元，综合服务为1元</t>
  </si>
  <si>
    <t>前三年5.44元，后两年5.71元，综合服务为1元</t>
  </si>
  <si>
    <t>前三年5.54元，后两年5.82元，综合服务为1元</t>
  </si>
  <si>
    <t>北京韦豪集成电路设计有限责任公司</t>
  </si>
  <si>
    <t>前三年5.4元，后两年5.67元，综合服务费1元</t>
  </si>
  <si>
    <t>北京至臻信远科技有限公司</t>
  </si>
  <si>
    <t>36（2020.03.20-2023.03.19）</t>
  </si>
  <si>
    <t>三年5.36，综合服务为1元</t>
  </si>
  <si>
    <t>爱集微咨询（厦门）有限公司</t>
  </si>
  <si>
    <t>36（2021.03.20-2024.03.19）</t>
  </si>
  <si>
    <t>前两年5.67元，第三年5.95元，综合服务费1元</t>
  </si>
  <si>
    <t>沐曦科技（北京）有限公司</t>
  </si>
  <si>
    <t>60（2021.3.20-2026.3.19）</t>
  </si>
  <si>
    <t>前两年5.84元，第三年第四年6.13元，第五年6.44元，综合服务费1元</t>
  </si>
  <si>
    <t>北京飞骧电子技术有限公司</t>
  </si>
  <si>
    <t>36（2021.3.20-2024.3.19）</t>
  </si>
  <si>
    <t>前两年6元，第三年6.3元，综合服务费1元</t>
  </si>
  <si>
    <t>北京最终前沿深空科技有限公司</t>
  </si>
  <si>
    <t>60（2020.12.20-2025.12.19）</t>
  </si>
  <si>
    <t>前三年5.61元，后两年5.89元，综合服务费1元</t>
  </si>
  <si>
    <t>1011</t>
  </si>
  <si>
    <t>1012</t>
  </si>
  <si>
    <t>1101</t>
  </si>
  <si>
    <t>中关村芯海择优科技有限公司</t>
  </si>
  <si>
    <t>60（2021.7.1-2026.6.30）</t>
  </si>
  <si>
    <t>前两年6.1元，第三年第四年6.41元，第五年6.73元，综合服务费1元</t>
  </si>
  <si>
    <t>1102</t>
  </si>
  <si>
    <t>1103</t>
  </si>
  <si>
    <t>1104</t>
  </si>
  <si>
    <t>1105</t>
  </si>
  <si>
    <t>1106</t>
  </si>
  <si>
    <t>1107</t>
  </si>
  <si>
    <t>1108</t>
  </si>
  <si>
    <t>1109</t>
  </si>
  <si>
    <t>1110</t>
  </si>
  <si>
    <t>1111</t>
  </si>
  <si>
    <t>1112</t>
  </si>
  <si>
    <t>1201</t>
  </si>
  <si>
    <t>北京海博思创科技股份有限公司</t>
  </si>
  <si>
    <t>60（2020.05.20-2025.05.19）</t>
  </si>
  <si>
    <t>前两年5.5元，后两年6元，最后一年6.4元综合服务费1元</t>
  </si>
  <si>
    <t>1202</t>
  </si>
  <si>
    <t>1203</t>
  </si>
  <si>
    <t>1204</t>
  </si>
  <si>
    <t>1205</t>
  </si>
  <si>
    <t>1206</t>
  </si>
  <si>
    <t>1207</t>
  </si>
  <si>
    <t>1208</t>
  </si>
  <si>
    <t>1209</t>
  </si>
  <si>
    <t>1210</t>
  </si>
  <si>
    <t>1211</t>
  </si>
  <si>
    <t>1212</t>
  </si>
  <si>
    <t>1301</t>
  </si>
  <si>
    <t>60（2020.11.01-2025.10.31）</t>
  </si>
  <si>
    <t>前三年5.81元，后两年6.10元，综合服务费1元</t>
  </si>
  <si>
    <t>1302</t>
  </si>
  <si>
    <t>1303</t>
  </si>
  <si>
    <t>1304</t>
  </si>
  <si>
    <t>1305</t>
  </si>
  <si>
    <t>1306</t>
  </si>
  <si>
    <t>1307</t>
  </si>
  <si>
    <t>1308</t>
  </si>
  <si>
    <t>1309</t>
  </si>
  <si>
    <t>1310</t>
  </si>
  <si>
    <t>1311</t>
  </si>
  <si>
    <t>1312</t>
  </si>
  <si>
    <t>4单元</t>
  </si>
  <si>
    <t>北京京海创达餐饮有限公司</t>
  </si>
  <si>
    <t>北京头壹号餐饮管理连锁有限公司</t>
  </si>
  <si>
    <t>120（2019.5.1-2029.4.30）</t>
  </si>
  <si>
    <t>和味坊餐饮服务（北京）有限公司</t>
  </si>
  <si>
    <t>60（2019.01.01-2023.12.31）</t>
  </si>
  <si>
    <t>自用</t>
  </si>
  <si>
    <t>北京欣博电子科技有限公司</t>
  </si>
  <si>
    <t>60（2019.01.1-2023.12.31）</t>
  </si>
  <si>
    <t>前三年5.4元，后两年5.67元，综合服务费1元。</t>
  </si>
  <si>
    <t>睿芯联科(北京)电子科技有限公司</t>
  </si>
  <si>
    <t>前三年5.38元，后两年5.65元，综合服务为1元</t>
  </si>
  <si>
    <t>前三年5.18元，后两年5.44元，综合服务为1元</t>
  </si>
  <si>
    <t>芯佰微电子（北京）有限公司</t>
  </si>
  <si>
    <t>60（2019.09.01-2024.08.31）</t>
  </si>
  <si>
    <t>北京致远飞航科技有限公司</t>
  </si>
  <si>
    <t>前三年5.38元，后两年5.65元，综合服务费1元。</t>
  </si>
  <si>
    <t>北京沃达利得科技有限责任公司</t>
  </si>
  <si>
    <t>前三年5.28元，后两年5.54元，综合服务费1元。</t>
  </si>
  <si>
    <t>北京时代全芯存储技术股份有限公司</t>
  </si>
  <si>
    <t>36（2021.9.1-2024.8.31）</t>
  </si>
  <si>
    <t>前两年5.56元，第三年5.84元，综合服务费1元</t>
  </si>
  <si>
    <t>北京探境科技有限公司</t>
  </si>
  <si>
    <t>60（2019.01.01-2023-12.31）</t>
  </si>
  <si>
    <t>前三年5.18元，后两年5.44元，综合服务费1元。</t>
  </si>
  <si>
    <t>北京微分航宇科技有限公司</t>
  </si>
  <si>
    <t>36（2021.3.1-2024.2.29）</t>
  </si>
  <si>
    <t>前两年5.65元，第三年5.93元，综合服务费1元</t>
  </si>
  <si>
    <t>昂森安贝电路科技（深圳）有限公司</t>
  </si>
  <si>
    <t>60（2019.06.01-2024.05.31）</t>
  </si>
  <si>
    <t>前三年5.48元，后两年5.75元，综合服务为1元</t>
  </si>
  <si>
    <t>北京流马锐驰科技有限公司</t>
  </si>
  <si>
    <t>36（2020.09.20-2023.09.19）</t>
  </si>
  <si>
    <t>三年5.48，综合服务为1元</t>
  </si>
  <si>
    <t>北京旭嘉置业有限公司</t>
  </si>
  <si>
    <t>36（2019.07.10-2022.07.09）</t>
  </si>
  <si>
    <t>三年5.48元、5.68元，综合服务为1元</t>
  </si>
  <si>
    <t>同源微（北京）半导体技术有限公司</t>
  </si>
  <si>
    <t>60（2018.10.01-2023.09.30）</t>
  </si>
  <si>
    <t>前三年5.58元，后两年5.86元，综合服务费1元。</t>
  </si>
  <si>
    <t>北京吉安金芯信息技术有限公司</t>
  </si>
  <si>
    <t>60（2020.07.20-2025.07.19）</t>
  </si>
  <si>
    <t>前三年5.38元，后两年5.65元，综合服务费1元</t>
  </si>
  <si>
    <t>60（2020.06.20-2025.06.19）</t>
  </si>
  <si>
    <t>前两年5.65元，第三年第四年5.93元，第五年6.23元，综合服务费1元</t>
  </si>
  <si>
    <t>北京成创同维知识产权代理有限公司</t>
  </si>
  <si>
    <t>60（2019.05.10-2024.05.09）</t>
  </si>
  <si>
    <t>前三年5.58元，后两年5.86元，综合服务为1元</t>
  </si>
  <si>
    <t>北京忆芯科技有限公司</t>
  </si>
  <si>
    <t>60（2018.09.01-2023.08.31）</t>
  </si>
  <si>
    <t>前三年5.58元，后两年5.86元，综合服务费1元</t>
  </si>
  <si>
    <t>西安艾可萨科技有限公司</t>
  </si>
  <si>
    <t>60（2021.9.20-2026.9.19）</t>
  </si>
  <si>
    <t>前两年5.96元，第三年第四年6.26元，第五年6.57元，综合服务费1元</t>
  </si>
  <si>
    <t>北京华云安信息技术有限公司</t>
  </si>
  <si>
    <t>60（2021.5.10-2026.5.9）</t>
  </si>
  <si>
    <t>前两年5.88元，第三年第四年6.17元，第五年6.48元，综合服务费1元</t>
  </si>
  <si>
    <t>北京华云安软件有限公司</t>
  </si>
  <si>
    <t>前两年5.8元，第三年第四年6.09元，第五年6.4元，综合服务费1元</t>
  </si>
  <si>
    <t>北京虎贲创新科技有限公司</t>
  </si>
  <si>
    <t>60（2020.3.20-2025.3.19）</t>
  </si>
  <si>
    <t>北京天澄康达商贸有限公司</t>
  </si>
  <si>
    <t>北京核芯达科技有限公司</t>
  </si>
  <si>
    <t>36（2020.05.20-2023.05.19）</t>
  </si>
  <si>
    <t>三年5.8元，综合服务为1元</t>
  </si>
  <si>
    <t>北京希格玛和芯微电子技术有限公司</t>
  </si>
  <si>
    <t>36（2021.1.10-2024.1.09）</t>
  </si>
  <si>
    <t>三年5.58，综合服务费1元</t>
  </si>
  <si>
    <t>绿芯半导体（厦门）有限公司</t>
  </si>
  <si>
    <t>绿晶半导体科技（北京）有限公司</t>
  </si>
  <si>
    <t>前三年5.74元，后两年6.03元，综合服务费1元</t>
  </si>
  <si>
    <t>36（2019.10.10-2022.10.09）</t>
  </si>
  <si>
    <t>三年5.68元，综合服务为1元</t>
  </si>
  <si>
    <t>华澜微电子（北京）有限责任公司</t>
  </si>
  <si>
    <t>前三年5.78元，后两年6.07元，综合服务为1元</t>
  </si>
  <si>
    <t>北京诚合盛环境科技有限公司</t>
  </si>
  <si>
    <t>前三年5.76元，后两年6.05元，综合服务为1元</t>
  </si>
  <si>
    <t>三年5.88元，综合服务为1元</t>
  </si>
  <si>
    <t>印象认知(北京)科技有限公司</t>
  </si>
  <si>
    <t>60（2020.08.20-2025.08.19）</t>
  </si>
  <si>
    <t>前三年5.82元，后两年6.1元，综合服务费1元</t>
  </si>
  <si>
    <t>西藏中卫诚康药业有限公司</t>
  </si>
  <si>
    <t>60（2021.8.10-2026.8.9）</t>
  </si>
  <si>
    <t>前两年6.07元，第三年第四年6.37元，第五年6.69元，综合服务费1元</t>
  </si>
  <si>
    <t>深圳市航天无线通信技术有限公司</t>
  </si>
  <si>
    <t>60（2020.11.20-2025.11.19）</t>
  </si>
  <si>
    <t>北京泛光国际科技发展有限公司</t>
  </si>
  <si>
    <t>60（2019.6.20-2024.6.19）</t>
  </si>
  <si>
    <t>前三年5.7元，后两年5.99元，综合服务费1元</t>
  </si>
  <si>
    <t>中矗集团有限公司</t>
  </si>
  <si>
    <t>60（2019.3.20-2024.3.19）</t>
  </si>
  <si>
    <t>前三年5.78元，后两年6.07元，综合服务费1元</t>
  </si>
  <si>
    <t>5单元</t>
  </si>
  <si>
    <t>北京诺研广告有限公司</t>
  </si>
  <si>
    <t>国信证券股份有限公司北京甘家口证券营业部</t>
  </si>
  <si>
    <t>60（2021.12.1-2026.11.30）</t>
  </si>
  <si>
    <t>10.66元，物业管理费0.87元</t>
  </si>
  <si>
    <t>北京鑫兴向荣科贸有限公司</t>
  </si>
  <si>
    <t>10元，物业管理费0.87元</t>
  </si>
  <si>
    <t>抱朴居茶馆（北京）有限公司</t>
  </si>
  <si>
    <t>60（2021.5.30-2026.5.29）</t>
  </si>
  <si>
    <t>前两年10元，第三年10.50元，第四年11.03元，第五年11.58元，物业管理费0.87元</t>
  </si>
  <si>
    <t>邮局</t>
  </si>
  <si>
    <t>60（2021.8.20-2026.8.19）</t>
  </si>
  <si>
    <t>前两年5.46元，第三年第四年5.73元，第五年6.02元，综合服务费1元</t>
  </si>
  <si>
    <t>6单元</t>
  </si>
  <si>
    <t>北京德信行医保全新大药房有限公司</t>
  </si>
  <si>
    <t>3号楼</t>
  </si>
  <si>
    <t>北京赤味轩餐饮有限责任公司</t>
  </si>
  <si>
    <t>北京尚剪丽人美容美发有限公司</t>
  </si>
  <si>
    <t>北京晋乡鼎泰餐饮有限公司</t>
  </si>
  <si>
    <t>北京特伦家餐饮管理有限公司</t>
  </si>
  <si>
    <t>60（2020.12.1-2025.11.30）</t>
  </si>
  <si>
    <t>北京合度口腔诊所有限公司</t>
  </si>
  <si>
    <t>北京潇湘壹号餐饮管理有限公司</t>
  </si>
  <si>
    <t>120（2019.10.10-2029.10.9）</t>
  </si>
  <si>
    <t>前三年4元，第四年第五年4.2元，第六年第七年4.41元，第八年第九年4.63元，第十年4.86元，物业管理费0.87元</t>
  </si>
  <si>
    <t>北京广利核系统工程有限公司</t>
  </si>
  <si>
    <t>36（2021.12.20-2024.12.19）</t>
  </si>
  <si>
    <t>第一年6元，第二年第三年6.3元，综合服务费1元</t>
  </si>
  <si>
    <t>310</t>
  </si>
  <si>
    <t>中层、整栋</t>
  </si>
  <si>
    <t>中层、整栋</t>
    <phoneticPr fontId="31" type="noConversion"/>
  </si>
  <si>
    <t>科研用地</t>
    <phoneticPr fontId="31" type="noConversion"/>
  </si>
  <si>
    <r>
      <t>北京百望慧眼数据科技有限公司，</t>
    </r>
    <r>
      <rPr>
        <sz val="11"/>
        <color theme="1"/>
        <rFont val="宋体"/>
        <family val="3"/>
        <charset val="134"/>
        <scheme val="minor"/>
      </rPr>
      <t>3层，简单装修</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</si>
</sst>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b/>
      <sz val="10.5"/>
      <color rgb="FF000000"/>
      <name val="宋体"/>
      <family val="3"/>
      <charset val="134"/>
    </font>
    <font>
      <sz val="11"/>
      <color rgb="FF000000"/>
      <name val="宋体"/>
      <family val="3"/>
      <charset val="134"/>
    </font>
    <font>
      <sz val="10.5"/>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76" fillId="0" borderId="1" xfId="0" applyFont="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9" fontId="50" fillId="6" borderId="38" xfId="0" applyNumberFormat="1" applyFont="1" applyFill="1" applyBorder="1" applyAlignment="1">
      <alignment vertical="center" wrapText="1"/>
    </xf>
    <xf numFmtId="179" fontId="50" fillId="6" borderId="47" xfId="0" applyNumberFormat="1" applyFont="1" applyFill="1" applyBorder="1" applyAlignment="1">
      <alignment vertical="center" wrapText="1"/>
    </xf>
    <xf numFmtId="179" fontId="60" fillId="0" borderId="1" xfId="0" applyNumberFormat="1" applyFont="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128" fillId="0" borderId="33" xfId="0" applyFont="1" applyBorder="1" applyAlignment="1" applyProtection="1">
      <alignment horizontal="center" vertical="center" wrapText="1"/>
      <protection locked="0"/>
    </xf>
    <xf numFmtId="0" fontId="120" fillId="0" borderId="1" xfId="10" applyFont="1" applyFill="1" applyBorder="1" applyAlignment="1">
      <alignment horizontal="center" vertical="center"/>
    </xf>
    <xf numFmtId="0" fontId="95" fillId="0" borderId="1" xfId="10" applyFill="1" applyBorder="1" applyAlignment="1">
      <alignment vertical="center"/>
    </xf>
    <xf numFmtId="0" fontId="95" fillId="0" borderId="0" xfId="10" applyFill="1" applyAlignment="1">
      <alignment vertical="center"/>
    </xf>
    <xf numFmtId="0" fontId="96" fillId="7" borderId="1" xfId="10" applyFont="1" applyFill="1" applyBorder="1" applyAlignment="1">
      <alignment horizontal="center" vertical="center"/>
    </xf>
    <xf numFmtId="0" fontId="272" fillId="7" borderId="1" xfId="10" applyFont="1" applyFill="1" applyBorder="1" applyAlignment="1">
      <alignment horizontal="center" vertical="top" wrapText="1"/>
    </xf>
    <xf numFmtId="0" fontId="96" fillId="0" borderId="1" xfId="10" applyFont="1" applyFill="1" applyBorder="1" applyAlignment="1">
      <alignment horizontal="center" vertical="center"/>
    </xf>
    <xf numFmtId="0" fontId="95" fillId="7" borderId="1" xfId="10" applyFill="1" applyBorder="1" applyAlignment="1">
      <alignment horizontal="center" vertical="center"/>
    </xf>
    <xf numFmtId="0" fontId="147" fillId="7" borderId="1" xfId="10" applyFont="1" applyFill="1" applyBorder="1" applyAlignment="1">
      <alignment horizontal="center" vertical="center"/>
    </xf>
    <xf numFmtId="49" fontId="36" fillId="7" borderId="1" xfId="10" applyNumberFormat="1" applyFont="1" applyFill="1" applyBorder="1" applyAlignment="1" applyProtection="1">
      <alignment horizontal="center" vertical="center" shrinkToFit="1"/>
    </xf>
    <xf numFmtId="0" fontId="36" fillId="7" borderId="1" xfId="10" applyNumberFormat="1" applyFont="1" applyFill="1" applyBorder="1" applyAlignment="1" applyProtection="1">
      <alignment horizontal="center" vertical="center" shrinkToFit="1"/>
    </xf>
    <xf numFmtId="0" fontId="273" fillId="7" borderId="1" xfId="10" applyFont="1" applyFill="1" applyBorder="1" applyAlignment="1">
      <alignment horizontal="center" vertical="center" wrapText="1"/>
    </xf>
    <xf numFmtId="0" fontId="274" fillId="7" borderId="1" xfId="10" applyFont="1" applyFill="1" applyBorder="1" applyAlignment="1">
      <alignment horizontal="center" vertical="top" wrapText="1"/>
    </xf>
    <xf numFmtId="0" fontId="274" fillId="7" borderId="1" xfId="10" applyFont="1" applyFill="1" applyBorder="1" applyAlignment="1">
      <alignment horizontal="center" vertical="center" wrapText="1"/>
    </xf>
    <xf numFmtId="49" fontId="19" fillId="7" borderId="1" xfId="10" applyNumberFormat="1" applyFont="1" applyFill="1" applyBorder="1" applyAlignment="1" applyProtection="1">
      <alignment horizontal="center" vertical="center" shrinkToFit="1"/>
    </xf>
    <xf numFmtId="0" fontId="19" fillId="7" borderId="1" xfId="10" applyNumberFormat="1" applyFont="1" applyFill="1" applyBorder="1" applyAlignment="1" applyProtection="1">
      <alignment horizontal="center" vertical="center" shrinkToFit="1"/>
    </xf>
    <xf numFmtId="0" fontId="95" fillId="7" borderId="1" xfId="10" applyFill="1" applyBorder="1" applyAlignment="1">
      <alignment vertical="center"/>
    </xf>
    <xf numFmtId="0" fontId="114" fillId="7" borderId="1" xfId="10" applyFont="1" applyFill="1" applyBorder="1" applyAlignment="1">
      <alignment horizontal="center" vertical="center" wrapText="1"/>
    </xf>
    <xf numFmtId="179" fontId="36" fillId="7" borderId="1" xfId="10" applyNumberFormat="1" applyFont="1" applyFill="1" applyBorder="1" applyAlignment="1" applyProtection="1">
      <alignment horizontal="center" vertical="center" shrinkToFit="1"/>
    </xf>
    <xf numFmtId="0" fontId="95" fillId="22" borderId="1" xfId="10" applyFill="1" applyBorder="1" applyAlignment="1">
      <alignment horizontal="center" vertical="center"/>
    </xf>
    <xf numFmtId="49" fontId="36" fillId="22" borderId="1" xfId="10" applyNumberFormat="1" applyFont="1" applyFill="1" applyBorder="1" applyAlignment="1" applyProtection="1">
      <alignment horizontal="center" vertical="center" shrinkToFit="1"/>
    </xf>
    <xf numFmtId="179" fontId="36" fillId="22" borderId="1" xfId="10" applyNumberFormat="1" applyFont="1" applyFill="1" applyBorder="1" applyAlignment="1" applyProtection="1">
      <alignment horizontal="center" vertical="center" shrinkToFit="1"/>
    </xf>
    <xf numFmtId="0" fontId="114" fillId="22" borderId="1" xfId="10" applyFont="1" applyFill="1" applyBorder="1" applyAlignment="1">
      <alignment horizontal="center" vertical="center" wrapText="1"/>
    </xf>
    <xf numFmtId="0" fontId="274" fillId="22" borderId="1" xfId="10" applyFont="1" applyFill="1" applyBorder="1" applyAlignment="1">
      <alignment horizontal="center" vertical="top" wrapText="1"/>
    </xf>
    <xf numFmtId="0" fontId="95" fillId="22" borderId="1" xfId="10" applyFill="1" applyBorder="1" applyAlignment="1">
      <alignment vertical="center"/>
    </xf>
    <xf numFmtId="0" fontId="95" fillId="7" borderId="1" xfId="10" applyFill="1" applyBorder="1" applyAlignment="1">
      <alignment horizontal="center" vertical="center" wrapText="1"/>
    </xf>
    <xf numFmtId="0" fontId="95" fillId="7" borderId="1" xfId="10" applyFill="1" applyBorder="1" applyAlignment="1">
      <alignment horizontal="center" vertical="center"/>
    </xf>
    <xf numFmtId="0" fontId="95" fillId="0" borderId="0" xfId="10">
      <alignment vertical="center"/>
    </xf>
    <xf numFmtId="0" fontId="128" fillId="0" borderId="7" xfId="0"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31.png"/><Relationship Id="rId3" Type="http://schemas.openxmlformats.org/officeDocument/2006/relationships/image" Target="../media/image8.png"/><Relationship Id="rId21" Type="http://schemas.openxmlformats.org/officeDocument/2006/relationships/image" Target="../media/image26.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9.png"/><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8.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10" Type="http://schemas.openxmlformats.org/officeDocument/2006/relationships/image" Target="../media/image41.png"/><Relationship Id="rId4" Type="http://schemas.openxmlformats.org/officeDocument/2006/relationships/image" Target="../media/image35.png"/><Relationship Id="rId9"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608496</xdr:colOff>
      <xdr:row>37</xdr:row>
      <xdr:rowOff>132584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838096" cy="6133334"/>
        </a:xfrm>
        <a:prstGeom prst="rect">
          <a:avLst/>
        </a:prstGeom>
      </xdr:spPr>
    </xdr:pic>
    <xdr:clientData/>
  </xdr:twoCellAnchor>
  <xdr:twoCellAnchor editAs="oneCell">
    <xdr:from>
      <xdr:col>0</xdr:col>
      <xdr:colOff>0</xdr:colOff>
      <xdr:row>38</xdr:row>
      <xdr:rowOff>0</xdr:rowOff>
    </xdr:from>
    <xdr:to>
      <xdr:col>14</xdr:col>
      <xdr:colOff>65467</xdr:colOff>
      <xdr:row>43</xdr:row>
      <xdr:rowOff>76083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9666667" cy="933333"/>
        </a:xfrm>
        <a:prstGeom prst="rect">
          <a:avLst/>
        </a:prstGeom>
      </xdr:spPr>
    </xdr:pic>
    <xdr:clientData/>
  </xdr:twoCellAnchor>
  <xdr:twoCellAnchor editAs="oneCell">
    <xdr:from>
      <xdr:col>0</xdr:col>
      <xdr:colOff>0</xdr:colOff>
      <xdr:row>47</xdr:row>
      <xdr:rowOff>0</xdr:rowOff>
    </xdr:from>
    <xdr:to>
      <xdr:col>14</xdr:col>
      <xdr:colOff>122610</xdr:colOff>
      <xdr:row>52</xdr:row>
      <xdr:rowOff>18941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86700"/>
          <a:ext cx="9723810" cy="8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95250</xdr:rowOff>
    </xdr:from>
    <xdr:to>
      <xdr:col>4</xdr:col>
      <xdr:colOff>751739</xdr:colOff>
      <xdr:row>51</xdr:row>
      <xdr:rowOff>84976</xdr:rowOff>
    </xdr:to>
    <xdr:pic>
      <xdr:nvPicPr>
        <xdr:cNvPr id="2" name="图片 1">
          <a:extLst>
            <a:ext uri="{FF2B5EF4-FFF2-40B4-BE49-F238E27FC236}">
              <a16:creationId xmlns:a16="http://schemas.microsoft.com/office/drawing/2014/main" xmlns="" id="{99B42F9B-3FA5-461E-450B-D5B054DADCFF}"/>
            </a:ext>
          </a:extLst>
        </xdr:cNvPr>
        <xdr:cNvPicPr>
          <a:picLocks noChangeAspect="1"/>
        </xdr:cNvPicPr>
      </xdr:nvPicPr>
      <xdr:blipFill>
        <a:blip xmlns:r="http://schemas.openxmlformats.org/officeDocument/2006/relationships" r:embed="rId1"/>
        <a:stretch>
          <a:fillRect/>
        </a:stretch>
      </xdr:blipFill>
      <xdr:spPr>
        <a:xfrm>
          <a:off x="0" y="609600"/>
          <a:ext cx="5885714" cy="5990476"/>
        </a:xfrm>
        <a:prstGeom prst="rect">
          <a:avLst/>
        </a:prstGeom>
      </xdr:spPr>
    </xdr:pic>
    <xdr:clientData/>
  </xdr:twoCellAnchor>
  <xdr:twoCellAnchor editAs="oneCell">
    <xdr:from>
      <xdr:col>5</xdr:col>
      <xdr:colOff>47625</xdr:colOff>
      <xdr:row>16</xdr:row>
      <xdr:rowOff>66675</xdr:rowOff>
    </xdr:from>
    <xdr:to>
      <xdr:col>13</xdr:col>
      <xdr:colOff>685034</xdr:colOff>
      <xdr:row>51</xdr:row>
      <xdr:rowOff>65925</xdr:rowOff>
    </xdr:to>
    <xdr:pic>
      <xdr:nvPicPr>
        <xdr:cNvPr id="3" name="图片 2">
          <a:extLst>
            <a:ext uri="{FF2B5EF4-FFF2-40B4-BE49-F238E27FC236}">
              <a16:creationId xmlns:a16="http://schemas.microsoft.com/office/drawing/2014/main" xmlns="" id="{3328363B-D1B3-9918-3BE5-A1532E9EEA95}"/>
            </a:ext>
          </a:extLst>
        </xdr:cNvPr>
        <xdr:cNvPicPr>
          <a:picLocks noChangeAspect="1"/>
        </xdr:cNvPicPr>
      </xdr:nvPicPr>
      <xdr:blipFill>
        <a:blip xmlns:r="http://schemas.openxmlformats.org/officeDocument/2006/relationships" r:embed="rId2"/>
        <a:stretch>
          <a:fillRect/>
        </a:stretch>
      </xdr:blipFill>
      <xdr:spPr>
        <a:xfrm>
          <a:off x="6276975" y="923925"/>
          <a:ext cx="6123809" cy="6000000"/>
        </a:xfrm>
        <a:prstGeom prst="rect">
          <a:avLst/>
        </a:prstGeom>
      </xdr:spPr>
    </xdr:pic>
    <xdr:clientData/>
  </xdr:twoCellAnchor>
  <xdr:twoCellAnchor editAs="oneCell">
    <xdr:from>
      <xdr:col>0</xdr:col>
      <xdr:colOff>0</xdr:colOff>
      <xdr:row>53</xdr:row>
      <xdr:rowOff>38100</xdr:rowOff>
    </xdr:from>
    <xdr:to>
      <xdr:col>5</xdr:col>
      <xdr:colOff>437318</xdr:colOff>
      <xdr:row>88</xdr:row>
      <xdr:rowOff>27826</xdr:rowOff>
    </xdr:to>
    <xdr:pic>
      <xdr:nvPicPr>
        <xdr:cNvPr id="4" name="图片 3">
          <a:extLst>
            <a:ext uri="{FF2B5EF4-FFF2-40B4-BE49-F238E27FC236}">
              <a16:creationId xmlns:a16="http://schemas.microsoft.com/office/drawing/2014/main" xmlns="" id="{CB3E6798-27EC-8919-E45B-9AA5F2A80E13}"/>
            </a:ext>
          </a:extLst>
        </xdr:cNvPr>
        <xdr:cNvPicPr>
          <a:picLocks noChangeAspect="1"/>
        </xdr:cNvPicPr>
      </xdr:nvPicPr>
      <xdr:blipFill>
        <a:blip xmlns:r="http://schemas.openxmlformats.org/officeDocument/2006/relationships" r:embed="rId3"/>
        <a:stretch>
          <a:fillRect/>
        </a:stretch>
      </xdr:blipFill>
      <xdr:spPr>
        <a:xfrm>
          <a:off x="0" y="6210300"/>
          <a:ext cx="6657143" cy="5990476"/>
        </a:xfrm>
        <a:prstGeom prst="rect">
          <a:avLst/>
        </a:prstGeom>
      </xdr:spPr>
    </xdr:pic>
    <xdr:clientData/>
  </xdr:twoCellAnchor>
  <xdr:twoCellAnchor editAs="oneCell">
    <xdr:from>
      <xdr:col>6</xdr:col>
      <xdr:colOff>38100</xdr:colOff>
      <xdr:row>53</xdr:row>
      <xdr:rowOff>28575</xdr:rowOff>
    </xdr:from>
    <xdr:to>
      <xdr:col>15</xdr:col>
      <xdr:colOff>84948</xdr:colOff>
      <xdr:row>81</xdr:row>
      <xdr:rowOff>8927</xdr:rowOff>
    </xdr:to>
    <xdr:pic>
      <xdr:nvPicPr>
        <xdr:cNvPr id="6" name="图片 5">
          <a:extLst>
            <a:ext uri="{FF2B5EF4-FFF2-40B4-BE49-F238E27FC236}">
              <a16:creationId xmlns:a16="http://schemas.microsoft.com/office/drawing/2014/main" xmlns="" id="{F50E7545-FECD-BF7F-063C-5CA6DC011066}"/>
            </a:ext>
          </a:extLst>
        </xdr:cNvPr>
        <xdr:cNvPicPr>
          <a:picLocks noChangeAspect="1"/>
        </xdr:cNvPicPr>
      </xdr:nvPicPr>
      <xdr:blipFill>
        <a:blip xmlns:r="http://schemas.openxmlformats.org/officeDocument/2006/relationships" r:embed="rId4"/>
        <a:stretch>
          <a:fillRect/>
        </a:stretch>
      </xdr:blipFill>
      <xdr:spPr>
        <a:xfrm>
          <a:off x="6953250" y="7229475"/>
          <a:ext cx="6219048" cy="4780952"/>
        </a:xfrm>
        <a:prstGeom prst="rect">
          <a:avLst/>
        </a:prstGeom>
      </xdr:spPr>
    </xdr:pic>
    <xdr:clientData/>
  </xdr:twoCellAnchor>
  <xdr:twoCellAnchor editAs="oneCell">
    <xdr:from>
      <xdr:col>5</xdr:col>
      <xdr:colOff>619125</xdr:colOff>
      <xdr:row>84</xdr:row>
      <xdr:rowOff>142875</xdr:rowOff>
    </xdr:from>
    <xdr:to>
      <xdr:col>14</xdr:col>
      <xdr:colOff>494544</xdr:colOff>
      <xdr:row>119</xdr:row>
      <xdr:rowOff>37363</xdr:rowOff>
    </xdr:to>
    <xdr:pic>
      <xdr:nvPicPr>
        <xdr:cNvPr id="7" name="图片 6">
          <a:extLst>
            <a:ext uri="{FF2B5EF4-FFF2-40B4-BE49-F238E27FC236}">
              <a16:creationId xmlns:a16="http://schemas.microsoft.com/office/drawing/2014/main" xmlns="" id="{5D35919C-ACCA-D881-EEFA-C6953151BF88}"/>
            </a:ext>
          </a:extLst>
        </xdr:cNvPr>
        <xdr:cNvPicPr>
          <a:picLocks noChangeAspect="1"/>
        </xdr:cNvPicPr>
      </xdr:nvPicPr>
      <xdr:blipFill>
        <a:blip xmlns:r="http://schemas.openxmlformats.org/officeDocument/2006/relationships" r:embed="rId5"/>
        <a:stretch>
          <a:fillRect/>
        </a:stretch>
      </xdr:blipFill>
      <xdr:spPr>
        <a:xfrm>
          <a:off x="6848475" y="12658725"/>
          <a:ext cx="6047619" cy="5895238"/>
        </a:xfrm>
        <a:prstGeom prst="rect">
          <a:avLst/>
        </a:prstGeom>
      </xdr:spPr>
    </xdr:pic>
    <xdr:clientData/>
  </xdr:twoCellAnchor>
  <xdr:twoCellAnchor editAs="oneCell">
    <xdr:from>
      <xdr:col>0</xdr:col>
      <xdr:colOff>0</xdr:colOff>
      <xdr:row>90</xdr:row>
      <xdr:rowOff>0</xdr:rowOff>
    </xdr:from>
    <xdr:to>
      <xdr:col>4</xdr:col>
      <xdr:colOff>856501</xdr:colOff>
      <xdr:row>118</xdr:row>
      <xdr:rowOff>85114</xdr:rowOff>
    </xdr:to>
    <xdr:pic>
      <xdr:nvPicPr>
        <xdr:cNvPr id="8" name="图片 7">
          <a:extLst>
            <a:ext uri="{FF2B5EF4-FFF2-40B4-BE49-F238E27FC236}">
              <a16:creationId xmlns:a16="http://schemas.microsoft.com/office/drawing/2014/main" xmlns="" id="{E8978D54-810D-5D93-5B3A-8901632A1DED}"/>
            </a:ext>
          </a:extLst>
        </xdr:cNvPr>
        <xdr:cNvPicPr>
          <a:picLocks noChangeAspect="1"/>
        </xdr:cNvPicPr>
      </xdr:nvPicPr>
      <xdr:blipFill>
        <a:blip xmlns:r="http://schemas.openxmlformats.org/officeDocument/2006/relationships" r:embed="rId6"/>
        <a:stretch>
          <a:fillRect/>
        </a:stretch>
      </xdr:blipFill>
      <xdr:spPr>
        <a:xfrm>
          <a:off x="0" y="12515850"/>
          <a:ext cx="5990476" cy="4885714"/>
        </a:xfrm>
        <a:prstGeom prst="rect">
          <a:avLst/>
        </a:prstGeom>
      </xdr:spPr>
    </xdr:pic>
    <xdr:clientData/>
  </xdr:twoCellAnchor>
  <xdr:twoCellAnchor editAs="oneCell">
    <xdr:from>
      <xdr:col>0</xdr:col>
      <xdr:colOff>0</xdr:colOff>
      <xdr:row>120</xdr:row>
      <xdr:rowOff>0</xdr:rowOff>
    </xdr:from>
    <xdr:to>
      <xdr:col>4</xdr:col>
      <xdr:colOff>932692</xdr:colOff>
      <xdr:row>154</xdr:row>
      <xdr:rowOff>94509</xdr:rowOff>
    </xdr:to>
    <xdr:pic>
      <xdr:nvPicPr>
        <xdr:cNvPr id="9" name="图片 8">
          <a:extLst>
            <a:ext uri="{FF2B5EF4-FFF2-40B4-BE49-F238E27FC236}">
              <a16:creationId xmlns:a16="http://schemas.microsoft.com/office/drawing/2014/main" xmlns="" id="{56476DA6-BDD1-0666-80BA-DF6ABBC0DE0D}"/>
            </a:ext>
          </a:extLst>
        </xdr:cNvPr>
        <xdr:cNvPicPr>
          <a:picLocks noChangeAspect="1"/>
        </xdr:cNvPicPr>
      </xdr:nvPicPr>
      <xdr:blipFill>
        <a:blip xmlns:r="http://schemas.openxmlformats.org/officeDocument/2006/relationships" r:embed="rId7"/>
        <a:stretch>
          <a:fillRect/>
        </a:stretch>
      </xdr:blipFill>
      <xdr:spPr>
        <a:xfrm>
          <a:off x="0" y="18688050"/>
          <a:ext cx="6066667" cy="5923809"/>
        </a:xfrm>
        <a:prstGeom prst="rect">
          <a:avLst/>
        </a:prstGeom>
      </xdr:spPr>
    </xdr:pic>
    <xdr:clientData/>
  </xdr:twoCellAnchor>
  <xdr:twoCellAnchor editAs="oneCell">
    <xdr:from>
      <xdr:col>0</xdr:col>
      <xdr:colOff>0</xdr:colOff>
      <xdr:row>156</xdr:row>
      <xdr:rowOff>0</xdr:rowOff>
    </xdr:from>
    <xdr:to>
      <xdr:col>5</xdr:col>
      <xdr:colOff>65889</xdr:colOff>
      <xdr:row>190</xdr:row>
      <xdr:rowOff>65938</xdr:rowOff>
    </xdr:to>
    <xdr:pic>
      <xdr:nvPicPr>
        <xdr:cNvPr id="10" name="图片 9">
          <a:extLst>
            <a:ext uri="{FF2B5EF4-FFF2-40B4-BE49-F238E27FC236}">
              <a16:creationId xmlns:a16="http://schemas.microsoft.com/office/drawing/2014/main" xmlns="" id="{5140367B-8E4B-1506-F3CB-4C593C105DFB}"/>
            </a:ext>
          </a:extLst>
        </xdr:cNvPr>
        <xdr:cNvPicPr>
          <a:picLocks noChangeAspect="1"/>
        </xdr:cNvPicPr>
      </xdr:nvPicPr>
      <xdr:blipFill>
        <a:blip xmlns:r="http://schemas.openxmlformats.org/officeDocument/2006/relationships" r:embed="rId8"/>
        <a:stretch>
          <a:fillRect/>
        </a:stretch>
      </xdr:blipFill>
      <xdr:spPr>
        <a:xfrm>
          <a:off x="0" y="26746200"/>
          <a:ext cx="6285714" cy="5895238"/>
        </a:xfrm>
        <a:prstGeom prst="rect">
          <a:avLst/>
        </a:prstGeom>
      </xdr:spPr>
    </xdr:pic>
    <xdr:clientData/>
  </xdr:twoCellAnchor>
  <xdr:twoCellAnchor editAs="oneCell">
    <xdr:from>
      <xdr:col>5</xdr:col>
      <xdr:colOff>0</xdr:colOff>
      <xdr:row>156</xdr:row>
      <xdr:rowOff>0</xdr:rowOff>
    </xdr:from>
    <xdr:to>
      <xdr:col>13</xdr:col>
      <xdr:colOff>656457</xdr:colOff>
      <xdr:row>190</xdr:row>
      <xdr:rowOff>75462</xdr:rowOff>
    </xdr:to>
    <xdr:pic>
      <xdr:nvPicPr>
        <xdr:cNvPr id="11" name="图片 10">
          <a:extLst>
            <a:ext uri="{FF2B5EF4-FFF2-40B4-BE49-F238E27FC236}">
              <a16:creationId xmlns:a16="http://schemas.microsoft.com/office/drawing/2014/main" xmlns="" id="{B3DF8D49-31BC-948C-ED3E-1E7F5723094A}"/>
            </a:ext>
          </a:extLst>
        </xdr:cNvPr>
        <xdr:cNvPicPr>
          <a:picLocks noChangeAspect="1"/>
        </xdr:cNvPicPr>
      </xdr:nvPicPr>
      <xdr:blipFill>
        <a:blip xmlns:r="http://schemas.openxmlformats.org/officeDocument/2006/relationships" r:embed="rId9"/>
        <a:stretch>
          <a:fillRect/>
        </a:stretch>
      </xdr:blipFill>
      <xdr:spPr>
        <a:xfrm>
          <a:off x="6219825" y="26746200"/>
          <a:ext cx="6142857" cy="5904762"/>
        </a:xfrm>
        <a:prstGeom prst="rect">
          <a:avLst/>
        </a:prstGeom>
      </xdr:spPr>
    </xdr:pic>
    <xdr:clientData/>
  </xdr:twoCellAnchor>
  <xdr:twoCellAnchor editAs="oneCell">
    <xdr:from>
      <xdr:col>0</xdr:col>
      <xdr:colOff>0</xdr:colOff>
      <xdr:row>191</xdr:row>
      <xdr:rowOff>0</xdr:rowOff>
    </xdr:from>
    <xdr:to>
      <xdr:col>4</xdr:col>
      <xdr:colOff>951739</xdr:colOff>
      <xdr:row>226</xdr:row>
      <xdr:rowOff>8774</xdr:rowOff>
    </xdr:to>
    <xdr:pic>
      <xdr:nvPicPr>
        <xdr:cNvPr id="12" name="图片 11">
          <a:extLst>
            <a:ext uri="{FF2B5EF4-FFF2-40B4-BE49-F238E27FC236}">
              <a16:creationId xmlns:a16="http://schemas.microsoft.com/office/drawing/2014/main" xmlns="" id="{3D088938-5DFD-CB34-A794-3138AB6FD942}"/>
            </a:ext>
          </a:extLst>
        </xdr:cNvPr>
        <xdr:cNvPicPr>
          <a:picLocks noChangeAspect="1"/>
        </xdr:cNvPicPr>
      </xdr:nvPicPr>
      <xdr:blipFill>
        <a:blip xmlns:r="http://schemas.openxmlformats.org/officeDocument/2006/relationships" r:embed="rId10"/>
        <a:stretch>
          <a:fillRect/>
        </a:stretch>
      </xdr:blipFill>
      <xdr:spPr>
        <a:xfrm>
          <a:off x="0" y="32746950"/>
          <a:ext cx="6085714" cy="6009524"/>
        </a:xfrm>
        <a:prstGeom prst="rect">
          <a:avLst/>
        </a:prstGeom>
      </xdr:spPr>
    </xdr:pic>
    <xdr:clientData/>
  </xdr:twoCellAnchor>
  <xdr:twoCellAnchor editAs="oneCell">
    <xdr:from>
      <xdr:col>5</xdr:col>
      <xdr:colOff>0</xdr:colOff>
      <xdr:row>191</xdr:row>
      <xdr:rowOff>0</xdr:rowOff>
    </xdr:from>
    <xdr:to>
      <xdr:col>13</xdr:col>
      <xdr:colOff>446933</xdr:colOff>
      <xdr:row>225</xdr:row>
      <xdr:rowOff>84986</xdr:rowOff>
    </xdr:to>
    <xdr:pic>
      <xdr:nvPicPr>
        <xdr:cNvPr id="13" name="图片 12">
          <a:extLst>
            <a:ext uri="{FF2B5EF4-FFF2-40B4-BE49-F238E27FC236}">
              <a16:creationId xmlns:a16="http://schemas.microsoft.com/office/drawing/2014/main" xmlns="" id="{7D4E4025-B686-5073-166B-F794C5F76A83}"/>
            </a:ext>
          </a:extLst>
        </xdr:cNvPr>
        <xdr:cNvPicPr>
          <a:picLocks noChangeAspect="1"/>
        </xdr:cNvPicPr>
      </xdr:nvPicPr>
      <xdr:blipFill>
        <a:blip xmlns:r="http://schemas.openxmlformats.org/officeDocument/2006/relationships" r:embed="rId11"/>
        <a:stretch>
          <a:fillRect/>
        </a:stretch>
      </xdr:blipFill>
      <xdr:spPr>
        <a:xfrm>
          <a:off x="6219825" y="32746950"/>
          <a:ext cx="5933333" cy="5914286"/>
        </a:xfrm>
        <a:prstGeom prst="rect">
          <a:avLst/>
        </a:prstGeom>
      </xdr:spPr>
    </xdr:pic>
    <xdr:clientData/>
  </xdr:twoCellAnchor>
  <xdr:twoCellAnchor editAs="oneCell">
    <xdr:from>
      <xdr:col>5</xdr:col>
      <xdr:colOff>485774</xdr:colOff>
      <xdr:row>120</xdr:row>
      <xdr:rowOff>105999</xdr:rowOff>
    </xdr:from>
    <xdr:to>
      <xdr:col>16</xdr:col>
      <xdr:colOff>208411</xdr:colOff>
      <xdr:row>137</xdr:row>
      <xdr:rowOff>132888</xdr:rowOff>
    </xdr:to>
    <xdr:pic>
      <xdr:nvPicPr>
        <xdr:cNvPr id="14" name="图片 13">
          <a:extLst>
            <a:ext uri="{FF2B5EF4-FFF2-40B4-BE49-F238E27FC236}">
              <a16:creationId xmlns:a16="http://schemas.microsoft.com/office/drawing/2014/main" xmlns="" id="{E8E911CB-D8B7-C180-01B2-E7124930F219}"/>
            </a:ext>
          </a:extLst>
        </xdr:cNvPr>
        <xdr:cNvPicPr>
          <a:picLocks noChangeAspect="1"/>
        </xdr:cNvPicPr>
      </xdr:nvPicPr>
      <xdr:blipFill>
        <a:blip xmlns:r="http://schemas.openxmlformats.org/officeDocument/2006/relationships" r:embed="rId12"/>
        <a:stretch>
          <a:fillRect/>
        </a:stretch>
      </xdr:blipFill>
      <xdr:spPr>
        <a:xfrm>
          <a:off x="6705599" y="20679999"/>
          <a:ext cx="7266437" cy="2941539"/>
        </a:xfrm>
        <a:prstGeom prst="rect">
          <a:avLst/>
        </a:prstGeom>
      </xdr:spPr>
    </xdr:pic>
    <xdr:clientData/>
  </xdr:twoCellAnchor>
  <xdr:twoCellAnchor editAs="oneCell">
    <xdr:from>
      <xdr:col>0</xdr:col>
      <xdr:colOff>0</xdr:colOff>
      <xdr:row>228</xdr:row>
      <xdr:rowOff>0</xdr:rowOff>
    </xdr:from>
    <xdr:to>
      <xdr:col>4</xdr:col>
      <xdr:colOff>970787</xdr:colOff>
      <xdr:row>262</xdr:row>
      <xdr:rowOff>84986</xdr:rowOff>
    </xdr:to>
    <xdr:pic>
      <xdr:nvPicPr>
        <xdr:cNvPr id="15" name="图片 14">
          <a:extLst>
            <a:ext uri="{FF2B5EF4-FFF2-40B4-BE49-F238E27FC236}">
              <a16:creationId xmlns:a16="http://schemas.microsoft.com/office/drawing/2014/main" xmlns="" id="{E8B45EF3-EC39-FE32-562F-9020D6B016C0}"/>
            </a:ext>
          </a:extLst>
        </xdr:cNvPr>
        <xdr:cNvPicPr>
          <a:picLocks noChangeAspect="1"/>
        </xdr:cNvPicPr>
      </xdr:nvPicPr>
      <xdr:blipFill>
        <a:blip xmlns:r="http://schemas.openxmlformats.org/officeDocument/2006/relationships" r:embed="rId13"/>
        <a:stretch>
          <a:fillRect/>
        </a:stretch>
      </xdr:blipFill>
      <xdr:spPr>
        <a:xfrm>
          <a:off x="0" y="39090600"/>
          <a:ext cx="6104762" cy="5914286"/>
        </a:xfrm>
        <a:prstGeom prst="rect">
          <a:avLst/>
        </a:prstGeom>
      </xdr:spPr>
    </xdr:pic>
    <xdr:clientData/>
  </xdr:twoCellAnchor>
  <xdr:twoCellAnchor editAs="oneCell">
    <xdr:from>
      <xdr:col>5</xdr:col>
      <xdr:colOff>0</xdr:colOff>
      <xdr:row>228</xdr:row>
      <xdr:rowOff>0</xdr:rowOff>
    </xdr:from>
    <xdr:to>
      <xdr:col>9</xdr:col>
      <xdr:colOff>113943</xdr:colOff>
      <xdr:row>234</xdr:row>
      <xdr:rowOff>85586</xdr:rowOff>
    </xdr:to>
    <xdr:pic>
      <xdr:nvPicPr>
        <xdr:cNvPr id="16" name="图片 15">
          <a:extLst>
            <a:ext uri="{FF2B5EF4-FFF2-40B4-BE49-F238E27FC236}">
              <a16:creationId xmlns:a16="http://schemas.microsoft.com/office/drawing/2014/main" xmlns="" id="{3578823E-64CC-004E-101C-0C1DC6DC03F8}"/>
            </a:ext>
          </a:extLst>
        </xdr:cNvPr>
        <xdr:cNvPicPr>
          <a:picLocks noChangeAspect="1"/>
        </xdr:cNvPicPr>
      </xdr:nvPicPr>
      <xdr:blipFill>
        <a:blip xmlns:r="http://schemas.openxmlformats.org/officeDocument/2006/relationships" r:embed="rId14"/>
        <a:stretch>
          <a:fillRect/>
        </a:stretch>
      </xdr:blipFill>
      <xdr:spPr>
        <a:xfrm>
          <a:off x="6219825" y="39090600"/>
          <a:ext cx="2857143" cy="1114286"/>
        </a:xfrm>
        <a:prstGeom prst="rect">
          <a:avLst/>
        </a:prstGeom>
      </xdr:spPr>
    </xdr:pic>
    <xdr:clientData/>
  </xdr:twoCellAnchor>
  <xdr:twoCellAnchor editAs="oneCell">
    <xdr:from>
      <xdr:col>5</xdr:col>
      <xdr:colOff>0</xdr:colOff>
      <xdr:row>235</xdr:row>
      <xdr:rowOff>0</xdr:rowOff>
    </xdr:from>
    <xdr:to>
      <xdr:col>9</xdr:col>
      <xdr:colOff>371086</xdr:colOff>
      <xdr:row>244</xdr:row>
      <xdr:rowOff>18855</xdr:rowOff>
    </xdr:to>
    <xdr:pic>
      <xdr:nvPicPr>
        <xdr:cNvPr id="17" name="图片 16">
          <a:extLst>
            <a:ext uri="{FF2B5EF4-FFF2-40B4-BE49-F238E27FC236}">
              <a16:creationId xmlns:a16="http://schemas.microsoft.com/office/drawing/2014/main" xmlns="" id="{5AABE4F5-FB97-315E-C4CC-74622354B8FE}"/>
            </a:ext>
          </a:extLst>
        </xdr:cNvPr>
        <xdr:cNvPicPr>
          <a:picLocks noChangeAspect="1"/>
        </xdr:cNvPicPr>
      </xdr:nvPicPr>
      <xdr:blipFill>
        <a:blip xmlns:r="http://schemas.openxmlformats.org/officeDocument/2006/relationships" r:embed="rId15"/>
        <a:stretch>
          <a:fillRect/>
        </a:stretch>
      </xdr:blipFill>
      <xdr:spPr>
        <a:xfrm>
          <a:off x="6219825" y="40290750"/>
          <a:ext cx="3114286" cy="1561905"/>
        </a:xfrm>
        <a:prstGeom prst="rect">
          <a:avLst/>
        </a:prstGeom>
      </xdr:spPr>
    </xdr:pic>
    <xdr:clientData/>
  </xdr:twoCellAnchor>
  <xdr:twoCellAnchor editAs="oneCell">
    <xdr:from>
      <xdr:col>5</xdr:col>
      <xdr:colOff>0</xdr:colOff>
      <xdr:row>245</xdr:row>
      <xdr:rowOff>0</xdr:rowOff>
    </xdr:from>
    <xdr:to>
      <xdr:col>9</xdr:col>
      <xdr:colOff>266324</xdr:colOff>
      <xdr:row>253</xdr:row>
      <xdr:rowOff>76019</xdr:rowOff>
    </xdr:to>
    <xdr:pic>
      <xdr:nvPicPr>
        <xdr:cNvPr id="18" name="图片 17">
          <a:extLst>
            <a:ext uri="{FF2B5EF4-FFF2-40B4-BE49-F238E27FC236}">
              <a16:creationId xmlns:a16="http://schemas.microsoft.com/office/drawing/2014/main" xmlns="" id="{25187144-BFBB-8C1B-136C-34B64DEF6FA8}"/>
            </a:ext>
          </a:extLst>
        </xdr:cNvPr>
        <xdr:cNvPicPr>
          <a:picLocks noChangeAspect="1"/>
        </xdr:cNvPicPr>
      </xdr:nvPicPr>
      <xdr:blipFill>
        <a:blip xmlns:r="http://schemas.openxmlformats.org/officeDocument/2006/relationships" r:embed="rId16"/>
        <a:stretch>
          <a:fillRect/>
        </a:stretch>
      </xdr:blipFill>
      <xdr:spPr>
        <a:xfrm>
          <a:off x="6219825" y="42005250"/>
          <a:ext cx="3009524" cy="1447619"/>
        </a:xfrm>
        <a:prstGeom prst="rect">
          <a:avLst/>
        </a:prstGeom>
      </xdr:spPr>
    </xdr:pic>
    <xdr:clientData/>
  </xdr:twoCellAnchor>
  <xdr:twoCellAnchor editAs="oneCell">
    <xdr:from>
      <xdr:col>0</xdr:col>
      <xdr:colOff>0</xdr:colOff>
      <xdr:row>264</xdr:row>
      <xdr:rowOff>0</xdr:rowOff>
    </xdr:from>
    <xdr:to>
      <xdr:col>4</xdr:col>
      <xdr:colOff>875549</xdr:colOff>
      <xdr:row>298</xdr:row>
      <xdr:rowOff>170700</xdr:rowOff>
    </xdr:to>
    <xdr:pic>
      <xdr:nvPicPr>
        <xdr:cNvPr id="19" name="图片 18">
          <a:extLst>
            <a:ext uri="{FF2B5EF4-FFF2-40B4-BE49-F238E27FC236}">
              <a16:creationId xmlns:a16="http://schemas.microsoft.com/office/drawing/2014/main" xmlns="" id="{07559214-F5EE-CB1B-E23D-73D509F2B8D9}"/>
            </a:ext>
          </a:extLst>
        </xdr:cNvPr>
        <xdr:cNvPicPr>
          <a:picLocks noChangeAspect="1"/>
        </xdr:cNvPicPr>
      </xdr:nvPicPr>
      <xdr:blipFill>
        <a:blip xmlns:r="http://schemas.openxmlformats.org/officeDocument/2006/relationships" r:embed="rId17"/>
        <a:stretch>
          <a:fillRect/>
        </a:stretch>
      </xdr:blipFill>
      <xdr:spPr>
        <a:xfrm>
          <a:off x="0" y="45262800"/>
          <a:ext cx="6009524" cy="6000000"/>
        </a:xfrm>
        <a:prstGeom prst="rect">
          <a:avLst/>
        </a:prstGeom>
      </xdr:spPr>
    </xdr:pic>
    <xdr:clientData/>
  </xdr:twoCellAnchor>
  <xdr:twoCellAnchor editAs="oneCell">
    <xdr:from>
      <xdr:col>5</xdr:col>
      <xdr:colOff>0</xdr:colOff>
      <xdr:row>264</xdr:row>
      <xdr:rowOff>0</xdr:rowOff>
    </xdr:from>
    <xdr:to>
      <xdr:col>14</xdr:col>
      <xdr:colOff>65895</xdr:colOff>
      <xdr:row>298</xdr:row>
      <xdr:rowOff>56414</xdr:rowOff>
    </xdr:to>
    <xdr:pic>
      <xdr:nvPicPr>
        <xdr:cNvPr id="20" name="图片 19">
          <a:extLst>
            <a:ext uri="{FF2B5EF4-FFF2-40B4-BE49-F238E27FC236}">
              <a16:creationId xmlns:a16="http://schemas.microsoft.com/office/drawing/2014/main" xmlns="" id="{2E11200B-013F-0133-1058-EF1D4C86B7DB}"/>
            </a:ext>
          </a:extLst>
        </xdr:cNvPr>
        <xdr:cNvPicPr>
          <a:picLocks noChangeAspect="1"/>
        </xdr:cNvPicPr>
      </xdr:nvPicPr>
      <xdr:blipFill>
        <a:blip xmlns:r="http://schemas.openxmlformats.org/officeDocument/2006/relationships" r:embed="rId18"/>
        <a:stretch>
          <a:fillRect/>
        </a:stretch>
      </xdr:blipFill>
      <xdr:spPr>
        <a:xfrm>
          <a:off x="6219825" y="45262800"/>
          <a:ext cx="6238095" cy="5885714"/>
        </a:xfrm>
        <a:prstGeom prst="rect">
          <a:avLst/>
        </a:prstGeom>
      </xdr:spPr>
    </xdr:pic>
    <xdr:clientData/>
  </xdr:twoCellAnchor>
  <xdr:twoCellAnchor editAs="oneCell">
    <xdr:from>
      <xdr:col>0</xdr:col>
      <xdr:colOff>0</xdr:colOff>
      <xdr:row>300</xdr:row>
      <xdr:rowOff>0</xdr:rowOff>
    </xdr:from>
    <xdr:to>
      <xdr:col>4</xdr:col>
      <xdr:colOff>932692</xdr:colOff>
      <xdr:row>334</xdr:row>
      <xdr:rowOff>56414</xdr:rowOff>
    </xdr:to>
    <xdr:pic>
      <xdr:nvPicPr>
        <xdr:cNvPr id="21" name="图片 20">
          <a:extLst>
            <a:ext uri="{FF2B5EF4-FFF2-40B4-BE49-F238E27FC236}">
              <a16:creationId xmlns:a16="http://schemas.microsoft.com/office/drawing/2014/main" xmlns="" id="{9F456043-004C-C608-6CF1-0C67DF9175ED}"/>
            </a:ext>
          </a:extLst>
        </xdr:cNvPr>
        <xdr:cNvPicPr>
          <a:picLocks noChangeAspect="1"/>
        </xdr:cNvPicPr>
      </xdr:nvPicPr>
      <xdr:blipFill>
        <a:blip xmlns:r="http://schemas.openxmlformats.org/officeDocument/2006/relationships" r:embed="rId19"/>
        <a:stretch>
          <a:fillRect/>
        </a:stretch>
      </xdr:blipFill>
      <xdr:spPr>
        <a:xfrm>
          <a:off x="0" y="51435000"/>
          <a:ext cx="6066667" cy="5885714"/>
        </a:xfrm>
        <a:prstGeom prst="rect">
          <a:avLst/>
        </a:prstGeom>
      </xdr:spPr>
    </xdr:pic>
    <xdr:clientData/>
  </xdr:twoCellAnchor>
  <xdr:twoCellAnchor editAs="oneCell">
    <xdr:from>
      <xdr:col>0</xdr:col>
      <xdr:colOff>0</xdr:colOff>
      <xdr:row>334</xdr:row>
      <xdr:rowOff>123825</xdr:rowOff>
    </xdr:from>
    <xdr:to>
      <xdr:col>5</xdr:col>
      <xdr:colOff>56365</xdr:colOff>
      <xdr:row>356</xdr:row>
      <xdr:rowOff>132877</xdr:rowOff>
    </xdr:to>
    <xdr:pic>
      <xdr:nvPicPr>
        <xdr:cNvPr id="22" name="图片 21">
          <a:extLst>
            <a:ext uri="{FF2B5EF4-FFF2-40B4-BE49-F238E27FC236}">
              <a16:creationId xmlns:a16="http://schemas.microsoft.com/office/drawing/2014/main" xmlns="" id="{394288AF-A0F6-F4B9-D36C-C0D6B91AA102}"/>
            </a:ext>
          </a:extLst>
        </xdr:cNvPr>
        <xdr:cNvPicPr>
          <a:picLocks noChangeAspect="1"/>
        </xdr:cNvPicPr>
      </xdr:nvPicPr>
      <xdr:blipFill>
        <a:blip xmlns:r="http://schemas.openxmlformats.org/officeDocument/2006/relationships" r:embed="rId20"/>
        <a:stretch>
          <a:fillRect/>
        </a:stretch>
      </xdr:blipFill>
      <xdr:spPr>
        <a:xfrm>
          <a:off x="0" y="57388125"/>
          <a:ext cx="6276190" cy="3780952"/>
        </a:xfrm>
        <a:prstGeom prst="rect">
          <a:avLst/>
        </a:prstGeom>
      </xdr:spPr>
    </xdr:pic>
    <xdr:clientData/>
  </xdr:twoCellAnchor>
  <xdr:twoCellAnchor editAs="oneCell">
    <xdr:from>
      <xdr:col>5</xdr:col>
      <xdr:colOff>66675</xdr:colOff>
      <xdr:row>300</xdr:row>
      <xdr:rowOff>76200</xdr:rowOff>
    </xdr:from>
    <xdr:to>
      <xdr:col>14</xdr:col>
      <xdr:colOff>65904</xdr:colOff>
      <xdr:row>334</xdr:row>
      <xdr:rowOff>142138</xdr:rowOff>
    </xdr:to>
    <xdr:pic>
      <xdr:nvPicPr>
        <xdr:cNvPr id="23" name="图片 22">
          <a:extLst>
            <a:ext uri="{FF2B5EF4-FFF2-40B4-BE49-F238E27FC236}">
              <a16:creationId xmlns:a16="http://schemas.microsoft.com/office/drawing/2014/main" xmlns="" id="{4721B041-1FCE-9EF9-DE60-EC616E082A5C}"/>
            </a:ext>
          </a:extLst>
        </xdr:cNvPr>
        <xdr:cNvPicPr>
          <a:picLocks noChangeAspect="1"/>
        </xdr:cNvPicPr>
      </xdr:nvPicPr>
      <xdr:blipFill>
        <a:blip xmlns:r="http://schemas.openxmlformats.org/officeDocument/2006/relationships" r:embed="rId21"/>
        <a:stretch>
          <a:fillRect/>
        </a:stretch>
      </xdr:blipFill>
      <xdr:spPr>
        <a:xfrm>
          <a:off x="6286500" y="51511200"/>
          <a:ext cx="6171429" cy="5895238"/>
        </a:xfrm>
        <a:prstGeom prst="rect">
          <a:avLst/>
        </a:prstGeom>
      </xdr:spPr>
    </xdr:pic>
    <xdr:clientData/>
  </xdr:twoCellAnchor>
  <xdr:twoCellAnchor editAs="oneCell">
    <xdr:from>
      <xdr:col>5</xdr:col>
      <xdr:colOff>0</xdr:colOff>
      <xdr:row>336</xdr:row>
      <xdr:rowOff>0</xdr:rowOff>
    </xdr:from>
    <xdr:to>
      <xdr:col>13</xdr:col>
      <xdr:colOff>656457</xdr:colOff>
      <xdr:row>351</xdr:row>
      <xdr:rowOff>104440</xdr:rowOff>
    </xdr:to>
    <xdr:pic>
      <xdr:nvPicPr>
        <xdr:cNvPr id="24" name="图片 23">
          <a:extLst>
            <a:ext uri="{FF2B5EF4-FFF2-40B4-BE49-F238E27FC236}">
              <a16:creationId xmlns:a16="http://schemas.microsoft.com/office/drawing/2014/main" xmlns="" id="{85054C92-A056-D49A-A8C3-4555583CC2C2}"/>
            </a:ext>
          </a:extLst>
        </xdr:cNvPr>
        <xdr:cNvPicPr>
          <a:picLocks noChangeAspect="1"/>
        </xdr:cNvPicPr>
      </xdr:nvPicPr>
      <xdr:blipFill>
        <a:blip xmlns:r="http://schemas.openxmlformats.org/officeDocument/2006/relationships" r:embed="rId22"/>
        <a:stretch>
          <a:fillRect/>
        </a:stretch>
      </xdr:blipFill>
      <xdr:spPr>
        <a:xfrm>
          <a:off x="6219825" y="57607200"/>
          <a:ext cx="6142857" cy="2676190"/>
        </a:xfrm>
        <a:prstGeom prst="rect">
          <a:avLst/>
        </a:prstGeom>
      </xdr:spPr>
    </xdr:pic>
    <xdr:clientData/>
  </xdr:twoCellAnchor>
  <xdr:twoCellAnchor editAs="oneCell">
    <xdr:from>
      <xdr:col>0</xdr:col>
      <xdr:colOff>0</xdr:colOff>
      <xdr:row>357</xdr:row>
      <xdr:rowOff>152400</xdr:rowOff>
    </xdr:from>
    <xdr:to>
      <xdr:col>4</xdr:col>
      <xdr:colOff>837454</xdr:colOff>
      <xdr:row>392</xdr:row>
      <xdr:rowOff>75459</xdr:rowOff>
    </xdr:to>
    <xdr:pic>
      <xdr:nvPicPr>
        <xdr:cNvPr id="25" name="图片 24">
          <a:extLst>
            <a:ext uri="{FF2B5EF4-FFF2-40B4-BE49-F238E27FC236}">
              <a16:creationId xmlns:a16="http://schemas.microsoft.com/office/drawing/2014/main" xmlns="" id="{D745C1CA-E2AF-495A-863C-9D4B52864A39}"/>
            </a:ext>
          </a:extLst>
        </xdr:cNvPr>
        <xdr:cNvPicPr>
          <a:picLocks noChangeAspect="1"/>
        </xdr:cNvPicPr>
      </xdr:nvPicPr>
      <xdr:blipFill>
        <a:blip xmlns:r="http://schemas.openxmlformats.org/officeDocument/2006/relationships" r:embed="rId23"/>
        <a:stretch>
          <a:fillRect/>
        </a:stretch>
      </xdr:blipFill>
      <xdr:spPr>
        <a:xfrm>
          <a:off x="0" y="61360050"/>
          <a:ext cx="5971429" cy="5923809"/>
        </a:xfrm>
        <a:prstGeom prst="rect">
          <a:avLst/>
        </a:prstGeom>
      </xdr:spPr>
    </xdr:pic>
    <xdr:clientData/>
  </xdr:twoCellAnchor>
  <xdr:twoCellAnchor editAs="oneCell">
    <xdr:from>
      <xdr:col>5</xdr:col>
      <xdr:colOff>0</xdr:colOff>
      <xdr:row>358</xdr:row>
      <xdr:rowOff>0</xdr:rowOff>
    </xdr:from>
    <xdr:to>
      <xdr:col>13</xdr:col>
      <xdr:colOff>551695</xdr:colOff>
      <xdr:row>392</xdr:row>
      <xdr:rowOff>123081</xdr:rowOff>
    </xdr:to>
    <xdr:pic>
      <xdr:nvPicPr>
        <xdr:cNvPr id="26" name="图片 25">
          <a:extLst>
            <a:ext uri="{FF2B5EF4-FFF2-40B4-BE49-F238E27FC236}">
              <a16:creationId xmlns:a16="http://schemas.microsoft.com/office/drawing/2014/main" xmlns="" id="{98CDD5A5-13D6-5F5A-77AF-A3FF7831B58D}"/>
            </a:ext>
          </a:extLst>
        </xdr:cNvPr>
        <xdr:cNvPicPr>
          <a:picLocks noChangeAspect="1"/>
        </xdr:cNvPicPr>
      </xdr:nvPicPr>
      <xdr:blipFill>
        <a:blip xmlns:r="http://schemas.openxmlformats.org/officeDocument/2006/relationships" r:embed="rId24"/>
        <a:stretch>
          <a:fillRect/>
        </a:stretch>
      </xdr:blipFill>
      <xdr:spPr>
        <a:xfrm>
          <a:off x="6219825" y="61379100"/>
          <a:ext cx="6038095" cy="5952381"/>
        </a:xfrm>
        <a:prstGeom prst="rect">
          <a:avLst/>
        </a:prstGeom>
      </xdr:spPr>
    </xdr:pic>
    <xdr:clientData/>
  </xdr:twoCellAnchor>
  <xdr:twoCellAnchor editAs="oneCell">
    <xdr:from>
      <xdr:col>0</xdr:col>
      <xdr:colOff>0</xdr:colOff>
      <xdr:row>394</xdr:row>
      <xdr:rowOff>0</xdr:rowOff>
    </xdr:from>
    <xdr:to>
      <xdr:col>5</xdr:col>
      <xdr:colOff>218271</xdr:colOff>
      <xdr:row>425</xdr:row>
      <xdr:rowOff>75527</xdr:rowOff>
    </xdr:to>
    <xdr:pic>
      <xdr:nvPicPr>
        <xdr:cNvPr id="5" name="图片 4"/>
        <xdr:cNvPicPr>
          <a:picLocks noChangeAspect="1"/>
        </xdr:cNvPicPr>
      </xdr:nvPicPr>
      <xdr:blipFill>
        <a:blip xmlns:r="http://schemas.openxmlformats.org/officeDocument/2006/relationships" r:embed="rId25"/>
        <a:stretch>
          <a:fillRect/>
        </a:stretch>
      </xdr:blipFill>
      <xdr:spPr>
        <a:xfrm>
          <a:off x="0" y="67551300"/>
          <a:ext cx="6438096" cy="5390477"/>
        </a:xfrm>
        <a:prstGeom prst="rect">
          <a:avLst/>
        </a:prstGeom>
      </xdr:spPr>
    </xdr:pic>
    <xdr:clientData/>
  </xdr:twoCellAnchor>
  <xdr:twoCellAnchor editAs="oneCell">
    <xdr:from>
      <xdr:col>6</xdr:col>
      <xdr:colOff>0</xdr:colOff>
      <xdr:row>394</xdr:row>
      <xdr:rowOff>0</xdr:rowOff>
    </xdr:from>
    <xdr:to>
      <xdr:col>15</xdr:col>
      <xdr:colOff>218277</xdr:colOff>
      <xdr:row>416</xdr:row>
      <xdr:rowOff>47148</xdr:rowOff>
    </xdr:to>
    <xdr:pic>
      <xdr:nvPicPr>
        <xdr:cNvPr id="27" name="图片 26"/>
        <xdr:cNvPicPr>
          <a:picLocks noChangeAspect="1"/>
        </xdr:cNvPicPr>
      </xdr:nvPicPr>
      <xdr:blipFill>
        <a:blip xmlns:r="http://schemas.openxmlformats.org/officeDocument/2006/relationships" r:embed="rId26"/>
        <a:stretch>
          <a:fillRect/>
        </a:stretch>
      </xdr:blipFill>
      <xdr:spPr>
        <a:xfrm>
          <a:off x="6905625" y="67551300"/>
          <a:ext cx="6390477" cy="38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589619</xdr:colOff>
      <xdr:row>22</xdr:row>
      <xdr:rowOff>104290</xdr:rowOff>
    </xdr:to>
    <xdr:pic>
      <xdr:nvPicPr>
        <xdr:cNvPr id="2" name="图片 1">
          <a:extLst>
            <a:ext uri="{FF2B5EF4-FFF2-40B4-BE49-F238E27FC236}">
              <a16:creationId xmlns:a16="http://schemas.microsoft.com/office/drawing/2014/main" xmlns="" id="{9BE214A3-3647-3788-0D62-D5A06D4A2A96}"/>
            </a:ext>
          </a:extLst>
        </xdr:cNvPr>
        <xdr:cNvPicPr>
          <a:picLocks noChangeAspect="1"/>
        </xdr:cNvPicPr>
      </xdr:nvPicPr>
      <xdr:blipFill>
        <a:blip xmlns:r="http://schemas.openxmlformats.org/officeDocument/2006/relationships" r:embed="rId1"/>
        <a:stretch>
          <a:fillRect/>
        </a:stretch>
      </xdr:blipFill>
      <xdr:spPr>
        <a:xfrm>
          <a:off x="0" y="0"/>
          <a:ext cx="7447619" cy="3876190"/>
        </a:xfrm>
        <a:prstGeom prst="rect">
          <a:avLst/>
        </a:prstGeom>
      </xdr:spPr>
    </xdr:pic>
    <xdr:clientData/>
  </xdr:twoCellAnchor>
  <xdr:twoCellAnchor editAs="oneCell">
    <xdr:from>
      <xdr:col>0</xdr:col>
      <xdr:colOff>0</xdr:colOff>
      <xdr:row>23</xdr:row>
      <xdr:rowOff>0</xdr:rowOff>
    </xdr:from>
    <xdr:to>
      <xdr:col>11</xdr:col>
      <xdr:colOff>399057</xdr:colOff>
      <xdr:row>45</xdr:row>
      <xdr:rowOff>66195</xdr:rowOff>
    </xdr:to>
    <xdr:pic>
      <xdr:nvPicPr>
        <xdr:cNvPr id="3" name="图片 2">
          <a:extLst>
            <a:ext uri="{FF2B5EF4-FFF2-40B4-BE49-F238E27FC236}">
              <a16:creationId xmlns:a16="http://schemas.microsoft.com/office/drawing/2014/main" xmlns="" id="{FE4E48C1-5E1F-9BF1-2C26-C71A8E293086}"/>
            </a:ext>
          </a:extLst>
        </xdr:cNvPr>
        <xdr:cNvPicPr>
          <a:picLocks noChangeAspect="1"/>
        </xdr:cNvPicPr>
      </xdr:nvPicPr>
      <xdr:blipFill>
        <a:blip xmlns:r="http://schemas.openxmlformats.org/officeDocument/2006/relationships" r:embed="rId2"/>
        <a:stretch>
          <a:fillRect/>
        </a:stretch>
      </xdr:blipFill>
      <xdr:spPr>
        <a:xfrm>
          <a:off x="0" y="3943350"/>
          <a:ext cx="7942857" cy="3838095"/>
        </a:xfrm>
        <a:prstGeom prst="rect">
          <a:avLst/>
        </a:prstGeom>
      </xdr:spPr>
    </xdr:pic>
    <xdr:clientData/>
  </xdr:twoCellAnchor>
  <xdr:twoCellAnchor editAs="oneCell">
    <xdr:from>
      <xdr:col>0</xdr:col>
      <xdr:colOff>0</xdr:colOff>
      <xdr:row>46</xdr:row>
      <xdr:rowOff>0</xdr:rowOff>
    </xdr:from>
    <xdr:to>
      <xdr:col>11</xdr:col>
      <xdr:colOff>218105</xdr:colOff>
      <xdr:row>68</xdr:row>
      <xdr:rowOff>85243</xdr:rowOff>
    </xdr:to>
    <xdr:pic>
      <xdr:nvPicPr>
        <xdr:cNvPr id="4" name="图片 3">
          <a:extLst>
            <a:ext uri="{FF2B5EF4-FFF2-40B4-BE49-F238E27FC236}">
              <a16:creationId xmlns:a16="http://schemas.microsoft.com/office/drawing/2014/main" xmlns="" id="{1105E782-AEE3-B257-8D83-8FFEA74481A5}"/>
            </a:ext>
          </a:extLst>
        </xdr:cNvPr>
        <xdr:cNvPicPr>
          <a:picLocks noChangeAspect="1"/>
        </xdr:cNvPicPr>
      </xdr:nvPicPr>
      <xdr:blipFill>
        <a:blip xmlns:r="http://schemas.openxmlformats.org/officeDocument/2006/relationships" r:embed="rId3"/>
        <a:stretch>
          <a:fillRect/>
        </a:stretch>
      </xdr:blipFill>
      <xdr:spPr>
        <a:xfrm>
          <a:off x="0" y="7886700"/>
          <a:ext cx="7761905" cy="3857143"/>
        </a:xfrm>
        <a:prstGeom prst="rect">
          <a:avLst/>
        </a:prstGeom>
      </xdr:spPr>
    </xdr:pic>
    <xdr:clientData/>
  </xdr:twoCellAnchor>
  <xdr:twoCellAnchor editAs="oneCell">
    <xdr:from>
      <xdr:col>0</xdr:col>
      <xdr:colOff>0</xdr:colOff>
      <xdr:row>69</xdr:row>
      <xdr:rowOff>0</xdr:rowOff>
    </xdr:from>
    <xdr:to>
      <xdr:col>11</xdr:col>
      <xdr:colOff>84771</xdr:colOff>
      <xdr:row>83</xdr:row>
      <xdr:rowOff>152081</xdr:rowOff>
    </xdr:to>
    <xdr:pic>
      <xdr:nvPicPr>
        <xdr:cNvPr id="5" name="图片 4">
          <a:extLst>
            <a:ext uri="{FF2B5EF4-FFF2-40B4-BE49-F238E27FC236}">
              <a16:creationId xmlns:a16="http://schemas.microsoft.com/office/drawing/2014/main" xmlns="" id="{337B7C36-231D-52DB-1A32-D6C78BFDE3F9}"/>
            </a:ext>
          </a:extLst>
        </xdr:cNvPr>
        <xdr:cNvPicPr>
          <a:picLocks noChangeAspect="1"/>
        </xdr:cNvPicPr>
      </xdr:nvPicPr>
      <xdr:blipFill>
        <a:blip xmlns:r="http://schemas.openxmlformats.org/officeDocument/2006/relationships" r:embed="rId4"/>
        <a:stretch>
          <a:fillRect/>
        </a:stretch>
      </xdr:blipFill>
      <xdr:spPr>
        <a:xfrm>
          <a:off x="0" y="11830050"/>
          <a:ext cx="7628571" cy="2552381"/>
        </a:xfrm>
        <a:prstGeom prst="rect">
          <a:avLst/>
        </a:prstGeom>
      </xdr:spPr>
    </xdr:pic>
    <xdr:clientData/>
  </xdr:twoCellAnchor>
  <xdr:twoCellAnchor editAs="oneCell">
    <xdr:from>
      <xdr:col>0</xdr:col>
      <xdr:colOff>0</xdr:colOff>
      <xdr:row>86</xdr:row>
      <xdr:rowOff>0</xdr:rowOff>
    </xdr:from>
    <xdr:to>
      <xdr:col>11</xdr:col>
      <xdr:colOff>141914</xdr:colOff>
      <xdr:row>108</xdr:row>
      <xdr:rowOff>142386</xdr:rowOff>
    </xdr:to>
    <xdr:pic>
      <xdr:nvPicPr>
        <xdr:cNvPr id="6" name="图片 5">
          <a:extLst>
            <a:ext uri="{FF2B5EF4-FFF2-40B4-BE49-F238E27FC236}">
              <a16:creationId xmlns:a16="http://schemas.microsoft.com/office/drawing/2014/main" xmlns="" id="{0E103871-638D-F9EC-26E4-483410C18ADA}"/>
            </a:ext>
          </a:extLst>
        </xdr:cNvPr>
        <xdr:cNvPicPr>
          <a:picLocks noChangeAspect="1"/>
        </xdr:cNvPicPr>
      </xdr:nvPicPr>
      <xdr:blipFill>
        <a:blip xmlns:r="http://schemas.openxmlformats.org/officeDocument/2006/relationships" r:embed="rId5"/>
        <a:stretch>
          <a:fillRect/>
        </a:stretch>
      </xdr:blipFill>
      <xdr:spPr>
        <a:xfrm>
          <a:off x="0" y="14744700"/>
          <a:ext cx="7685714" cy="3914286"/>
        </a:xfrm>
        <a:prstGeom prst="rect">
          <a:avLst/>
        </a:prstGeom>
      </xdr:spPr>
    </xdr:pic>
    <xdr:clientData/>
  </xdr:twoCellAnchor>
  <xdr:twoCellAnchor editAs="oneCell">
    <xdr:from>
      <xdr:col>0</xdr:col>
      <xdr:colOff>0</xdr:colOff>
      <xdr:row>110</xdr:row>
      <xdr:rowOff>0</xdr:rowOff>
    </xdr:from>
    <xdr:to>
      <xdr:col>9</xdr:col>
      <xdr:colOff>303990</xdr:colOff>
      <xdr:row>134</xdr:row>
      <xdr:rowOff>75676</xdr:rowOff>
    </xdr:to>
    <xdr:pic>
      <xdr:nvPicPr>
        <xdr:cNvPr id="7" name="图片 6">
          <a:extLst>
            <a:ext uri="{FF2B5EF4-FFF2-40B4-BE49-F238E27FC236}">
              <a16:creationId xmlns:a16="http://schemas.microsoft.com/office/drawing/2014/main" xmlns="" id="{DDCAA61F-7C65-5EE8-E4B0-4342ECACC659}"/>
            </a:ext>
          </a:extLst>
        </xdr:cNvPr>
        <xdr:cNvPicPr>
          <a:picLocks noChangeAspect="1"/>
        </xdr:cNvPicPr>
      </xdr:nvPicPr>
      <xdr:blipFill>
        <a:blip xmlns:r="http://schemas.openxmlformats.org/officeDocument/2006/relationships" r:embed="rId6"/>
        <a:stretch>
          <a:fillRect/>
        </a:stretch>
      </xdr:blipFill>
      <xdr:spPr>
        <a:xfrm>
          <a:off x="0" y="18859500"/>
          <a:ext cx="6476190" cy="4190476"/>
        </a:xfrm>
        <a:prstGeom prst="rect">
          <a:avLst/>
        </a:prstGeom>
      </xdr:spPr>
    </xdr:pic>
    <xdr:clientData/>
  </xdr:twoCellAnchor>
  <xdr:twoCellAnchor editAs="oneCell">
    <xdr:from>
      <xdr:col>10</xdr:col>
      <xdr:colOff>0</xdr:colOff>
      <xdr:row>110</xdr:row>
      <xdr:rowOff>0</xdr:rowOff>
    </xdr:from>
    <xdr:to>
      <xdr:col>19</xdr:col>
      <xdr:colOff>361133</xdr:colOff>
      <xdr:row>132</xdr:row>
      <xdr:rowOff>85243</xdr:rowOff>
    </xdr:to>
    <xdr:pic>
      <xdr:nvPicPr>
        <xdr:cNvPr id="8" name="图片 7">
          <a:extLst>
            <a:ext uri="{FF2B5EF4-FFF2-40B4-BE49-F238E27FC236}">
              <a16:creationId xmlns:a16="http://schemas.microsoft.com/office/drawing/2014/main" xmlns="" id="{080DCC1F-5903-66B0-84C3-F769B04BEADA}"/>
            </a:ext>
          </a:extLst>
        </xdr:cNvPr>
        <xdr:cNvPicPr>
          <a:picLocks noChangeAspect="1"/>
        </xdr:cNvPicPr>
      </xdr:nvPicPr>
      <xdr:blipFill>
        <a:blip xmlns:r="http://schemas.openxmlformats.org/officeDocument/2006/relationships" r:embed="rId7"/>
        <a:stretch>
          <a:fillRect/>
        </a:stretch>
      </xdr:blipFill>
      <xdr:spPr>
        <a:xfrm>
          <a:off x="6858000" y="18859500"/>
          <a:ext cx="6533333" cy="3857143"/>
        </a:xfrm>
        <a:prstGeom prst="rect">
          <a:avLst/>
        </a:prstGeom>
      </xdr:spPr>
    </xdr:pic>
    <xdr:clientData/>
  </xdr:twoCellAnchor>
  <xdr:twoCellAnchor editAs="oneCell">
    <xdr:from>
      <xdr:col>0</xdr:col>
      <xdr:colOff>0</xdr:colOff>
      <xdr:row>138</xdr:row>
      <xdr:rowOff>0</xdr:rowOff>
    </xdr:from>
    <xdr:to>
      <xdr:col>14</xdr:col>
      <xdr:colOff>360705</xdr:colOff>
      <xdr:row>172</xdr:row>
      <xdr:rowOff>161176</xdr:rowOff>
    </xdr:to>
    <xdr:pic>
      <xdr:nvPicPr>
        <xdr:cNvPr id="9" name="图片 8">
          <a:extLst>
            <a:ext uri="{FF2B5EF4-FFF2-40B4-BE49-F238E27FC236}">
              <a16:creationId xmlns:a16="http://schemas.microsoft.com/office/drawing/2014/main" xmlns="" id="{4639CC4C-ACA0-545A-2A3F-0B7D5B5B3EE5}"/>
            </a:ext>
          </a:extLst>
        </xdr:cNvPr>
        <xdr:cNvPicPr>
          <a:picLocks noChangeAspect="1"/>
        </xdr:cNvPicPr>
      </xdr:nvPicPr>
      <xdr:blipFill>
        <a:blip xmlns:r="http://schemas.openxmlformats.org/officeDocument/2006/relationships" r:embed="rId8"/>
        <a:stretch>
          <a:fillRect/>
        </a:stretch>
      </xdr:blipFill>
      <xdr:spPr>
        <a:xfrm>
          <a:off x="0" y="23660100"/>
          <a:ext cx="9961905" cy="5990476"/>
        </a:xfrm>
        <a:prstGeom prst="rect">
          <a:avLst/>
        </a:prstGeom>
      </xdr:spPr>
    </xdr:pic>
    <xdr:clientData/>
  </xdr:twoCellAnchor>
  <xdr:twoCellAnchor editAs="oneCell">
    <xdr:from>
      <xdr:col>0</xdr:col>
      <xdr:colOff>0</xdr:colOff>
      <xdr:row>175</xdr:row>
      <xdr:rowOff>0</xdr:rowOff>
    </xdr:from>
    <xdr:to>
      <xdr:col>14</xdr:col>
      <xdr:colOff>341657</xdr:colOff>
      <xdr:row>210</xdr:row>
      <xdr:rowOff>65917</xdr:rowOff>
    </xdr:to>
    <xdr:pic>
      <xdr:nvPicPr>
        <xdr:cNvPr id="10" name="图片 9">
          <a:extLst>
            <a:ext uri="{FF2B5EF4-FFF2-40B4-BE49-F238E27FC236}">
              <a16:creationId xmlns:a16="http://schemas.microsoft.com/office/drawing/2014/main" xmlns="" id="{D990B8F8-8E11-5255-2E40-4B1BB369918F}"/>
            </a:ext>
          </a:extLst>
        </xdr:cNvPr>
        <xdr:cNvPicPr>
          <a:picLocks noChangeAspect="1"/>
        </xdr:cNvPicPr>
      </xdr:nvPicPr>
      <xdr:blipFill>
        <a:blip xmlns:r="http://schemas.openxmlformats.org/officeDocument/2006/relationships" r:embed="rId9"/>
        <a:stretch>
          <a:fillRect/>
        </a:stretch>
      </xdr:blipFill>
      <xdr:spPr>
        <a:xfrm>
          <a:off x="0" y="30003750"/>
          <a:ext cx="9942857" cy="6066667"/>
        </a:xfrm>
        <a:prstGeom prst="rect">
          <a:avLst/>
        </a:prstGeom>
      </xdr:spPr>
    </xdr:pic>
    <xdr:clientData/>
  </xdr:twoCellAnchor>
  <xdr:twoCellAnchor editAs="oneCell">
    <xdr:from>
      <xdr:col>0</xdr:col>
      <xdr:colOff>0</xdr:colOff>
      <xdr:row>212</xdr:row>
      <xdr:rowOff>0</xdr:rowOff>
    </xdr:from>
    <xdr:to>
      <xdr:col>12</xdr:col>
      <xdr:colOff>303733</xdr:colOff>
      <xdr:row>246</xdr:row>
      <xdr:rowOff>27843</xdr:rowOff>
    </xdr:to>
    <xdr:pic>
      <xdr:nvPicPr>
        <xdr:cNvPr id="11" name="图片 10">
          <a:extLst>
            <a:ext uri="{FF2B5EF4-FFF2-40B4-BE49-F238E27FC236}">
              <a16:creationId xmlns:a16="http://schemas.microsoft.com/office/drawing/2014/main" xmlns="" id="{63DE6297-2906-D46F-4193-C5690AABDEF8}"/>
            </a:ext>
          </a:extLst>
        </xdr:cNvPr>
        <xdr:cNvPicPr>
          <a:picLocks noChangeAspect="1"/>
        </xdr:cNvPicPr>
      </xdr:nvPicPr>
      <xdr:blipFill>
        <a:blip xmlns:r="http://schemas.openxmlformats.org/officeDocument/2006/relationships" r:embed="rId10"/>
        <a:stretch>
          <a:fillRect/>
        </a:stretch>
      </xdr:blipFill>
      <xdr:spPr>
        <a:xfrm>
          <a:off x="0" y="36347400"/>
          <a:ext cx="8533333" cy="5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估价对象为北京市房地产，为所有。根据《国有土地使用证》[]，估价对象（分摊）出让国有建设用地使用权面积为0平方米，建筑面积为1138.31平方米。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估价对象为北京市房地产,属开发建设的工业项目，该项目尚在开发建设中。根据《国有土地使用证》[]，估价对象（分摊）出让国有建设用地使用权面积为0平方米，规划建筑面积为1138.31平方米。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2025年12月12日（评估专业人员实地查勘之日）</v>
      </c>
    </row>
    <row r="13" spans="1:2">
      <c r="A13" s="1119" t="s">
        <v>529</v>
      </c>
      <c r="B13" s="1120" t="str">
        <f>'预评函-1'!A18</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1138.31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2438</v>
      </c>
      <c r="Y2" s="1445" t="s">
        <v>3408</v>
      </c>
      <c r="Z2" s="1445" t="s">
        <v>2451</v>
      </c>
      <c r="AA2" s="1445" t="s">
        <v>3409</v>
      </c>
      <c r="AB2" s="1445" t="s">
        <v>2478</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2440</v>
      </c>
      <c r="Z3" s="1445" t="s">
        <v>2453</v>
      </c>
      <c r="AB3" s="1445" t="s">
        <v>2480</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2442</v>
      </c>
      <c r="Z4" s="1445" t="s">
        <v>2455</v>
      </c>
      <c r="AB4" s="1445" t="s">
        <v>2482</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2444</v>
      </c>
      <c r="Z5" s="1445" t="s">
        <v>2457</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2446</v>
      </c>
      <c r="Z6" s="1445" t="s">
        <v>2459</v>
      </c>
      <c r="AB6" s="1445" t="s">
        <v>2485</v>
      </c>
    </row>
    <row r="7" spans="1:28">
      <c r="A7" s="1441" t="s">
        <v>1023</v>
      </c>
      <c r="B7" s="1444" t="s">
        <v>450</v>
      </c>
      <c r="C7" s="1442" t="s">
        <v>25</v>
      </c>
      <c r="F7" s="1443" t="s">
        <v>1024</v>
      </c>
      <c r="H7" s="1443" t="s">
        <v>1025</v>
      </c>
      <c r="I7" s="1443" t="s">
        <v>3339</v>
      </c>
      <c r="X7" s="1445" t="s">
        <v>2448</v>
      </c>
      <c r="Z7" s="1445" t="s">
        <v>2461</v>
      </c>
      <c r="AB7" s="1445" t="s">
        <v>2487</v>
      </c>
    </row>
    <row r="8" spans="1:28">
      <c r="A8" s="1441" t="s">
        <v>1026</v>
      </c>
      <c r="B8" s="1441" t="s">
        <v>1027</v>
      </c>
      <c r="C8" s="1442" t="s">
        <v>319</v>
      </c>
      <c r="F8" s="1443" t="s">
        <v>1028</v>
      </c>
      <c r="H8" s="1443" t="s">
        <v>2576</v>
      </c>
      <c r="I8" s="1443" t="s">
        <v>3340</v>
      </c>
      <c r="X8" s="1445" t="s">
        <v>3411</v>
      </c>
      <c r="Z8" s="1445" t="s">
        <v>2463</v>
      </c>
      <c r="AB8" s="1445" t="s">
        <v>2489</v>
      </c>
    </row>
    <row r="9" spans="1:28">
      <c r="A9" s="1441" t="s">
        <v>1029</v>
      </c>
      <c r="B9" s="1441" t="s">
        <v>1030</v>
      </c>
      <c r="C9" s="1442" t="s">
        <v>320</v>
      </c>
      <c r="F9" s="1443" t="s">
        <v>1031</v>
      </c>
      <c r="H9" s="1443"/>
      <c r="I9" s="1445" t="s">
        <v>3341</v>
      </c>
      <c r="X9" s="1445" t="s">
        <v>3412</v>
      </c>
      <c r="Z9" s="1445" t="s">
        <v>2465</v>
      </c>
      <c r="AB9" s="1445" t="s">
        <v>2491</v>
      </c>
    </row>
    <row r="10" spans="1:28">
      <c r="A10" s="1441" t="s">
        <v>1032</v>
      </c>
      <c r="B10" s="1441" t="s">
        <v>1033</v>
      </c>
      <c r="C10" s="1442" t="s">
        <v>321</v>
      </c>
      <c r="F10" s="1443" t="s">
        <v>2577</v>
      </c>
      <c r="I10" s="1445" t="s">
        <v>3342</v>
      </c>
      <c r="Z10" s="1445" t="s">
        <v>2467</v>
      </c>
      <c r="AB10" s="1445" t="s">
        <v>2493</v>
      </c>
    </row>
    <row r="11" spans="1:28">
      <c r="A11" s="1441" t="s">
        <v>1034</v>
      </c>
      <c r="B11" s="1441" t="s">
        <v>1035</v>
      </c>
      <c r="C11" s="1442" t="s">
        <v>322</v>
      </c>
      <c r="F11" s="1443" t="s">
        <v>13</v>
      </c>
      <c r="I11" s="1445" t="s">
        <v>3343</v>
      </c>
      <c r="Z11" s="1445" t="s">
        <v>2469</v>
      </c>
      <c r="AB11" s="1445" t="s">
        <v>2495</v>
      </c>
    </row>
    <row r="12" spans="1:28">
      <c r="A12" s="1441" t="s">
        <v>1036</v>
      </c>
      <c r="B12" s="1441" t="s">
        <v>1037</v>
      </c>
      <c r="C12" s="1442" t="s">
        <v>323</v>
      </c>
      <c r="I12" s="1445" t="s">
        <v>3344</v>
      </c>
      <c r="Z12" s="1445" t="s">
        <v>2471</v>
      </c>
      <c r="AB12" s="1445" t="s">
        <v>2497</v>
      </c>
    </row>
    <row r="13" spans="1:28">
      <c r="A13" s="1441" t="s">
        <v>1038</v>
      </c>
      <c r="B13" s="1441" t="s">
        <v>1039</v>
      </c>
      <c r="C13" s="1442" t="s">
        <v>324</v>
      </c>
      <c r="I13" s="1445" t="s">
        <v>3345</v>
      </c>
      <c r="Z13" s="1445" t="s">
        <v>2473</v>
      </c>
    </row>
    <row r="14" spans="1:28">
      <c r="A14" s="1441" t="s">
        <v>1040</v>
      </c>
      <c r="B14" s="1441" t="s">
        <v>1041</v>
      </c>
      <c r="C14" s="1443" t="s">
        <v>13</v>
      </c>
      <c r="I14" s="1445" t="s">
        <v>3346</v>
      </c>
      <c r="Z14" s="1445" t="s">
        <v>2475</v>
      </c>
    </row>
    <row r="15" spans="1:28">
      <c r="A15" s="1441" t="s">
        <v>1042</v>
      </c>
      <c r="B15" s="1441" t="s">
        <v>1043</v>
      </c>
      <c r="C15" s="1442"/>
      <c r="I15" s="1445" t="s">
        <v>3347</v>
      </c>
    </row>
    <row r="16" spans="1:28">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7" t="s">
        <v>385</v>
      </c>
      <c r="C54" s="1445" t="s">
        <v>583</v>
      </c>
    </row>
    <row r="55" spans="1:4">
      <c r="A55" s="3224"/>
      <c r="B55" s="1447" t="s">
        <v>386</v>
      </c>
      <c r="C55" s="1445" t="s">
        <v>584</v>
      </c>
    </row>
    <row r="56" spans="1:4">
      <c r="A56" s="3224"/>
      <c r="B56" s="1447" t="s">
        <v>387</v>
      </c>
      <c r="C56" s="1445" t="s">
        <v>588</v>
      </c>
    </row>
    <row r="57" spans="1:4">
      <c r="A57" s="322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25" t="s">
        <v>2579</v>
      </c>
      <c r="J2" s="3225"/>
      <c r="K2" s="3225"/>
      <c r="L2" s="3225"/>
      <c r="M2" s="3225"/>
      <c r="N2" s="3225"/>
      <c r="O2" s="3225"/>
      <c r="P2" s="3225"/>
      <c r="Q2" s="3225"/>
      <c r="R2" s="3225"/>
    </row>
    <row r="3" spans="1:18">
      <c r="A3" s="2763" t="s">
        <v>2500</v>
      </c>
      <c r="B3" s="2764">
        <f>项目基本情况!D3</f>
        <v>46003</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1.01</v>
      </c>
      <c r="D5" s="2768">
        <f>IF(ISERROR(ROUND(POWER(1+E5,A5-C5)*(POWER(1+E5,C5)-1)/(POWER(1+E5,A5)-1),3)),0,ROUND(POWER(1+E5,A5-C5)*(POWER(1+E5,C5)-1)/(POWER(1+E5,A5)-1),4))</f>
        <v>4.9099999999999998E-2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11.02</v>
      </c>
      <c r="D6" s="2768">
        <f>IF(ISERROR(ROUND(POWER(1+E6,A6-C6)*(POWER(1+E6,C6)-1)/(POWER(1+E6,A6)-1),3)),0,ROUND(POWER(1+E6,A6-C6)*(POWER(1+E6,C6)-1)/(POWER(1+E6,A6)-1),4))</f>
        <v>0.40839999999999999</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31.04</v>
      </c>
      <c r="D7" s="2768">
        <f>IF(ISERROR(ROUND(POWER(1+E7,A7-C7)*(POWER(1+E7,C7)-1)/(POWER(1+E7,A7)-1),3)),0,ROUND(POWER(1+E7,A7-C7)*(POWER(1+E7,C7)-1)/(POWER(1+E7,A7)-1),4))</f>
        <v>0.75229999999999997</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4.25" thickBot="1">
      <c r="A18" s="2773" t="s">
        <v>2515</v>
      </c>
      <c r="B18" s="2774">
        <f>ROUND(B17*F11/F12,2)</f>
        <v>5541.87</v>
      </c>
      <c r="C18" s="2774">
        <f>ROUND(F11/F12,4)</f>
        <v>1.1521999999999999</v>
      </c>
      <c r="D18" s="2775"/>
      <c r="E18" s="2775"/>
      <c r="F18" s="2776"/>
    </row>
    <row r="19" spans="1:14" ht="14.25" thickBot="1"/>
    <row r="20" spans="1:14" s="2809" customFormat="1" ht="14.2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4.2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3384</v>
      </c>
    </row>
    <row r="50" spans="1:4">
      <c r="A50" s="3145" t="s">
        <v>3385</v>
      </c>
      <c r="B50" s="3145" t="s">
        <v>3386</v>
      </c>
      <c r="C50" s="3145" t="s">
        <v>3387</v>
      </c>
      <c r="D50" s="3145" t="s">
        <v>3388</v>
      </c>
    </row>
    <row r="51" spans="1:4">
      <c r="A51" s="3145" t="s">
        <v>3389</v>
      </c>
      <c r="B51" s="2765">
        <f>B52+B53</f>
        <v>15000</v>
      </c>
      <c r="C51" s="3146">
        <f>D51/B51</f>
        <v>2666.6666666666665</v>
      </c>
      <c r="D51" s="2765">
        <f>D52+D53</f>
        <v>40000000</v>
      </c>
    </row>
    <row r="52" spans="1:4">
      <c r="A52" s="3147" t="s">
        <v>3390</v>
      </c>
      <c r="B52" s="3148">
        <v>10000</v>
      </c>
      <c r="C52" s="3148">
        <v>1500</v>
      </c>
      <c r="D52" s="3149">
        <f>C52*B52</f>
        <v>15000000</v>
      </c>
    </row>
    <row r="53" spans="1:4">
      <c r="A53" s="3147" t="s">
        <v>3391</v>
      </c>
      <c r="B53" s="3148">
        <v>5000</v>
      </c>
      <c r="C53" s="3148">
        <v>5000</v>
      </c>
      <c r="D53" s="3149">
        <f>C53*B53</f>
        <v>25000000</v>
      </c>
    </row>
    <row r="54" spans="1:4">
      <c r="A54" s="3145" t="s">
        <v>3392</v>
      </c>
      <c r="B54" s="2765">
        <f>B51</f>
        <v>15000</v>
      </c>
      <c r="C54" s="2771">
        <v>700</v>
      </c>
      <c r="D54" s="2765">
        <f t="shared" ref="D54:D55" si="5">C54*B54</f>
        <v>10500000</v>
      </c>
    </row>
    <row r="55" spans="1:4">
      <c r="A55" s="3145" t="s">
        <v>3393</v>
      </c>
      <c r="B55" s="2765">
        <f>B51</f>
        <v>15000</v>
      </c>
      <c r="C55" s="2771">
        <v>1500</v>
      </c>
      <c r="D55" s="2765">
        <f t="shared" si="5"/>
        <v>22500000</v>
      </c>
    </row>
    <row r="56" spans="1:4">
      <c r="A56" s="3145" t="s">
        <v>3394</v>
      </c>
      <c r="B56" s="2765">
        <f>B51</f>
        <v>15000</v>
      </c>
      <c r="C56" s="3150">
        <f>C51+C54+C55</f>
        <v>4866.6666666666661</v>
      </c>
      <c r="D56" s="2765">
        <f>D51+D54+D55</f>
        <v>73000000</v>
      </c>
    </row>
    <row r="58" spans="1:4">
      <c r="A58" s="3145" t="s">
        <v>3395</v>
      </c>
      <c r="B58" s="3151">
        <v>0.05</v>
      </c>
      <c r="C58" s="2765">
        <f>C56*(1+B58)</f>
        <v>5110</v>
      </c>
      <c r="D58" s="2765">
        <f>D56*B58</f>
        <v>3650000</v>
      </c>
    </row>
    <row r="60" spans="1:4">
      <c r="A60" s="3145" t="s">
        <v>3396</v>
      </c>
      <c r="B60" s="2771">
        <v>3500</v>
      </c>
      <c r="C60" s="2771">
        <f>C53</f>
        <v>5000</v>
      </c>
      <c r="D60" s="2765">
        <f>C60*B60</f>
        <v>17500000</v>
      </c>
    </row>
    <row r="62" spans="1:4">
      <c r="A62" s="3145" t="s">
        <v>3397</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Normal="100" zoomScaleSheetLayoutView="100" workbookViewId="0">
      <selection activeCell="E38" sqref="E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26" t="str">
        <f>IF(B10="北京市","北京市",C10)&amp;F10&amp;IF(结果表!G1="在建","出让国有建设用地使用权及在建建筑物",IF(结果表!G1="土地","出让国有建设用地使用权",))&amp;B9&amp;"预评估"</f>
        <v>北京市房地产市场价值预评估</v>
      </c>
      <c r="C1" s="3227"/>
      <c r="D1" s="3227"/>
      <c r="E1" s="3227"/>
      <c r="F1" s="3227"/>
      <c r="G1" s="3227"/>
      <c r="H1" s="3227"/>
      <c r="I1" s="322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v>46003</v>
      </c>
      <c r="C3" s="2186" t="s">
        <v>2170</v>
      </c>
      <c r="D3" s="2185">
        <f>B3</f>
        <v>46003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3416</v>
      </c>
      <c r="C8" s="2201"/>
      <c r="D8" s="3229" t="s">
        <v>2176</v>
      </c>
      <c r="E8" s="2202"/>
      <c r="F8" s="2203"/>
      <c r="G8" s="2442"/>
      <c r="H8" s="2442"/>
      <c r="I8" s="2442"/>
      <c r="J8" s="2245"/>
      <c r="K8" s="2400"/>
      <c r="L8" s="2399"/>
      <c r="M8" s="2399"/>
      <c r="N8" s="2245"/>
      <c r="O8" s="1670"/>
      <c r="P8" s="2245"/>
      <c r="Q8" s="2245"/>
      <c r="R8" s="2245"/>
    </row>
    <row r="9" spans="1:30" ht="13.5" thickBot="1">
      <c r="A9" s="2204" t="s">
        <v>2177</v>
      </c>
      <c r="B9" s="2205" t="s">
        <v>3417</v>
      </c>
      <c r="C9" s="2206"/>
      <c r="D9" s="3230"/>
      <c r="E9" s="2205"/>
      <c r="F9" s="2207"/>
      <c r="G9" s="2443"/>
      <c r="H9" s="2443"/>
      <c r="I9" s="2443"/>
      <c r="J9" s="2245"/>
      <c r="K9" s="2402"/>
      <c r="L9" s="2399"/>
      <c r="M9" s="2399"/>
      <c r="N9" s="2245"/>
      <c r="O9" s="1670"/>
      <c r="P9" s="2245"/>
      <c r="Q9" s="2245"/>
      <c r="R9" s="2245"/>
    </row>
    <row r="10" spans="1:30" ht="13.5" thickTop="1">
      <c r="A10" s="2208" t="s">
        <v>2178</v>
      </c>
      <c r="B10" s="2209" t="s">
        <v>3418</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3419</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3329</v>
      </c>
      <c r="B13" s="2218" t="s">
        <v>2189</v>
      </c>
      <c r="C13" s="803"/>
      <c r="D13" s="803"/>
      <c r="E13" s="803">
        <v>58641</v>
      </c>
      <c r="F13" s="803"/>
      <c r="G13" s="803"/>
      <c r="H13" s="803">
        <v>58641</v>
      </c>
      <c r="I13" s="803">
        <v>58641</v>
      </c>
      <c r="J13" s="2803"/>
      <c r="K13" s="2399"/>
      <c r="L13" s="2399"/>
      <c r="M13" s="2245"/>
      <c r="N13" s="1670"/>
      <c r="O13" s="2245"/>
      <c r="P13" s="2245"/>
      <c r="Q13" s="2245"/>
      <c r="AD13" s="1618"/>
    </row>
    <row r="14" spans="1:30">
      <c r="A14" s="1018"/>
      <c r="B14" s="2218" t="s">
        <v>2190</v>
      </c>
      <c r="C14" s="2219"/>
      <c r="D14" s="2219"/>
      <c r="E14" s="2219">
        <v>50</v>
      </c>
      <c r="F14" s="2219"/>
      <c r="G14" s="2219"/>
      <c r="H14" s="2219">
        <v>50</v>
      </c>
      <c r="I14" s="2219">
        <v>50</v>
      </c>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34.619999999999997</v>
      </c>
      <c r="F15" s="2221" t="str">
        <f>IF(A13="出让",IF(F13="","",ROUNDDOWN(MIN((F13-$D$3)/365,F14),2)),F14)</f>
        <v/>
      </c>
      <c r="G15" s="2221" t="str">
        <f>IF(A13="出让",IF(G13="","",ROUNDDOWN(MIN((G13-$D$3)/365,G14),2)),G14)</f>
        <v/>
      </c>
      <c r="H15" s="2221">
        <f>IF(A13="出让",IF(H13="","",ROUNDDOWN(MIN((H13-$D$3)/365,H14),2)),H14)</f>
        <v>34.619999999999997</v>
      </c>
      <c r="I15" s="2221">
        <f>IF(A13="出让",IF(I13="","",ROUNDDOWN(MIN((I13-$D$3)/365,I14),2)),I14)</f>
        <v>34.619999999999997</v>
      </c>
      <c r="J15" s="2805"/>
      <c r="K15" s="1670"/>
      <c r="L15" s="1670"/>
      <c r="M15" s="2245"/>
      <c r="N15" s="1670"/>
      <c r="O15" s="2245"/>
      <c r="P15" s="2245"/>
      <c r="Q15" s="2245"/>
      <c r="AD15" s="1618"/>
    </row>
    <row r="16" spans="1:30">
      <c r="A16" s="2211" t="s">
        <v>2192</v>
      </c>
      <c r="B16" s="3236"/>
      <c r="C16" s="3237"/>
      <c r="D16" s="3238"/>
      <c r="E16" s="2222" t="s">
        <v>2193</v>
      </c>
      <c r="F16" s="3239"/>
      <c r="G16" s="3240"/>
      <c r="H16" s="3240"/>
      <c r="I16" s="3241"/>
      <c r="J16" s="2245"/>
      <c r="K16" s="2403"/>
      <c r="L16" s="1670"/>
      <c r="M16" s="1670"/>
      <c r="N16" s="2245"/>
      <c r="O16" s="1670"/>
      <c r="P16" s="2245"/>
      <c r="Q16" s="2245"/>
      <c r="R16" s="2245"/>
    </row>
    <row r="17" spans="1:28">
      <c r="A17" s="305" t="s">
        <v>2194</v>
      </c>
      <c r="B17" s="294" t="s">
        <v>2195</v>
      </c>
      <c r="C17" s="8">
        <f>'数据-汇总表'!E3</f>
        <v>1138.31</v>
      </c>
      <c r="D17" s="1256" t="s">
        <v>2196</v>
      </c>
      <c r="E17" s="3242" t="s">
        <v>2197</v>
      </c>
      <c r="F17" s="3243"/>
      <c r="G17" s="3243"/>
      <c r="H17" s="3243"/>
      <c r="I17" s="3244"/>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45" t="s">
        <v>2201</v>
      </c>
      <c r="F18" s="3246"/>
      <c r="G18" s="3246"/>
      <c r="H18" s="3246"/>
      <c r="I18" s="3247"/>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32" t="s">
        <v>2205</v>
      </c>
      <c r="C20" s="3233"/>
      <c r="D20" s="3234" t="s">
        <v>2206</v>
      </c>
      <c r="E20" s="3235"/>
      <c r="F20" s="2430" t="s">
        <v>1056</v>
      </c>
      <c r="G20" s="2442"/>
      <c r="H20" s="2442"/>
      <c r="I20" s="2442"/>
      <c r="J20" s="2245"/>
      <c r="K20" s="3231"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9" t="s">
        <v>2213</v>
      </c>
      <c r="B27" s="312" t="s">
        <v>2214</v>
      </c>
      <c r="C27" s="2225" t="s">
        <v>3420</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9"/>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9"/>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50"/>
      <c r="B30" s="294" t="s">
        <v>2217</v>
      </c>
      <c r="C30" s="3251"/>
      <c r="D30" s="3252"/>
      <c r="E30" s="2442"/>
      <c r="F30" s="2442"/>
      <c r="G30" s="2442"/>
      <c r="H30" s="2442"/>
      <c r="I30" s="2442"/>
      <c r="J30" s="2245"/>
      <c r="K30" s="2402"/>
      <c r="L30" s="2399"/>
      <c r="M30" s="2399"/>
      <c r="N30" s="2245"/>
      <c r="O30" s="1670"/>
      <c r="P30" s="2245"/>
      <c r="Q30" s="2245"/>
      <c r="R30" s="2245"/>
      <c r="S30" s="2245"/>
      <c r="T30" s="2245"/>
      <c r="U30" s="2245"/>
      <c r="V30" s="2245"/>
    </row>
    <row r="31" spans="1:28">
      <c r="A31" s="3253" t="s">
        <v>2218</v>
      </c>
      <c r="B31" s="2231" t="s">
        <v>3421</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48" t="s">
        <v>2227</v>
      </c>
      <c r="T34" s="315" t="str">
        <f>NUMBERSTRING(7-K34,1)&amp;"通"</f>
        <v>七通</v>
      </c>
      <c r="U34" s="2245"/>
      <c r="V34" s="2245"/>
    </row>
    <row r="35" spans="1:30">
      <c r="A35" s="2236"/>
      <c r="B35" s="3248" t="s">
        <v>2228</v>
      </c>
      <c r="C35" s="3248"/>
      <c r="D35" s="3248"/>
      <c r="E35" s="324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t="s">
        <v>29</v>
      </c>
      <c r="F37" s="2237" t="s">
        <v>29</v>
      </c>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2238" t="s">
        <v>3465</v>
      </c>
      <c r="F38" s="2238" t="s">
        <v>141</v>
      </c>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1138.31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1138.31</v>
      </c>
      <c r="H5" s="13">
        <f t="shared" ref="H5:AT5" si="0">SUM(H13:H656)</f>
        <v>1138.31</v>
      </c>
      <c r="I5" s="13">
        <f t="shared" si="0"/>
        <v>1138.31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1138.31</v>
      </c>
      <c r="BA5" s="15">
        <f t="shared" si="1"/>
        <v>1138.31</v>
      </c>
      <c r="BB5" s="15">
        <f t="shared" si="1"/>
        <v>1138.31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3424</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
        <v>3425</v>
      </c>
      <c r="D13" s="1513" t="s">
        <v>3422</v>
      </c>
      <c r="E13" s="13">
        <f>IF($C$3="是",ROUND($A$3*G13/$B$3,2),ROUND($A$3*(G13-AT13)/$B$3,2))</f>
        <v>0</v>
      </c>
      <c r="F13" s="29"/>
      <c r="G13" s="30">
        <f>H13+AC13+AT13</f>
        <v>1138.31</v>
      </c>
      <c r="H13" s="17">
        <f>SUMIF(I$12:AB$12,"总值",I13:AB13)</f>
        <v>1138.31</v>
      </c>
      <c r="I13" s="1514">
        <v>1138.31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3层</v>
      </c>
      <c r="AY13" s="1260">
        <f>ROUND($AY$6*AZ13/$AZ$5,2)</f>
        <v>0</v>
      </c>
      <c r="AZ13" s="13">
        <f>BA13+BL13</f>
        <v>1138.31</v>
      </c>
      <c r="BA13" s="13">
        <f>SUM(BB13:BK13)</f>
        <v>1138.31</v>
      </c>
      <c r="BB13" s="13">
        <f>IF($D13="是",I13-J13,0)</f>
        <v>1138.31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4" t="s">
        <v>1131</v>
      </c>
      <c r="B2" s="3264"/>
      <c r="C2" s="3264"/>
      <c r="D2" s="748" t="s">
        <v>1107</v>
      </c>
      <c r="E2" s="1523" t="s">
        <v>1108</v>
      </c>
      <c r="F2" s="2439"/>
      <c r="G2" s="2432"/>
      <c r="H2" s="2433"/>
      <c r="I2" s="2146" t="s">
        <v>1132</v>
      </c>
      <c r="J2" s="2439"/>
      <c r="K2" s="2439"/>
      <c r="L2" s="2439"/>
      <c r="M2" s="2439"/>
      <c r="N2" s="2440"/>
      <c r="O2" s="2439"/>
      <c r="P2" s="2439"/>
    </row>
    <row r="3" spans="1:16" ht="15.75" thickBot="1">
      <c r="A3" s="3265" t="s">
        <v>1105</v>
      </c>
      <c r="B3" s="3265"/>
      <c r="C3" s="3265"/>
      <c r="D3" s="41">
        <f>'数据-基础表'!AY6</f>
        <v>0</v>
      </c>
      <c r="E3" s="41">
        <f>'数据-基础表'!AZ5</f>
        <v>1138.31</v>
      </c>
      <c r="F3" s="2439"/>
      <c r="G3" s="42"/>
      <c r="H3" s="43" t="s">
        <v>1106</v>
      </c>
      <c r="I3" s="802" t="e">
        <f>ROUND('数据-基础表'!B3/'数据-基础表'!A3,2)</f>
        <v>#DIV/0!</v>
      </c>
      <c r="J3" s="2439"/>
      <c r="K3" s="2439"/>
      <c r="L3" s="2439"/>
      <c r="M3" s="2439"/>
      <c r="N3" s="2440"/>
      <c r="O3" s="2439"/>
      <c r="P3" s="2439"/>
    </row>
    <row r="4" spans="1:16" ht="15">
      <c r="A4" s="3266"/>
      <c r="B4" s="3267"/>
      <c r="C4" s="326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9" t="s">
        <v>1110</v>
      </c>
      <c r="C5" s="326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9" t="s">
        <v>1111</v>
      </c>
      <c r="C6" s="3269"/>
      <c r="D6" s="43">
        <f>ROUND($D$3*E6/$E$3,2)</f>
        <v>0</v>
      </c>
      <c r="E6" s="44">
        <f>E3-E5</f>
        <v>1138.31</v>
      </c>
      <c r="F6" s="2439"/>
      <c r="G6" s="1529" t="s">
        <v>1112</v>
      </c>
      <c r="H6" s="45" t="s">
        <v>1113</v>
      </c>
      <c r="I6" s="2435" t="e">
        <f>ROUND(F31/D31,2)</f>
        <v>#DIV/0!</v>
      </c>
      <c r="J6" s="2439"/>
      <c r="K6" s="2439"/>
      <c r="L6" s="2439"/>
      <c r="M6" s="2439"/>
      <c r="N6" s="2439"/>
      <c r="O6" s="2439"/>
      <c r="P6" s="2439"/>
    </row>
    <row r="7" spans="1:16" ht="15.75" thickBot="1">
      <c r="A7" s="3261"/>
      <c r="B7" s="3262"/>
      <c r="C7" s="326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1138.31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1138.31</v>
      </c>
      <c r="F16" s="2439"/>
      <c r="G16" s="2439"/>
      <c r="H16" s="1531" t="s">
        <v>1135</v>
      </c>
      <c r="I16" s="1532"/>
      <c r="J16" s="1071"/>
      <c r="K16" s="3258" t="s">
        <v>1135</v>
      </c>
      <c r="L16" s="3259"/>
      <c r="M16" s="3259"/>
      <c r="N16" s="3259"/>
      <c r="O16" s="3259"/>
      <c r="P16" s="3260"/>
    </row>
    <row r="17" spans="1:19" ht="15">
      <c r="A17" s="1533" t="s">
        <v>1136</v>
      </c>
      <c r="B17" s="1534" t="s">
        <v>1137</v>
      </c>
      <c r="C17" s="1535" t="s">
        <v>1138</v>
      </c>
      <c r="D17" s="1536" t="s">
        <v>1126</v>
      </c>
      <c r="E17" s="1537" t="s">
        <v>1127</v>
      </c>
      <c r="F17" s="1538"/>
      <c r="G17" s="1539"/>
      <c r="H17" s="1540" t="s">
        <v>1139</v>
      </c>
      <c r="I17" s="1541" t="s">
        <v>1124</v>
      </c>
      <c r="J17" s="1071"/>
      <c r="K17" s="3255" t="s">
        <v>1140</v>
      </c>
      <c r="L17" s="3256"/>
      <c r="M17" s="3257"/>
      <c r="N17" s="3255" t="s">
        <v>1141</v>
      </c>
      <c r="O17" s="3256"/>
      <c r="P17" s="325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3429</v>
      </c>
      <c r="D19" s="43">
        <f>ROUND($D$3*E19/$E$3,2)</f>
        <v>0</v>
      </c>
      <c r="E19" s="51">
        <f t="shared" ref="E19:E26" si="1">SUM(F19:G19)</f>
        <v>1138.31</v>
      </c>
      <c r="F19" s="2558">
        <f>'数据-基础表'!I13</f>
        <v>1138.31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1138.31</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1138.31</v>
      </c>
      <c r="F27" s="1072">
        <f>IF(SUM(F19:F26)=E8,SUM(F19:F26),"地上面积有误")</f>
        <v>1138.31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1138.31</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1138.31</v>
      </c>
      <c r="F31" s="644">
        <f>F27+F30</f>
        <v>1138.31</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46003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3层科研办公</v>
      </c>
      <c r="B6" s="1587" t="str">
        <f>IF(A6=0,"","经营性")</f>
        <v>经营性</v>
      </c>
      <c r="C6" s="1588" t="s">
        <v>3</v>
      </c>
      <c r="D6" s="805">
        <f>SUMIF(项目基本情况!C$12:I$12,C6,项目基本情况!C$14:I$14)</f>
        <v>50</v>
      </c>
      <c r="E6" s="804">
        <f>IF(B6="","",SUMIF(项目基本情况!C$12:I$12,C6,项目基本情况!C$13:I$13))</f>
        <v>58641</v>
      </c>
      <c r="F6" s="61">
        <f>SUMIF(项目基本情况!C$12:I$12,C6,项目基本情况!C$15:I$15)</f>
        <v>34.619999999999997</v>
      </c>
      <c r="G6" s="62">
        <f>IF(ISERROR(ROUND(POWER(1+H6,D6-F6)*(POWER(1+H6,F6)-1)/(POWER(1+H6,D6)-1),3)),0,ROUND(POWER(1+H6,D6-F6)*(POWER(1+H6,F6)-1)/(POWER(1+H6,D6)-1),3))</f>
        <v>0.88</v>
      </c>
      <c r="H6" s="691">
        <v>4.4999999999999998E-2</v>
      </c>
      <c r="I6" s="691">
        <v>0.05</v>
      </c>
      <c r="J6" s="63">
        <v>7.0000000000000007E-2</v>
      </c>
      <c r="K6" s="970">
        <f>SUMIF('数据-汇总表'!C$19:C$33,A6,'数据-汇总表'!E$19:E$33)</f>
        <v>1138.31</v>
      </c>
      <c r="L6" s="692">
        <v>4500</v>
      </c>
      <c r="M6" s="64">
        <f t="shared" ref="M6:M14" si="0">ROUND(K6*L6/10000,0)</f>
        <v>512</v>
      </c>
      <c r="N6" s="690">
        <f>ROUND(1-(1-0%)*(2025-N19)/60,2)</f>
        <v>0.92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0.88</v>
      </c>
      <c r="H16" s="84">
        <f>ROUND(SUMPRODUCT(H6:H13,K6:K13)/SUMPRODUCT((H6:H13&gt;0)*(K6:K13)),3)</f>
        <v>4.4999999999999998E-2</v>
      </c>
      <c r="I16" s="85"/>
      <c r="J16" s="85"/>
      <c r="K16" s="86">
        <f>SUM(K6:K15)</f>
        <v>1138.31</v>
      </c>
      <c r="L16" s="87">
        <f>ROUND(M16*10000/SUM(K6:K14),0)</f>
        <v>4498</v>
      </c>
      <c r="M16" s="87">
        <f>SUM(M6:M14)</f>
        <v>512</v>
      </c>
      <c r="N16" s="88">
        <f>ROUND(SUMPRODUCT(M6:M14,N6:N14)/M16,3)</f>
        <v>0.92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2301</v>
      </c>
      <c r="D19" s="2452"/>
      <c r="E19" s="2439"/>
      <c r="F19" s="2439"/>
      <c r="G19" s="2439"/>
      <c r="H19" s="2439"/>
      <c r="I19" s="2439"/>
      <c r="J19" s="2439"/>
      <c r="K19" s="2450"/>
      <c r="L19" s="2450"/>
      <c r="M19" s="2449"/>
      <c r="N19" s="2449">
        <v>2020</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2299</v>
      </c>
      <c r="D20" s="2452"/>
      <c r="E20" s="2439"/>
      <c r="F20" s="2439"/>
      <c r="G20" s="2439"/>
      <c r="H20" s="2439"/>
      <c r="I20" s="2439"/>
      <c r="J20" s="2439"/>
      <c r="K20" s="2450"/>
      <c r="L20" s="2450"/>
      <c r="M20" s="2449"/>
      <c r="N20" s="2449">
        <v>0.85</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3381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2309</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3183" t="s">
        <v>3466</v>
      </c>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70" t="s">
        <v>2285</v>
      </c>
      <c r="B1" s="3271"/>
      <c r="C1" s="3271"/>
      <c r="D1" s="3271"/>
      <c r="E1" s="3271"/>
      <c r="F1" s="3271"/>
      <c r="G1" s="327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6.75">
      <c r="A4" s="2248"/>
      <c r="B4" s="315" t="s">
        <v>2253</v>
      </c>
      <c r="C4" s="2269" t="s">
        <v>2254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36">
      <c r="A6" s="2248"/>
      <c r="B6" s="315" t="s">
        <v>2261</v>
      </c>
      <c r="C6" s="2271" t="s">
        <v>2256</v>
      </c>
      <c r="D6" s="2266"/>
      <c r="E6" s="2270"/>
      <c r="F6" s="315" t="s">
        <v>2262</v>
      </c>
      <c r="G6" s="2271" t="s">
        <v>2263</v>
      </c>
      <c r="H6" s="751"/>
      <c r="I6" s="751"/>
      <c r="J6" s="751"/>
      <c r="K6" s="751"/>
      <c r="L6" s="751"/>
      <c r="M6" s="751"/>
      <c r="N6" s="751"/>
      <c r="O6" s="751"/>
      <c r="P6" s="751"/>
      <c r="Q6" s="751"/>
    </row>
    <row r="7" spans="1:29" ht="24.75" thickBot="1">
      <c r="A7" s="2248"/>
      <c r="B7" s="315" t="s">
        <v>2259</v>
      </c>
      <c r="C7" s="2271" t="s">
        <v>2260</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2269</v>
      </c>
      <c r="D14" s="2266"/>
      <c r="E14" s="2287"/>
      <c r="F14" s="2287"/>
      <c r="G14" s="2262" t="s">
        <v>2270</v>
      </c>
    </row>
    <row r="15" spans="1:29" ht="51">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8.2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2274</v>
      </c>
      <c r="G17" s="2295"/>
    </row>
    <row r="18" spans="1:17" ht="38.2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5">
      <c r="A19" s="2252"/>
      <c r="B19" s="2293" t="s">
        <v>2275</v>
      </c>
      <c r="C19" s="2295"/>
      <c r="D19" s="2266"/>
      <c r="E19" s="2253"/>
      <c r="F19" s="315" t="s">
        <v>2259</v>
      </c>
      <c r="G19" s="2294" t="str">
        <f>G5</f>
        <v>估价对象所在区域公共配套设施齐备情况</v>
      </c>
    </row>
    <row r="20" spans="1:17" ht="25.5">
      <c r="A20" s="2252"/>
      <c r="B20" s="2293" t="s">
        <v>2276</v>
      </c>
      <c r="C20" s="2292" t="str">
        <f>C9</f>
        <v>区域自然环境：；人文环境；综合评价环境状况一般</v>
      </c>
      <c r="D20" s="2245"/>
      <c r="E20" s="2253"/>
      <c r="F20" s="315" t="s">
        <v>2262</v>
      </c>
      <c r="G20" s="2294" t="str">
        <f>G6</f>
        <v>估价对象所在区域基础设施水平</v>
      </c>
    </row>
    <row r="21" spans="1:17" ht="25.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E9" sqref="E9"/>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2288.9899999999998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46003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5871</v>
      </c>
      <c r="C5" s="2300">
        <f ca="1">IF(B5=D14,结果表!H102,ROUND(B5*10000/$B$1,0))</f>
        <v>0</v>
      </c>
      <c r="D5" s="2300" t="e">
        <f>ROUND(B5*10000/$B$2,0)</f>
        <v>#DIV/0!</v>
      </c>
      <c r="E5" s="2462"/>
      <c r="F5" s="2463"/>
      <c r="G5" s="2463"/>
      <c r="H5" s="2463"/>
      <c r="I5" s="2463"/>
      <c r="J5" s="2463"/>
      <c r="K5" s="2463"/>
    </row>
    <row r="6" spans="1:11" ht="16.5">
      <c r="A6" s="2300" t="s">
        <v>656</v>
      </c>
      <c r="B6" s="2300">
        <f>SUM(G14:G23)</f>
        <v>5871</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f>ROUND(E10*(1-10%),2)</f>
        <v>4.74</v>
      </c>
      <c r="F7" s="2463"/>
      <c r="G7" s="2463"/>
      <c r="H7" s="2463"/>
      <c r="I7" s="2463"/>
      <c r="J7" s="2463"/>
      <c r="K7" s="2463"/>
    </row>
    <row r="8" spans="1:11" ht="16.5">
      <c r="A8" s="2300" t="s">
        <v>587</v>
      </c>
      <c r="B8" s="2300">
        <f>SUM(I14:I23)</f>
        <v>0</v>
      </c>
      <c r="C8" s="2300" t="str">
        <f>IF(B8=I14,结果表!H112,ROUND(B8*10000/$B$1,0))</f>
        <v>——</v>
      </c>
      <c r="D8" s="2300" t="e">
        <f>ROUND(B8*10000/$B$2,0)</f>
        <v>#DIV/0!</v>
      </c>
      <c r="E8" s="2462">
        <f>ROUND(E10*(1+10%),2)</f>
        <v>5.8</v>
      </c>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5871</v>
      </c>
      <c r="C10" s="2300" t="s">
        <v>3353</v>
      </c>
      <c r="D10" s="2300" t="s">
        <v>3354</v>
      </c>
      <c r="E10" s="3137">
        <f>典型户型修正!R22</f>
        <v>5.27</v>
      </c>
      <c r="F10" s="3141" t="s">
        <v>3355</v>
      </c>
      <c r="G10" s="3138">
        <v>7.4999999999999997E-2</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典型户型修正!B22</f>
        <v>2288.9899999999998</v>
      </c>
      <c r="C14" s="2306"/>
      <c r="D14" s="2306">
        <f>B10</f>
        <v>5871</v>
      </c>
      <c r="E14" s="2306">
        <f>ROUND(D14*10000/B14,0)</f>
        <v>25649</v>
      </c>
      <c r="F14" s="2306" t="e">
        <f>ROUND(D14*10000/C14,0)</f>
        <v>#DIV/0!</v>
      </c>
      <c r="G14" s="2306">
        <f>D14</f>
        <v>5871</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9" t="str">
        <f>项目基本情况!S2</f>
        <v>北京市房地产</v>
      </c>
      <c r="B2" s="3340"/>
      <c r="C2" s="3340"/>
      <c r="D2" s="3340"/>
      <c r="E2" s="3340"/>
      <c r="F2" s="3340"/>
      <c r="G2" s="3340"/>
      <c r="H2" s="3340"/>
      <c r="I2" s="3341"/>
    </row>
    <row r="3" spans="1:12" ht="12.75">
      <c r="A3" s="3343" t="s">
        <v>1264</v>
      </c>
      <c r="B3" s="3344"/>
      <c r="C3" s="3344"/>
      <c r="D3" s="3344"/>
      <c r="E3" s="3344"/>
      <c r="F3" s="3344"/>
      <c r="G3" s="3344"/>
      <c r="H3" s="3344"/>
      <c r="I3" s="3344"/>
    </row>
    <row r="4" spans="1:12" ht="14.25">
      <c r="A4" s="1624" t="s">
        <v>1265</v>
      </c>
      <c r="B4" s="1625" t="s">
        <v>1266</v>
      </c>
      <c r="C4" s="1626"/>
      <c r="D4" s="1626"/>
      <c r="E4" s="3348" t="s">
        <v>1267</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7" t="s">
        <v>1268</v>
      </c>
      <c r="B5" s="3342">
        <v>25</v>
      </c>
      <c r="C5" s="3345"/>
      <c r="D5" s="3333"/>
      <c r="E5" s="123" t="s">
        <v>1269</v>
      </c>
      <c r="F5" s="1627"/>
      <c r="G5" s="1627"/>
      <c r="H5" s="1627"/>
      <c r="I5" s="1281"/>
    </row>
    <row r="6" spans="1:12" ht="12.75">
      <c r="A6" s="3287"/>
      <c r="B6" s="3342"/>
      <c r="C6" s="3347"/>
      <c r="D6" s="3333"/>
      <c r="E6" s="123" t="s">
        <v>1270</v>
      </c>
      <c r="F6" s="1627"/>
      <c r="G6" s="1627"/>
      <c r="H6" s="1627"/>
      <c r="I6" s="1281"/>
    </row>
    <row r="7" spans="1:12" ht="12.75">
      <c r="A7" s="3287"/>
      <c r="B7" s="3342"/>
      <c r="C7" s="3346"/>
      <c r="D7" s="3333"/>
      <c r="E7" s="123" t="s">
        <v>1271</v>
      </c>
      <c r="F7" s="1627"/>
      <c r="G7" s="1627"/>
      <c r="H7" s="1627"/>
      <c r="I7" s="1281"/>
    </row>
    <row r="8" spans="1:12" ht="12.75">
      <c r="A8" s="3287" t="s">
        <v>1272</v>
      </c>
      <c r="B8" s="3342">
        <v>15</v>
      </c>
      <c r="C8" s="3345"/>
      <c r="D8" s="3333"/>
      <c r="E8" s="123" t="s">
        <v>1273</v>
      </c>
      <c r="F8" s="1627"/>
      <c r="G8" s="1627"/>
      <c r="H8" s="1627"/>
      <c r="I8" s="1281"/>
    </row>
    <row r="9" spans="1:12" ht="12.75">
      <c r="A9" s="3287"/>
      <c r="B9" s="3342"/>
      <c r="C9" s="3346"/>
      <c r="D9" s="3333"/>
      <c r="E9" s="123" t="s">
        <v>1274</v>
      </c>
      <c r="F9" s="1627"/>
      <c r="G9" s="1627"/>
      <c r="H9" s="1627"/>
      <c r="I9" s="1281"/>
    </row>
    <row r="10" spans="1:12" ht="12.75">
      <c r="A10" s="3287" t="s">
        <v>1275</v>
      </c>
      <c r="B10" s="3342">
        <v>15</v>
      </c>
      <c r="C10" s="3345"/>
      <c r="D10" s="3333"/>
      <c r="E10" s="123" t="s">
        <v>1276</v>
      </c>
      <c r="F10" s="1627"/>
      <c r="G10" s="1627"/>
      <c r="H10" s="1627"/>
      <c r="I10" s="1281"/>
    </row>
    <row r="11" spans="1:12" ht="12.75">
      <c r="A11" s="3287"/>
      <c r="B11" s="3342"/>
      <c r="C11" s="3346"/>
      <c r="D11" s="3333"/>
      <c r="E11" s="123" t="s">
        <v>1277</v>
      </c>
      <c r="F11" s="1627"/>
      <c r="G11" s="1627"/>
      <c r="H11" s="1627"/>
      <c r="I11" s="1281"/>
    </row>
    <row r="12" spans="1:12" ht="12.75">
      <c r="A12" s="3287" t="s">
        <v>1278</v>
      </c>
      <c r="B12" s="3342">
        <v>15</v>
      </c>
      <c r="C12" s="3345"/>
      <c r="D12" s="3333"/>
      <c r="E12" s="123" t="s">
        <v>1279</v>
      </c>
      <c r="F12" s="1627"/>
      <c r="G12" s="1627"/>
      <c r="H12" s="1627"/>
      <c r="I12" s="1281"/>
    </row>
    <row r="13" spans="1:12" ht="12.75">
      <c r="A13" s="3287"/>
      <c r="B13" s="3342"/>
      <c r="C13" s="3346"/>
      <c r="D13" s="3333"/>
      <c r="E13" s="123" t="s">
        <v>1280</v>
      </c>
      <c r="F13" s="1627"/>
      <c r="G13" s="1627"/>
      <c r="H13" s="1627"/>
      <c r="I13" s="1281"/>
    </row>
    <row r="14" spans="1:12" ht="12.75">
      <c r="A14" s="3287" t="s">
        <v>1281</v>
      </c>
      <c r="B14" s="3342">
        <v>30</v>
      </c>
      <c r="C14" s="3345"/>
      <c r="D14" s="3333"/>
      <c r="E14" s="123" t="s">
        <v>1282</v>
      </c>
      <c r="F14" s="1627"/>
      <c r="G14" s="1627"/>
      <c r="H14" s="1627"/>
      <c r="I14" s="1281"/>
    </row>
    <row r="15" spans="1:12" ht="12.75">
      <c r="A15" s="3287"/>
      <c r="B15" s="3342"/>
      <c r="C15" s="3347"/>
      <c r="D15" s="3333"/>
      <c r="E15" s="123" t="s">
        <v>1283</v>
      </c>
      <c r="F15" s="1627"/>
      <c r="G15" s="1627"/>
      <c r="H15" s="1627"/>
      <c r="I15" s="1281"/>
    </row>
    <row r="16" spans="1:12" ht="12.75">
      <c r="A16" s="3287"/>
      <c r="B16" s="3342"/>
      <c r="C16" s="3346"/>
      <c r="D16" s="3333"/>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64" t="s">
        <v>2130</v>
      </c>
      <c r="F18" s="3365"/>
      <c r="G18" s="3365"/>
      <c r="H18" s="3365"/>
      <c r="I18" s="3365"/>
      <c r="K18" s="294" t="s">
        <v>1289</v>
      </c>
      <c r="L18" s="294">
        <f>IF(C1="",'数据-汇总表'!E3,SUMIF(项目类型,C1,'数据-汇总表'!E17:E26)+SUMIF(项目类型,C1,'数据-汇总表'!I17:I26))</f>
        <v>1138.31</v>
      </c>
      <c r="M18" s="294">
        <f>IF(C1="",'数据-汇总表'!E3,SUMIF(项目类型,C1,'数据-汇总表'!E17:E26))</f>
        <v>1138.31</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57" t="s">
        <v>1299</v>
      </c>
      <c r="B24" s="1631" t="s">
        <v>1291</v>
      </c>
      <c r="C24" s="128">
        <f>IF(B30=0,0,D30)</f>
        <v>0</v>
      </c>
      <c r="D24" s="1637"/>
      <c r="E24" s="121"/>
      <c r="F24" s="121"/>
      <c r="G24" s="121"/>
      <c r="H24" s="121"/>
      <c r="I24" s="121"/>
    </row>
    <row r="25" spans="1:36" ht="14.25">
      <c r="A25" s="33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4" t="s">
        <v>1312</v>
      </c>
      <c r="B36" s="1652" t="s">
        <v>1313</v>
      </c>
      <c r="C36" s="137"/>
      <c r="D36" s="1653"/>
      <c r="E36" s="1567"/>
      <c r="F36" s="1654"/>
      <c r="G36" s="121"/>
      <c r="H36" s="121"/>
      <c r="I36" s="121"/>
    </row>
    <row r="37" spans="1:15" ht="15.75" thickBot="1">
      <c r="A37" s="3335"/>
      <c r="B37" s="1555" t="s">
        <v>1314</v>
      </c>
      <c r="C37" s="139"/>
      <c r="D37" s="1071"/>
      <c r="E37" s="1071"/>
      <c r="F37" s="1654"/>
      <c r="G37" s="121"/>
      <c r="H37" s="121"/>
      <c r="I37" s="121"/>
    </row>
    <row r="38" spans="1:15" ht="15.75" thickBot="1">
      <c r="A38" s="333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4" t="s">
        <v>1326</v>
      </c>
      <c r="B45" s="3355"/>
      <c r="C45" s="3356"/>
      <c r="D45" s="147" t="e">
        <f ca="1">ROUND(H101*F45,0)</f>
        <v>#REF!</v>
      </c>
      <c r="E45" s="148" t="s">
        <v>1327</v>
      </c>
      <c r="F45" s="149">
        <v>1</v>
      </c>
      <c r="G45" s="150" t="s">
        <v>1328</v>
      </c>
      <c r="H45" s="121"/>
      <c r="I45" s="121"/>
      <c r="J45" s="3274" t="s">
        <v>1329</v>
      </c>
      <c r="K45" s="3274"/>
      <c r="L45" s="3274"/>
      <c r="M45" s="3274"/>
      <c r="N45" s="3274"/>
      <c r="O45" s="3274"/>
    </row>
    <row r="46" spans="1:15" ht="14.25" customHeight="1">
      <c r="A46" s="3351" t="s">
        <v>1330</v>
      </c>
      <c r="B46" s="3352"/>
      <c r="C46" s="3352"/>
      <c r="D46" s="3352"/>
      <c r="E46" s="3352"/>
      <c r="F46" s="3352"/>
      <c r="G46" s="3353"/>
      <c r="H46" s="1668"/>
      <c r="I46" s="151"/>
      <c r="J46" s="2310">
        <v>1</v>
      </c>
      <c r="K46" s="3275" t="s">
        <v>1331</v>
      </c>
      <c r="L46" s="3275"/>
      <c r="M46" s="3276"/>
      <c r="N46" s="3276"/>
      <c r="O46" s="3276"/>
    </row>
    <row r="47" spans="1:15" ht="12" customHeight="1">
      <c r="A47" s="152" t="s">
        <v>1332</v>
      </c>
      <c r="B47" s="153"/>
      <c r="C47" s="154"/>
      <c r="D47" s="1024" t="s">
        <v>1333</v>
      </c>
      <c r="E47" s="294" t="s">
        <v>1334</v>
      </c>
      <c r="F47" s="155" t="s">
        <v>1335</v>
      </c>
      <c r="G47" s="2333" t="s">
        <v>1336</v>
      </c>
      <c r="H47" s="2334"/>
      <c r="I47" s="151"/>
      <c r="J47" s="2310">
        <v>2</v>
      </c>
      <c r="K47" s="3275" t="s">
        <v>1337</v>
      </c>
      <c r="L47" s="3275"/>
      <c r="M47" s="3277">
        <f>'数据-取费表'!B2</f>
        <v>46003</v>
      </c>
      <c r="N47" s="3277"/>
      <c r="O47" s="3277"/>
    </row>
    <row r="48" spans="1:15" ht="25.5">
      <c r="A48" s="3337" t="s">
        <v>1338</v>
      </c>
      <c r="B48" s="3338"/>
      <c r="C48" s="3338"/>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75" t="s">
        <v>1340</v>
      </c>
      <c r="L48" s="3275"/>
      <c r="M48" s="3278" t="e">
        <f ca="1">H101</f>
        <v>#REF!</v>
      </c>
      <c r="N48" s="3278"/>
      <c r="O48" s="3278"/>
    </row>
    <row r="49" spans="1:35" ht="25.5" customHeight="1">
      <c r="A49" s="2152" t="s">
        <v>1341</v>
      </c>
      <c r="B49" s="3323" t="s">
        <v>1342</v>
      </c>
      <c r="C49" s="3323"/>
      <c r="D49" s="1478">
        <v>0</v>
      </c>
      <c r="E49" s="316" t="s">
        <v>1343</v>
      </c>
      <c r="F49" s="2233" t="s">
        <v>28</v>
      </c>
      <c r="G49" s="3306"/>
      <c r="H49" s="2134" t="s">
        <v>2133</v>
      </c>
      <c r="I49" s="2135"/>
      <c r="J49" s="2310">
        <v>4</v>
      </c>
      <c r="K49" s="3275" t="str">
        <f>IF(项目基本情况!E8="房地产抵押价值","房地产抵押价值","抵押担保权已注销时的房地产抵押价值")</f>
        <v>抵押担保权已注销时的房地产抵押价值</v>
      </c>
      <c r="L49" s="3275"/>
      <c r="M49" s="3278" t="str">
        <f>IF(项目基本情况!E8="房地产抵押价值",H107,H109)</f>
        <v>——</v>
      </c>
      <c r="N49" s="3278"/>
      <c r="O49" s="3278"/>
    </row>
    <row r="50" spans="1:35" ht="25.5" customHeight="1">
      <c r="A50" s="2338"/>
      <c r="B50" s="3323" t="s">
        <v>1344</v>
      </c>
      <c r="C50" s="3323"/>
      <c r="D50" s="2189"/>
      <c r="E50" s="323"/>
      <c r="F50" s="2233"/>
      <c r="G50" s="3307"/>
      <c r="H50" s="2136" t="s">
        <v>2134</v>
      </c>
      <c r="I50" s="2135"/>
      <c r="J50" s="3274" t="s">
        <v>1345</v>
      </c>
      <c r="K50" s="3274"/>
      <c r="L50" s="3274"/>
      <c r="M50" s="3274"/>
      <c r="N50" s="3274"/>
      <c r="O50" s="3274"/>
    </row>
    <row r="51" spans="1:35" ht="20.45" customHeight="1">
      <c r="A51" s="2339"/>
      <c r="B51" s="3323" t="s">
        <v>1346</v>
      </c>
      <c r="C51" s="3323"/>
      <c r="D51" s="1024"/>
      <c r="E51" s="319"/>
      <c r="F51" s="2233"/>
      <c r="G51" s="3308"/>
      <c r="H51" s="2136" t="s">
        <v>2135</v>
      </c>
      <c r="I51" s="2135"/>
      <c r="J51" s="2311" t="s">
        <v>1347</v>
      </c>
      <c r="K51" s="3275" t="s">
        <v>1348</v>
      </c>
      <c r="L51" s="3275"/>
      <c r="M51" s="2311" t="s">
        <v>1349</v>
      </c>
      <c r="N51" s="2311" t="s">
        <v>1350</v>
      </c>
      <c r="O51" s="2311" t="s">
        <v>1351</v>
      </c>
    </row>
    <row r="52" spans="1:35" ht="24" customHeight="1">
      <c r="A52" s="2153" t="s">
        <v>1352</v>
      </c>
      <c r="B52" s="3323" t="s">
        <v>1353</v>
      </c>
      <c r="C52" s="3323"/>
      <c r="D52" s="1024" t="e">
        <f ca="1">ROUND(D45*'数据-取费表'!B41/(1+'数据-取费表'!C42),0)</f>
        <v>#REF!</v>
      </c>
      <c r="E52" s="1256" t="s">
        <v>1354</v>
      </c>
      <c r="F52" s="2340">
        <f>'数据-取费表'!B41</f>
        <v>5.5000000000000007E-2</v>
      </c>
      <c r="G52" s="2341"/>
      <c r="H52" s="2331"/>
      <c r="I52" s="1669"/>
      <c r="J52" s="2310">
        <v>1</v>
      </c>
      <c r="K52" s="3300" t="s">
        <v>1355</v>
      </c>
      <c r="L52" s="3300"/>
      <c r="M52" s="2312" t="b">
        <f>D48</f>
        <v>0</v>
      </c>
      <c r="N52" s="2310" t="str">
        <f>E48</f>
        <v>销售额×税（费）率</v>
      </c>
      <c r="O52" s="2313">
        <f>F48</f>
        <v>5.5000000000000007E-2</v>
      </c>
    </row>
    <row r="53" spans="1:35" ht="12" customHeight="1">
      <c r="A53" s="2153" t="s">
        <v>1356</v>
      </c>
      <c r="B53" s="3324" t="s">
        <v>2290</v>
      </c>
      <c r="C53" s="3325"/>
      <c r="D53" s="1024" t="e">
        <f ca="1">ROUND(D45*'数据-取费表'!B41/(1+'数据-取费表'!C42),0)</f>
        <v>#REF!</v>
      </c>
      <c r="E53" s="1256" t="s">
        <v>1354</v>
      </c>
      <c r="F53" s="2340">
        <f>'数据-取费表'!B41</f>
        <v>5.5000000000000007E-2</v>
      </c>
      <c r="G53" s="2341"/>
      <c r="H53" s="2331"/>
      <c r="I53" s="1669"/>
      <c r="J53" s="2310">
        <v>2</v>
      </c>
      <c r="K53" s="3300" t="s">
        <v>1357</v>
      </c>
      <c r="L53" s="3300"/>
      <c r="M53" s="2312" t="e">
        <f t="shared" ref="M53:O54" ca="1" si="0">D55</f>
        <v>#REF!</v>
      </c>
      <c r="N53" s="2310" t="str">
        <f t="shared" si="0"/>
        <v>销售额×税（费）率</v>
      </c>
      <c r="O53" s="2313" t="str">
        <f t="shared" si="0"/>
        <v>免征</v>
      </c>
    </row>
    <row r="54" spans="1:35" ht="12" customHeight="1">
      <c r="A54" s="2153" t="s">
        <v>1358</v>
      </c>
      <c r="B54" s="3324" t="s">
        <v>2291</v>
      </c>
      <c r="C54" s="3325"/>
      <c r="D54" s="1024" t="e">
        <f ca="1">C68</f>
        <v>#REF!</v>
      </c>
      <c r="E54" s="319" t="s">
        <v>1359</v>
      </c>
      <c r="F54" s="2340">
        <f>'数据-取费表'!B41</f>
        <v>5.5000000000000007E-2</v>
      </c>
      <c r="G54" s="2341"/>
      <c r="H54" s="2342"/>
      <c r="I54" s="1669"/>
      <c r="J54" s="2310">
        <v>3</v>
      </c>
      <c r="K54" s="3300" t="s">
        <v>1360</v>
      </c>
      <c r="L54" s="3300"/>
      <c r="M54" s="2312" t="e">
        <f t="shared" ca="1" si="0"/>
        <v>#REF!</v>
      </c>
      <c r="N54" s="2310" t="str">
        <f t="shared" si="0"/>
        <v>增值额×税（费）率</v>
      </c>
      <c r="O54" s="2314" t="str">
        <f t="shared" si="0"/>
        <v>免征</v>
      </c>
    </row>
    <row r="55" spans="1:35" ht="24" customHeight="1">
      <c r="A55" s="3360" t="s">
        <v>1361</v>
      </c>
      <c r="B55" s="3338"/>
      <c r="C55" s="3338"/>
      <c r="D55" s="12" t="e">
        <f ca="1">IF(H55="个人住宅",0,ROUND(D45*I55,0))</f>
        <v>#REF!</v>
      </c>
      <c r="E55" s="1256" t="s">
        <v>1362</v>
      </c>
      <c r="F55" s="2340" t="str">
        <f>IF(H55="正常",I55,"免征")</f>
        <v>免征</v>
      </c>
      <c r="G55" s="2341"/>
      <c r="H55" s="2337"/>
      <c r="I55" s="157">
        <f>'数据-取费表'!B49</f>
        <v>5.0000000000000001E-4</v>
      </c>
      <c r="J55" s="2310">
        <f>IF(H59="非个人房产","",4)</f>
        <v>4</v>
      </c>
      <c r="K55" s="3300" t="str">
        <f>IF(H59="非个人房产","——","个人所得税")</f>
        <v>个人所得税</v>
      </c>
      <c r="L55" s="3300"/>
      <c r="M55" s="2315" t="e">
        <f ca="1">D59</f>
        <v>#REF!</v>
      </c>
      <c r="N55" s="1883" t="str">
        <f>E59</f>
        <v>差额计税</v>
      </c>
      <c r="O55" s="2316">
        <f>F59</f>
        <v>0.01</v>
      </c>
    </row>
    <row r="56" spans="1:35" ht="24.75">
      <c r="A56" s="3360" t="s">
        <v>1363</v>
      </c>
      <c r="B56" s="3338"/>
      <c r="C56" s="3338"/>
      <c r="D56" s="12" t="e">
        <f ca="1">IF(H56="个人住宅",D57,D58)</f>
        <v>#REF!</v>
      </c>
      <c r="E56" s="1256" t="s">
        <v>1364</v>
      </c>
      <c r="F56" s="2340" t="str">
        <f>IF(H56="正常",F58,"免征")</f>
        <v>免征</v>
      </c>
      <c r="G56" s="2343" t="s">
        <v>1365</v>
      </c>
      <c r="H56" s="2344"/>
      <c r="I56" s="1670"/>
      <c r="J56" s="2310" t="str">
        <f>IF(项目基本情况!K6="上海银行",IF(J55="",4,J55+1),"")</f>
        <v/>
      </c>
      <c r="K56" s="3281" t="str">
        <f>IF(项目基本情况!K6="上海银行","其他处置费用","")</f>
        <v/>
      </c>
      <c r="L56" s="3282"/>
      <c r="M56" s="2312" t="str">
        <f>IF(项目基本情况!K6="上海银行",M69,"")</f>
        <v/>
      </c>
      <c r="N56" s="3281" t="str">
        <f>IF(项目基本情况!K6="上海银行","包含处置中涉及的律师、诉讼、拍卖、评估等费用","")</f>
        <v/>
      </c>
      <c r="O56" s="3284"/>
    </row>
    <row r="57" spans="1:35" ht="12.75">
      <c r="A57" s="2153" t="s">
        <v>1341</v>
      </c>
      <c r="B57" s="3324" t="s">
        <v>1366</v>
      </c>
      <c r="C57" s="3325"/>
      <c r="D57" s="1478">
        <v>0</v>
      </c>
      <c r="E57" s="316" t="s">
        <v>1343</v>
      </c>
      <c r="F57" s="294"/>
      <c r="G57" s="2341"/>
      <c r="H57" s="2345"/>
      <c r="I57" s="1670"/>
      <c r="J57" s="3300">
        <f>IF(AND(J55="",J56=""),4,IF(项目基本情况!K6="上海银行",结果表!J56+1,结果表!J55+1))</f>
        <v>5</v>
      </c>
      <c r="K57" s="3300" t="s">
        <v>1367</v>
      </c>
      <c r="L57" s="2317" t="s">
        <v>1368</v>
      </c>
      <c r="M57" s="2318"/>
      <c r="N57" s="2319">
        <f ca="1">SUMIF(M52:M56,"&lt;9e307")</f>
        <v>0</v>
      </c>
      <c r="O57" s="2320"/>
      <c r="P57" s="2465" t="e">
        <f ca="1">N57/M49</f>
        <v>#VALUE!</v>
      </c>
    </row>
    <row r="58" spans="1:35" ht="24.75">
      <c r="A58" s="2153" t="s">
        <v>1352</v>
      </c>
      <c r="B58" s="3324" t="s">
        <v>1369</v>
      </c>
      <c r="C58" s="3323"/>
      <c r="D58" s="12" t="e">
        <f ca="1">IF(H58="转让取得",C81,C97)</f>
        <v>#REF!</v>
      </c>
      <c r="E58" s="1256" t="s">
        <v>1364</v>
      </c>
      <c r="F58" s="294" t="s">
        <v>28</v>
      </c>
      <c r="G58" s="2341"/>
      <c r="H58" s="2344"/>
      <c r="I58" s="1670"/>
      <c r="J58" s="3300"/>
      <c r="K58" s="3300"/>
      <c r="L58" s="2317" t="s">
        <v>1370</v>
      </c>
      <c r="M58" s="2321"/>
      <c r="N58" s="2322" t="str">
        <f ca="1">NUMBERSTRING(INT(N57*10000),2)&amp;"元整"</f>
        <v>零元整</v>
      </c>
      <c r="O58" s="2323"/>
    </row>
    <row r="59" spans="1:35" ht="24.75" thickBot="1">
      <c r="A59" s="3304" t="s">
        <v>1371</v>
      </c>
      <c r="B59" s="3305"/>
      <c r="C59" s="3305"/>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302">
        <f>J57+1</f>
        <v>6</v>
      </c>
      <c r="K59" s="3300" t="s">
        <v>1372</v>
      </c>
      <c r="L59" s="2310" t="s">
        <v>1368</v>
      </c>
      <c r="M59" s="2324"/>
      <c r="N59" s="2325" t="e">
        <f ca="1">M49-N57</f>
        <v>#VALUE!</v>
      </c>
      <c r="O59" s="2326"/>
    </row>
    <row r="60" spans="1:35" ht="12" customHeight="1">
      <c r="A60" s="1671"/>
      <c r="B60" s="646"/>
      <c r="C60" s="646"/>
      <c r="D60" s="646"/>
      <c r="E60" s="1466"/>
      <c r="F60" s="1670"/>
      <c r="G60" s="1670"/>
      <c r="H60" s="151"/>
      <c r="I60" s="121"/>
      <c r="J60" s="3303"/>
      <c r="K60" s="3300"/>
      <c r="L60" s="2317" t="s">
        <v>1370</v>
      </c>
      <c r="M60" s="2321"/>
      <c r="N60" s="2322" t="e">
        <f ca="1">NUMBERSTRING(INT(N59*10000),2)&amp;"元整"</f>
        <v>#VALUE!</v>
      </c>
      <c r="O60" s="2323"/>
    </row>
    <row r="61" spans="1:35" ht="13.5" thickBot="1">
      <c r="A61" s="3359" t="s">
        <v>1373</v>
      </c>
      <c r="B61" s="3359"/>
      <c r="C61" s="3359"/>
      <c r="D61" s="3359"/>
      <c r="E61" s="3359"/>
      <c r="F61" s="1670"/>
      <c r="G61" s="1670"/>
      <c r="H61" s="151"/>
      <c r="I61" s="121"/>
      <c r="J61" s="2310">
        <f>J59+1</f>
        <v>7</v>
      </c>
      <c r="K61" s="3300" t="s">
        <v>1374</v>
      </c>
      <c r="L61" s="3300"/>
      <c r="M61" s="2327"/>
      <c r="N61" s="2328" t="e">
        <f ca="1">ROUND(N59*10000/'数据-汇总表'!E3,0)</f>
        <v>#VALUE!</v>
      </c>
      <c r="O61" s="2329"/>
    </row>
    <row r="62" spans="1:35" ht="12.75">
      <c r="A62" s="3319" t="s">
        <v>1375</v>
      </c>
      <c r="B62" s="3320"/>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8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8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8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83"/>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8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28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83"/>
      <c r="K69" s="1245" t="s">
        <v>1393</v>
      </c>
      <c r="L69" s="1245"/>
      <c r="M69" s="294" t="e">
        <f>ROUND(SUM(M63:M68),0)</f>
        <v>#VALUE!</v>
      </c>
      <c r="N69" s="2332" t="e">
        <f>M69/M49</f>
        <v>#VALUE!</v>
      </c>
      <c r="Z69" s="1623"/>
      <c r="AI69" s="1561"/>
    </row>
    <row r="70" spans="1:35" s="642" customFormat="1" ht="15" thickBot="1">
      <c r="A70" s="3327" t="s">
        <v>1394</v>
      </c>
      <c r="B70" s="3328"/>
      <c r="C70" s="3328"/>
      <c r="D70" s="3328"/>
      <c r="E70" s="3328"/>
      <c r="F70" s="3328"/>
      <c r="G70" s="3328"/>
      <c r="H70" s="332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9" t="s">
        <v>1375</v>
      </c>
      <c r="B71" s="332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4" t="s">
        <v>1402</v>
      </c>
      <c r="F76" s="3323"/>
      <c r="G76" s="3323"/>
      <c r="H76" s="332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316" t="s">
        <v>1406</v>
      </c>
      <c r="F78" s="3317"/>
      <c r="G78" s="3317"/>
      <c r="H78" s="331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7" t="s">
        <v>1410</v>
      </c>
      <c r="B83" s="3328"/>
      <c r="C83" s="3328"/>
      <c r="D83" s="3328"/>
      <c r="E83" s="3328"/>
      <c r="F83" s="3328"/>
      <c r="G83" s="3328"/>
      <c r="H83" s="332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9" t="s">
        <v>1375</v>
      </c>
      <c r="B84" s="332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85" t="s">
        <v>2128</v>
      </c>
      <c r="H90" s="3286"/>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6" t="s">
        <v>1419</v>
      </c>
      <c r="F91" s="3317"/>
      <c r="G91" s="331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6" t="s">
        <v>1422</v>
      </c>
      <c r="F92" s="3317"/>
      <c r="G92" s="3317"/>
      <c r="H92" s="3318"/>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316" t="s">
        <v>1406</v>
      </c>
      <c r="F93" s="3317"/>
      <c r="G93" s="3317"/>
      <c r="H93" s="331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61" t="s">
        <v>1426</v>
      </c>
      <c r="F94" s="3362"/>
      <c r="G94" s="3362"/>
      <c r="H94" s="33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301"/>
      <c r="E100" s="3267" t="s">
        <v>1429</v>
      </c>
      <c r="F100" s="3267"/>
      <c r="G100" s="3267"/>
      <c r="H100" s="3301"/>
      <c r="I100" s="121"/>
    </row>
    <row r="101" spans="1:35" ht="18.75" customHeight="1">
      <c r="A101" s="3309" t="s">
        <v>1430</v>
      </c>
      <c r="B101" s="3310"/>
      <c r="C101" s="2371">
        <f>C4</f>
        <v>0</v>
      </c>
      <c r="D101" s="2372">
        <f>D4</f>
        <v>0</v>
      </c>
      <c r="E101" s="3279" t="s">
        <v>1431</v>
      </c>
      <c r="F101" s="3280"/>
      <c r="G101" s="1687" t="s">
        <v>1432</v>
      </c>
      <c r="H101" s="2381" t="e">
        <f ca="1">H118</f>
        <v>#REF!</v>
      </c>
      <c r="I101" s="121"/>
    </row>
    <row r="102" spans="1:35" ht="18.75" customHeight="1">
      <c r="A102" s="3311" t="s">
        <v>1433</v>
      </c>
      <c r="B102" s="2370" t="s">
        <v>1432</v>
      </c>
      <c r="C102" s="2371" t="e">
        <f ca="1">IF(D32="楼面单价",ROUND(C19,0),C19)</f>
        <v>#REF!</v>
      </c>
      <c r="D102" s="2372" t="e">
        <f ca="1">IF(D32="楼面单价",ROUND(D19,0),D19)</f>
        <v>#REF!</v>
      </c>
      <c r="E102" s="3279"/>
      <c r="F102" s="3280"/>
      <c r="G102" s="1687" t="s">
        <v>1434</v>
      </c>
      <c r="H102" s="2341" t="e">
        <f ca="1">I118</f>
        <v>#REF!</v>
      </c>
      <c r="I102" s="121"/>
    </row>
    <row r="103" spans="1:35" ht="42.75" customHeight="1">
      <c r="A103" s="3311"/>
      <c r="B103" s="2370" t="s">
        <v>1434</v>
      </c>
      <c r="C103" s="2373" t="e">
        <f ca="1">C20</f>
        <v>#REF!</v>
      </c>
      <c r="D103" s="2374" t="e">
        <f ca="1">D20</f>
        <v>#REF!</v>
      </c>
      <c r="E103" s="3272" t="s">
        <v>1435</v>
      </c>
      <c r="F103" s="3273"/>
      <c r="G103" s="1688" t="s">
        <v>1436</v>
      </c>
      <c r="H103" s="2381">
        <f>IF(D36="正常操作",H104+H105+H106,H105+H106)</f>
        <v>0</v>
      </c>
      <c r="I103" s="121"/>
    </row>
    <row r="104" spans="1:35" ht="18.75" customHeight="1">
      <c r="A104" s="3311"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21"/>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2" t="str">
        <f>IF(项目基本情况!E8="已注销","——","3.房地产抵押价值")</f>
        <v>3.房地产抵押价值</v>
      </c>
      <c r="F107" s="3280"/>
      <c r="G107" s="1687" t="s">
        <v>1432</v>
      </c>
      <c r="H107" s="2381" t="e">
        <f ca="1">IF(E107="——","——",H101-H103)</f>
        <v>#REF!</v>
      </c>
      <c r="I107" s="121"/>
    </row>
    <row r="108" spans="1:35" ht="18.75" customHeight="1">
      <c r="A108" s="121"/>
      <c r="B108" s="121"/>
      <c r="C108" s="121"/>
      <c r="D108" s="121"/>
      <c r="E108" s="3312"/>
      <c r="F108" s="3280"/>
      <c r="G108" s="1687" t="s">
        <v>1434</v>
      </c>
      <c r="H108" s="2341">
        <f ca="1">IF(H107=H101,H102,ROUND(H107*10000/'数据-汇总表'!E3,0))</f>
        <v>0</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280"/>
      <c r="G109" s="1687" t="s">
        <v>1432</v>
      </c>
      <c r="H109" s="2384" t="str">
        <f>IF(E109="——","——",H101-H105-H106)</f>
        <v>——</v>
      </c>
      <c r="I109" s="121"/>
    </row>
    <row r="110" spans="1:35" ht="18.75" customHeight="1">
      <c r="A110" s="121"/>
      <c r="B110" s="121"/>
      <c r="C110" s="121"/>
      <c r="D110" s="121"/>
      <c r="E110" s="3312"/>
      <c r="F110" s="3280"/>
      <c r="G110" s="1687" t="s">
        <v>1434</v>
      </c>
      <c r="H110" s="2341"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99"/>
      <c r="G111" s="1687" t="s">
        <v>1432</v>
      </c>
      <c r="H111" s="2381" t="str">
        <f>IF(E111="——","——",N59)</f>
        <v>——</v>
      </c>
      <c r="I111" s="121"/>
    </row>
    <row r="112" spans="1:35" ht="18.75" customHeight="1" thickBot="1">
      <c r="A112" s="121"/>
      <c r="B112" s="121"/>
      <c r="C112" s="121"/>
      <c r="D112" s="121"/>
      <c r="E112" s="3314"/>
      <c r="F112" s="3315"/>
      <c r="G112" s="1690" t="s">
        <v>1434</v>
      </c>
      <c r="H112" s="2385" t="str">
        <f>IF(E111="——","——",N61)</f>
        <v>——</v>
      </c>
      <c r="I112" s="121"/>
    </row>
    <row r="113" spans="1:27" ht="18.75" customHeight="1">
      <c r="A113" s="121"/>
      <c r="B113" s="121"/>
      <c r="C113" s="121"/>
      <c r="D113" s="121"/>
      <c r="E113" s="3322" t="s">
        <v>1440</v>
      </c>
      <c r="F113" s="3322"/>
      <c r="G113" s="3322"/>
      <c r="H113" s="3322"/>
      <c r="I113" s="121"/>
    </row>
    <row r="114" spans="1:27" ht="3.75" customHeight="1">
      <c r="A114" s="646"/>
      <c r="B114" s="646"/>
      <c r="C114" s="646"/>
      <c r="D114" s="646"/>
      <c r="E114" s="1671"/>
      <c r="F114" s="1671"/>
      <c r="G114" s="1671"/>
      <c r="H114" s="1671"/>
      <c r="I114" s="646"/>
    </row>
    <row r="115" spans="1:27" ht="18.75" customHeight="1">
      <c r="A115" s="3330" t="s">
        <v>1442</v>
      </c>
      <c r="B115" s="3331"/>
      <c r="C115" s="3331"/>
      <c r="D115" s="3331"/>
      <c r="E115" s="3331"/>
      <c r="F115" s="3331"/>
      <c r="G115" s="3331"/>
      <c r="H115" s="3331"/>
      <c r="I115" s="3332"/>
    </row>
    <row r="116" spans="1:27" ht="27" customHeight="1">
      <c r="A116" s="3287" t="s">
        <v>1443</v>
      </c>
      <c r="B116" s="3291" t="s">
        <v>1444</v>
      </c>
      <c r="C116" s="3291" t="s">
        <v>1445</v>
      </c>
      <c r="D116" s="3297" t="s">
        <v>1446</v>
      </c>
      <c r="E116" s="3298"/>
      <c r="F116" s="3329" t="s">
        <v>1447</v>
      </c>
      <c r="G116" s="3329"/>
      <c r="H116" s="3287" t="s">
        <v>1448</v>
      </c>
      <c r="I116" s="3287"/>
    </row>
    <row r="117" spans="1:27" ht="18.75" customHeight="1">
      <c r="A117" s="3287"/>
      <c r="B117" s="3292"/>
      <c r="C117" s="329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1138.31</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7" t="s">
        <v>1452</v>
      </c>
      <c r="B119" s="3287"/>
      <c r="C119" s="3287"/>
      <c r="D119" s="3293" t="e">
        <f ca="1">NUMBERSTRING(INT(D118*10000),2)&amp;"元整"</f>
        <v>#REF!</v>
      </c>
      <c r="E119" s="3294"/>
      <c r="F119" s="3293" t="e">
        <f ca="1">NUMBERSTRING(INT(F118*10000),2)&amp;"元整"</f>
        <v>#REF!</v>
      </c>
      <c r="G119" s="3294"/>
      <c r="H119" s="3293" t="e">
        <f ca="1">NUMBERSTRING(INT(H118*10000),2)&amp;"元整"</f>
        <v>#REF!</v>
      </c>
      <c r="I119" s="3294"/>
    </row>
    <row r="120" spans="1:27" ht="18.75" customHeight="1">
      <c r="A120" s="3288" t="str">
        <f>IF(项目基本情况!B9="房地产市场价值","",MID(E103,3,LEN(E103)-2))</f>
        <v/>
      </c>
      <c r="B120" s="3289"/>
      <c r="C120" s="3290"/>
      <c r="D120" s="3288">
        <f>H103</f>
        <v>0</v>
      </c>
      <c r="E120" s="3289"/>
      <c r="F120" s="3289"/>
      <c r="G120" s="3289"/>
      <c r="H120" s="3289"/>
      <c r="I120" s="329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3" t="s">
        <v>1452</v>
      </c>
      <c r="B121" s="3295"/>
      <c r="C121" s="3294"/>
      <c r="D121" s="3293" t="str">
        <f>IF(D120=0,"零元整",NUMBERSTRING(INT(D120*10000),2)&amp;"元整")</f>
        <v>零元整</v>
      </c>
      <c r="E121" s="3295"/>
      <c r="F121" s="3295"/>
      <c r="G121" s="3295"/>
      <c r="H121" s="3295"/>
      <c r="I121" s="3294"/>
      <c r="AA121" s="684"/>
    </row>
    <row r="122" spans="1:27" ht="18.75" customHeight="1">
      <c r="A122" s="3299" t="str">
        <f>IF(项目基本情况!B9="房地产市场价值","",MID(E107,3,LEN(E107)-2))</f>
        <v/>
      </c>
      <c r="B122" s="3299"/>
      <c r="C122" s="3299"/>
      <c r="D122" s="3288" t="e">
        <f ca="1">H107</f>
        <v>#REF!</v>
      </c>
      <c r="E122" s="3289"/>
      <c r="F122" s="3289"/>
      <c r="G122" s="3289"/>
      <c r="H122" s="3289"/>
      <c r="I122" s="3290"/>
      <c r="AA122" s="684"/>
    </row>
    <row r="123" spans="1:27" ht="18.75" customHeight="1">
      <c r="A123" s="3287" t="s">
        <v>1452</v>
      </c>
      <c r="B123" s="3287"/>
      <c r="C123" s="3287"/>
      <c r="D123" s="3293" t="e">
        <f ca="1">NUMBERSTRING(INT(D122*10000),2)&amp;"元整"</f>
        <v>#REF!</v>
      </c>
      <c r="E123" s="3295"/>
      <c r="F123" s="3295"/>
      <c r="G123" s="3295"/>
      <c r="H123" s="3295"/>
      <c r="I123" s="3294"/>
      <c r="AA123" s="684"/>
    </row>
    <row r="124" spans="1:27" ht="18.75" customHeight="1">
      <c r="A124" s="3299" t="str">
        <f>IF(项目基本情况!B9="房地产市场价值","",MID(E109,3,LEN(E109)-2))</f>
        <v/>
      </c>
      <c r="B124" s="3299"/>
      <c r="C124" s="3299"/>
      <c r="D124" s="3288" t="str">
        <f>H109</f>
        <v>——</v>
      </c>
      <c r="E124" s="3289"/>
      <c r="F124" s="3289"/>
      <c r="G124" s="3289"/>
      <c r="H124" s="3289"/>
      <c r="I124" s="3290"/>
      <c r="AA124" s="684"/>
    </row>
    <row r="125" spans="1:27" ht="18.75" customHeight="1">
      <c r="A125" s="3287" t="s">
        <v>1452</v>
      </c>
      <c r="B125" s="3287"/>
      <c r="C125" s="3287"/>
      <c r="D125" s="3293" t="e">
        <f>NUMBERSTRING(INT(D124*10000),2)&amp;"元整"</f>
        <v>#VALUE!</v>
      </c>
      <c r="E125" s="3295"/>
      <c r="F125" s="3295"/>
      <c r="G125" s="3295"/>
      <c r="H125" s="3295"/>
      <c r="I125" s="3294"/>
      <c r="AA125" s="684"/>
    </row>
    <row r="126" spans="1:27" ht="18.75" customHeight="1">
      <c r="A126" s="3299" t="str">
        <f>IF(项目基本情况!B9="房地产市场价值","",MID(E111,3,LEN(E111)-2))</f>
        <v/>
      </c>
      <c r="B126" s="3299"/>
      <c r="C126" s="3299"/>
      <c r="D126" s="3288" t="str">
        <f>H111</f>
        <v>——</v>
      </c>
      <c r="E126" s="3289"/>
      <c r="F126" s="3289"/>
      <c r="G126" s="3289"/>
      <c r="H126" s="3289"/>
      <c r="I126" s="3290"/>
      <c r="AA126" s="684"/>
    </row>
    <row r="127" spans="1:27" ht="18.75" customHeight="1">
      <c r="A127" s="3287" t="s">
        <v>1452</v>
      </c>
      <c r="B127" s="3287"/>
      <c r="C127" s="3287"/>
      <c r="D127" s="3293" t="e">
        <f>NUMBERSTRING(INT(D126*10000),2)&amp;"元整"</f>
        <v>#VALUE!</v>
      </c>
      <c r="E127" s="3295"/>
      <c r="F127" s="3295"/>
      <c r="G127" s="3295"/>
      <c r="H127" s="3295"/>
      <c r="I127" s="3294"/>
      <c r="AA127" s="684"/>
    </row>
    <row r="128" spans="1:27" ht="21.75" customHeight="1">
      <c r="A128" s="3296" t="s">
        <v>1453</v>
      </c>
      <c r="B128" s="3296"/>
      <c r="C128" s="3296"/>
      <c r="D128" s="3296"/>
      <c r="E128" s="3296"/>
      <c r="F128" s="3296"/>
      <c r="G128" s="3296"/>
      <c r="H128" s="3296"/>
      <c r="I128" s="329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723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6352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1138.31</v>
      </c>
      <c r="E10" s="217">
        <f>'数据-取费表'!B28</f>
        <v>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23</v>
      </c>
      <c r="D19" s="204">
        <f ca="1">D9+D10</f>
        <v>1138.31</v>
      </c>
      <c r="E19" s="203">
        <f>'数据-取费表'!B31</f>
        <v>200</v>
      </c>
      <c r="F19" s="223"/>
      <c r="G19" s="1714"/>
    </row>
    <row r="20" spans="1:7" s="206" customFormat="1" ht="13.5" customHeight="1">
      <c r="A20" s="247" t="s">
        <v>1493</v>
      </c>
      <c r="B20" s="202" t="s">
        <v>1494</v>
      </c>
      <c r="C20" s="224">
        <f ca="1">ROUND((C5+C19)*F20,0)</f>
        <v>1</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571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512</v>
      </c>
      <c r="D34" s="209"/>
      <c r="E34" s="212"/>
      <c r="F34" s="249">
        <f ca="1">IF('数据-取费表'!B24=0,1,IF(B1="",'数据-取费表'!N16,INDIRECT("'数据-取费表'!n"&amp;$G$1)))</f>
        <v>1</v>
      </c>
      <c r="G34" s="211" t="s">
        <v>1526</v>
      </c>
    </row>
    <row r="35" spans="1:7" ht="13.5" customHeight="1">
      <c r="A35" s="734" t="s">
        <v>351</v>
      </c>
      <c r="B35" s="207" t="s">
        <v>1527</v>
      </c>
      <c r="C35" s="212">
        <f ca="1">ROUND(C34*F35,0)</f>
        <v>26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23</v>
      </c>
      <c r="D37" s="209">
        <f ca="1">D19</f>
        <v>1138.31</v>
      </c>
      <c r="E37" s="241">
        <f>'数据-取费表'!B35</f>
        <v>200</v>
      </c>
      <c r="F37" s="251"/>
      <c r="G37" s="253" t="s">
        <v>1532</v>
      </c>
    </row>
    <row r="38" spans="1:7" ht="13.5" customHeight="1">
      <c r="A38" s="734" t="s">
        <v>354</v>
      </c>
      <c r="B38" s="207" t="s">
        <v>1533</v>
      </c>
      <c r="C38" s="212">
        <f ca="1">ROUND(C34*F38,0)</f>
        <v>10</v>
      </c>
      <c r="D38" s="212"/>
      <c r="E38" s="212"/>
      <c r="F38" s="251">
        <f>'数据-取费表'!B36</f>
        <v>0.02</v>
      </c>
      <c r="G38" s="211" t="s">
        <v>1528</v>
      </c>
    </row>
    <row r="39" spans="1:7" s="206" customFormat="1" ht="13.5" customHeight="1">
      <c r="A39" s="247" t="s">
        <v>1534</v>
      </c>
      <c r="B39" s="202" t="s">
        <v>1535</v>
      </c>
      <c r="C39" s="224">
        <f ca="1">ROUND(C33*F20,0)</f>
        <v>17</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18</v>
      </c>
      <c r="D42" s="230"/>
      <c r="E42" s="230"/>
      <c r="F42" s="231"/>
      <c r="G42" s="3366" t="s">
        <v>1544</v>
      </c>
    </row>
    <row r="43" spans="1:7" ht="13.5" customHeight="1">
      <c r="A43" s="734" t="s">
        <v>347</v>
      </c>
      <c r="B43" s="207" t="s">
        <v>1545</v>
      </c>
      <c r="C43" s="230">
        <f ca="1">ROUND(IF('数据-取费表'!B22&lt;=1,C39*F22*'数据-取费表'!B21/2,C39*(POWER((1+F22),'数据-取费表'!B21/2)-1)),0)</f>
        <v>1</v>
      </c>
      <c r="D43" s="230"/>
      <c r="E43" s="230"/>
      <c r="F43" s="231"/>
      <c r="G43" s="3367"/>
    </row>
    <row r="44" spans="1:7" ht="13.5" customHeight="1">
      <c r="A44" s="734" t="s">
        <v>348</v>
      </c>
      <c r="B44" s="207" t="s">
        <v>1546</v>
      </c>
      <c r="C44" s="230">
        <f ca="1">ROUND(IF('数据-取费表'!B22&lt;=1,C40*F22*'数据-取费表'!B21/2,C40*(POWER((1+F22),'数据-取费表'!B21/2)-1)),4)</f>
        <v>5.9999999999999995E-4</v>
      </c>
      <c r="D44" s="230"/>
      <c r="E44" s="230"/>
      <c r="F44" s="231"/>
      <c r="G44" s="3368"/>
    </row>
    <row r="45" spans="1:7" s="206" customFormat="1" ht="13.5" customHeight="1">
      <c r="A45" s="247" t="s">
        <v>1547</v>
      </c>
      <c r="B45" s="236" t="s">
        <v>1513</v>
      </c>
      <c r="C45" s="237">
        <f ca="1">C46</f>
        <v>88</v>
      </c>
      <c r="D45" s="227">
        <f ca="1">C47</f>
        <v>3.0000000000000001E-3</v>
      </c>
      <c r="E45" s="228" t="s">
        <v>1539</v>
      </c>
      <c r="F45" s="238">
        <f ca="1">F27</f>
        <v>0.15</v>
      </c>
      <c r="G45" s="239" t="s">
        <v>1548</v>
      </c>
    </row>
    <row r="46" spans="1:7" s="206" customFormat="1" ht="13.5" customHeight="1">
      <c r="A46" s="734" t="s">
        <v>346</v>
      </c>
      <c r="B46" s="240" t="s">
        <v>1549</v>
      </c>
      <c r="C46" s="241">
        <f ca="1">ROUND((C33+C39)*F27,0)</f>
        <v>88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752</v>
      </c>
      <c r="D49" s="224"/>
      <c r="E49" s="224"/>
      <c r="F49" s="256"/>
      <c r="G49" s="226" t="s">
        <v>1554</v>
      </c>
    </row>
    <row r="50" spans="1:7" s="250" customFormat="1" ht="24">
      <c r="A50" s="247" t="s">
        <v>1555</v>
      </c>
      <c r="B50" s="202" t="s">
        <v>1556</v>
      </c>
      <c r="C50" s="224"/>
      <c r="D50" s="224"/>
      <c r="E50" s="224"/>
      <c r="F50" s="256">
        <f>IF('数据-取费表'!B24=0,'数据-取费表'!N16,1)</f>
        <v>0.92</v>
      </c>
      <c r="G50" s="239" t="s">
        <v>1557</v>
      </c>
    </row>
    <row r="51" spans="1:7" ht="16.5" customHeight="1">
      <c r="A51" s="247" t="s">
        <v>1558</v>
      </c>
      <c r="B51" s="202" t="s">
        <v>1559</v>
      </c>
      <c r="C51" s="224">
        <f ca="1">ROUND(C49*F50,0)</f>
        <v>692</v>
      </c>
      <c r="D51" s="224"/>
      <c r="E51" s="224"/>
      <c r="F51" s="256"/>
      <c r="G51" s="226" t="s">
        <v>1560</v>
      </c>
    </row>
    <row r="52" spans="1:7" s="200" customFormat="1" ht="16.5" thickBot="1">
      <c r="A52" s="257" t="s">
        <v>1561</v>
      </c>
      <c r="B52" s="258"/>
      <c r="C52" s="259">
        <f ca="1">C31+C51</f>
        <v>723</v>
      </c>
      <c r="D52" s="258"/>
      <c r="E52" s="258"/>
      <c r="F52" s="258"/>
      <c r="G52" s="260"/>
    </row>
    <row r="55" spans="1:7" ht="15">
      <c r="B55" s="262" t="s">
        <v>1562</v>
      </c>
      <c r="C55" s="263"/>
    </row>
    <row r="56" spans="1:7">
      <c r="B56" s="265" t="s">
        <v>802</v>
      </c>
      <c r="C56" s="267">
        <f ca="1">1-C57</f>
        <v>4.3000000000000038E-2</v>
      </c>
    </row>
    <row r="57" spans="1:7">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北京市房地产市场价值预评估</v>
      </c>
      <c r="C37" s="3184"/>
      <c r="D37" s="3184"/>
      <c r="E37" s="3184"/>
      <c r="F37" s="3184"/>
      <c r="G37" s="3184"/>
      <c r="H37" s="3184"/>
      <c r="I37" s="318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725.43539999999996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6373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22766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22766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22766</v>
      </c>
      <c r="D10" s="795">
        <f ca="1">IF(B1="",'数据-汇总表'!E6,IF(INDIRECT("'数据-取费表'!c"&amp;$G$1)="住宅",INDIRECT("'数据-取费表'!s"&amp;$G$1),INDIRECT("'数据-取费表'!k"&amp;$G$1)+INDIRECT("'数据-取费表'!s"&amp;$G$1)))</f>
        <v>1138.31</v>
      </c>
      <c r="E10" s="217">
        <f>'数据-取费表'!B28</f>
        <v>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227662</v>
      </c>
      <c r="D19" s="204">
        <f ca="1">D9+D10</f>
        <v>1138.31</v>
      </c>
      <c r="E19" s="203">
        <f>'数据-取费表'!B31</f>
        <v>200</v>
      </c>
      <c r="F19" s="223"/>
      <c r="G19" s="1714"/>
    </row>
    <row r="20" spans="1:7" s="206" customFormat="1" ht="13.5" customHeight="1">
      <c r="A20" s="247" t="s">
        <v>1574</v>
      </c>
      <c r="B20" s="202" t="s">
        <v>1575</v>
      </c>
      <c r="C20" s="224">
        <f ca="1">ROUND((C5+C19)*F20,0)</f>
        <v>7513</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16157</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1447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14475</v>
      </c>
      <c r="D24" s="230"/>
      <c r="E24" s="230"/>
      <c r="F24" s="231"/>
      <c r="G24" s="232" t="s">
        <v>1586</v>
      </c>
    </row>
    <row r="25" spans="1:7" s="206" customFormat="1" ht="24">
      <c r="A25" s="734" t="s">
        <v>1476</v>
      </c>
      <c r="B25" s="207" t="s">
        <v>1587</v>
      </c>
      <c r="C25" s="230">
        <f ca="1">ROUND(IF('数据-取费表'!B22&lt;=1,C20*F22*'数据-取费表'!B22/2,C20*(POWER((1+F22),'数据-取费表'!B22/2)-1)),0)</f>
        <v>235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38691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38691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338516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5708625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5122395</v>
      </c>
      <c r="D34" s="209"/>
      <c r="E34" s="212"/>
      <c r="F34" s="249"/>
      <c r="G34" s="211"/>
    </row>
    <row r="35" spans="1:7" ht="13.5" customHeight="1">
      <c r="A35" s="734" t="s">
        <v>351</v>
      </c>
      <c r="B35" s="207" t="s">
        <v>1527</v>
      </c>
      <c r="C35" s="212">
        <f ca="1">ROUND(C34*F35,0)</f>
        <v>256120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227662</v>
      </c>
      <c r="D37" s="209">
        <f ca="1">D19</f>
        <v>1138.31</v>
      </c>
      <c r="E37" s="241">
        <f>'数据-取费表'!B35</f>
        <v>200</v>
      </c>
      <c r="F37" s="251"/>
      <c r="G37" s="253"/>
    </row>
    <row r="38" spans="1:7" ht="13.5" customHeight="1">
      <c r="A38" s="734" t="s">
        <v>354</v>
      </c>
      <c r="B38" s="207" t="s">
        <v>1533</v>
      </c>
      <c r="C38" s="212">
        <f ca="1">ROUND(C34*F38,0)</f>
        <v>102448</v>
      </c>
      <c r="D38" s="212"/>
      <c r="E38" s="212"/>
      <c r="F38" s="251">
        <f>'数据-取费表'!B36</f>
        <v>0.02</v>
      </c>
      <c r="G38" s="211" t="s">
        <v>1528</v>
      </c>
    </row>
    <row r="39" spans="1:7" s="206" customFormat="1" ht="13.5" customHeight="1">
      <c r="A39" s="247" t="s">
        <v>1534</v>
      </c>
      <c r="B39" s="202" t="s">
        <v>1535</v>
      </c>
      <c r="C39" s="224">
        <f ca="1">ROUND(C33*F20,0)</f>
        <v>171259</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184040</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178680</v>
      </c>
      <c r="D42" s="230"/>
      <c r="E42" s="230"/>
      <c r="F42" s="231"/>
      <c r="G42" s="3366" t="s">
        <v>1591</v>
      </c>
    </row>
    <row r="43" spans="1:7" ht="13.5" customHeight="1">
      <c r="A43" s="734" t="s">
        <v>347</v>
      </c>
      <c r="B43" s="207" t="s">
        <v>1545</v>
      </c>
      <c r="C43" s="230">
        <f ca="1">ROUND(IF('数据-取费表'!B22&lt;=1,C39*F22*'数据-取费表'!B20/2,C39*(POWER((1+F22),'数据-取费表'!B20/2)-1)),0)</f>
        <v>5360</v>
      </c>
      <c r="D43" s="230"/>
      <c r="E43" s="230"/>
      <c r="F43" s="231"/>
      <c r="G43" s="3367"/>
    </row>
    <row r="44" spans="1:7" ht="13.5" customHeight="1">
      <c r="A44" s="734" t="s">
        <v>348</v>
      </c>
      <c r="B44" s="207" t="s">
        <v>1546</v>
      </c>
      <c r="C44" s="230">
        <f ca="1">ROUND(IF('数据-取费表'!B22&lt;=1,C40*F22*'数据-取费表'!B20/2,C40*(POWER((1+F22),'数据-取费表'!B20/2)-1)),4)</f>
        <v>5.9999999999999995E-4</v>
      </c>
      <c r="D44" s="230"/>
      <c r="E44" s="230"/>
      <c r="F44" s="231"/>
      <c r="G44" s="3368"/>
    </row>
    <row r="45" spans="1:7" s="206" customFormat="1" ht="13.5" customHeight="1">
      <c r="A45" s="247" t="s">
        <v>1547</v>
      </c>
      <c r="B45" s="236" t="s">
        <v>1513</v>
      </c>
      <c r="C45" s="237">
        <f ca="1">C46</f>
        <v>881983</v>
      </c>
      <c r="D45" s="227">
        <f ca="1">C47</f>
        <v>3.0000000000000001E-3</v>
      </c>
      <c r="E45" s="228" t="s">
        <v>1539</v>
      </c>
      <c r="F45" s="238">
        <f ca="1">F27</f>
        <v>0.15</v>
      </c>
      <c r="G45" s="239" t="s">
        <v>1548</v>
      </c>
    </row>
    <row r="46" spans="1:7" s="206" customFormat="1" ht="13.5" customHeight="1">
      <c r="A46" s="734" t="s">
        <v>346</v>
      </c>
      <c r="B46" s="240" t="s">
        <v>1549</v>
      </c>
      <c r="C46" s="241">
        <f ca="1">ROUND((C33+C39)*F27,0)</f>
        <v>881983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7517215</v>
      </c>
      <c r="D49" s="224"/>
      <c r="E49" s="224"/>
      <c r="F49" s="256"/>
      <c r="G49" s="226" t="s">
        <v>1554</v>
      </c>
    </row>
    <row r="50" spans="1:7" s="250" customFormat="1">
      <c r="A50" s="247" t="s">
        <v>1555</v>
      </c>
      <c r="B50" s="202" t="s">
        <v>1556</v>
      </c>
      <c r="C50" s="224"/>
      <c r="D50" s="224"/>
      <c r="E50" s="224"/>
      <c r="F50" s="256">
        <f>IF('数据-取费表'!B24=0,'数据-取费表'!N16,1)</f>
        <v>0.92</v>
      </c>
      <c r="G50" s="239"/>
    </row>
    <row r="51" spans="1:7" ht="16.5" customHeight="1">
      <c r="A51" s="247" t="s">
        <v>1558</v>
      </c>
      <c r="B51" s="202" t="s">
        <v>1593</v>
      </c>
      <c r="C51" s="224">
        <f ca="1">ROUND(C49*F50,0)</f>
        <v>6915838</v>
      </c>
      <c r="D51" s="224"/>
      <c r="E51" s="224"/>
      <c r="F51" s="256"/>
      <c r="G51" s="226" t="s">
        <v>1560</v>
      </c>
    </row>
    <row r="52" spans="1:7" s="200" customFormat="1" ht="16.5" thickBot="1">
      <c r="A52" s="257" t="s">
        <v>1561</v>
      </c>
      <c r="B52" s="258"/>
      <c r="C52" s="259">
        <f ca="1">C31+C51</f>
        <v>7254354</v>
      </c>
      <c r="D52" s="258"/>
      <c r="E52" s="258"/>
      <c r="F52" s="258"/>
      <c r="G52" s="260"/>
    </row>
    <row r="55" spans="1:7" ht="15">
      <c r="B55" s="262" t="s">
        <v>1562</v>
      </c>
      <c r="C55" s="263"/>
    </row>
    <row r="56" spans="1:7">
      <c r="B56" s="265" t="s">
        <v>802</v>
      </c>
      <c r="C56" s="267">
        <f ca="1">1-C57</f>
        <v>4.7000000000000042E-2</v>
      </c>
    </row>
    <row r="57" spans="1:7">
      <c r="B57" s="265" t="s">
        <v>803</v>
      </c>
      <c r="C57" s="266">
        <f ca="1">ROUND(C51/C52,3)</f>
        <v>0.95299999999999996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-2</v>
      </c>
      <c r="C2" s="268" t="s">
        <v>1595</v>
      </c>
      <c r="D2" s="268"/>
      <c r="E2" s="2568"/>
      <c r="F2" s="2568"/>
      <c r="G2" s="2568"/>
      <c r="H2" s="2568"/>
      <c r="I2" s="2568"/>
      <c r="J2" s="2568"/>
      <c r="K2" s="2568"/>
    </row>
    <row r="3" spans="1:33" ht="18" customHeight="1" thickBot="1">
      <c r="A3" s="195" t="s">
        <v>1464</v>
      </c>
      <c r="B3" s="196">
        <f ca="1">ROUND(B2*10000/IF(C1="",'数据-汇总表'!E3,INDIRECT("'数据-取费表'!K"&amp;$K$1)),0)</f>
        <v>-18</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1138.31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1138.31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1138.31</v>
      </c>
      <c r="E20" s="21">
        <f>'数据-取费表'!B28</f>
        <v>20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0</v>
      </c>
      <c r="D6" s="147" t="s">
        <v>2108</v>
      </c>
      <c r="E6" s="294" t="s">
        <v>696</v>
      </c>
      <c r="F6" s="295">
        <f ca="1">INDIRECT("'数据-取费表'!u"&amp;$G$1)</f>
        <v>0</v>
      </c>
      <c r="G6" s="1292"/>
      <c r="H6" s="1006" t="s">
        <v>398</v>
      </c>
      <c r="I6" s="3371" t="s">
        <v>694</v>
      </c>
      <c r="J6" s="293">
        <f ca="1">ROUND(M6*M8*M7*(1-M9)/10000,0)</f>
        <v>0</v>
      </c>
      <c r="K6" s="147" t="s">
        <v>2107</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69" t="s">
        <v>837</v>
      </c>
      <c r="L53" s="337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1" t="s">
        <v>694</v>
      </c>
      <c r="C6" s="1011">
        <f ca="1">ROUND(F6*F8*F7*(1-F9),0)</f>
        <v>0</v>
      </c>
      <c r="D6" s="147" t="s">
        <v>2105</v>
      </c>
      <c r="E6" s="294" t="s">
        <v>696</v>
      </c>
      <c r="F6" s="295">
        <f ca="1">INDIRECT("'数据-取费表'!u"&amp;$G$1)</f>
        <v>0</v>
      </c>
      <c r="G6" s="1292"/>
      <c r="H6" s="1006" t="s">
        <v>398</v>
      </c>
      <c r="I6" s="3371" t="s">
        <v>694</v>
      </c>
      <c r="J6" s="293">
        <f ca="1">ROUND(M6*M8*M7*(1-M9),0)</f>
        <v>0</v>
      </c>
      <c r="K6" s="1284" t="s">
        <v>2106</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3349</v>
      </c>
      <c r="B45" s="1307"/>
      <c r="C45" s="1376" t="e">
        <f ca="1">ROUND((C68-C40)/10000,4)</f>
        <v>#DIV/0!</v>
      </c>
      <c r="D45" s="3131" t="s">
        <v>3350</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69" t="s">
        <v>837</v>
      </c>
      <c r="L53" s="337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9" t="s">
        <v>3356</v>
      </c>
      <c r="E2" s="3140"/>
      <c r="F2" s="2598"/>
      <c r="G2" s="2599"/>
      <c r="H2" s="2600"/>
      <c r="I2" s="2601"/>
      <c r="J2" s="3374" t="s">
        <v>2316</v>
      </c>
      <c r="K2" s="3375"/>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376" t="s">
        <v>2326</v>
      </c>
      <c r="K3" s="3377"/>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376" t="s">
        <v>2328</v>
      </c>
      <c r="K4" s="3377"/>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378" t="s">
        <v>2332</v>
      </c>
      <c r="B6" s="3379"/>
      <c r="C6" s="3380"/>
      <c r="D6" s="2622"/>
      <c r="E6" s="2623"/>
      <c r="F6" s="2624"/>
      <c r="G6" s="2625"/>
      <c r="H6" s="2600"/>
      <c r="I6" s="2601"/>
      <c r="J6" s="3381">
        <v>1</v>
      </c>
      <c r="K6" s="3382"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381"/>
      <c r="K7" s="3383"/>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385" t="s">
        <v>2346</v>
      </c>
      <c r="C8" s="3386"/>
      <c r="D8" s="2641" t="s">
        <v>2347</v>
      </c>
      <c r="E8" s="2642" t="s">
        <v>2348</v>
      </c>
      <c r="F8" s="2643" t="s">
        <v>2349</v>
      </c>
      <c r="G8" s="2644"/>
      <c r="H8" s="2600"/>
      <c r="I8" s="2601"/>
      <c r="J8" s="3381"/>
      <c r="K8" s="3383"/>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385" t="s">
        <v>2352</v>
      </c>
      <c r="C9" s="3386"/>
      <c r="D9" s="2641">
        <f>ROUND(D6*E9,0)</f>
        <v>0</v>
      </c>
      <c r="E9" s="2645"/>
      <c r="F9" s="2646" t="s">
        <v>2353</v>
      </c>
      <c r="G9" s="2625"/>
      <c r="H9" s="2600"/>
      <c r="I9" s="2601"/>
      <c r="J9" s="3381"/>
      <c r="K9" s="3383"/>
      <c r="L9" s="2635" t="s">
        <v>2354</v>
      </c>
      <c r="M9" s="2636"/>
      <c r="N9" s="2612"/>
      <c r="O9" s="2637"/>
      <c r="P9" s="2637"/>
      <c r="Q9" s="2638">
        <v>365</v>
      </c>
      <c r="R9" s="2639">
        <f t="shared" si="0"/>
        <v>0</v>
      </c>
      <c r="S9" s="2593"/>
      <c r="T9" s="2593"/>
      <c r="U9" s="2593"/>
      <c r="V9" s="2601"/>
    </row>
    <row r="10" spans="1:22" s="2605" customFormat="1" ht="13.15" customHeight="1">
      <c r="A10" s="2640">
        <v>2</v>
      </c>
      <c r="B10" s="3385" t="s">
        <v>2355</v>
      </c>
      <c r="C10" s="3386"/>
      <c r="D10" s="2641">
        <f>ROUND(D6*E10,0)</f>
        <v>0</v>
      </c>
      <c r="E10" s="2645"/>
      <c r="F10" s="2646" t="s">
        <v>2356</v>
      </c>
      <c r="G10" s="2625"/>
      <c r="H10" s="2600"/>
      <c r="I10" s="2601"/>
      <c r="J10" s="3381"/>
      <c r="K10" s="3383"/>
      <c r="L10" s="2635" t="s">
        <v>2357</v>
      </c>
      <c r="M10" s="2636"/>
      <c r="N10" s="2612"/>
      <c r="O10" s="2637"/>
      <c r="P10" s="2637"/>
      <c r="Q10" s="2638">
        <v>365</v>
      </c>
      <c r="R10" s="2639">
        <f t="shared" si="0"/>
        <v>0</v>
      </c>
      <c r="S10" s="2593"/>
      <c r="T10" s="2593"/>
      <c r="U10" s="2593"/>
      <c r="V10" s="2601"/>
    </row>
    <row r="11" spans="1:22" s="2605" customFormat="1" ht="13.15" customHeight="1">
      <c r="A11" s="2640">
        <v>3</v>
      </c>
      <c r="B11" s="3385" t="s">
        <v>2358</v>
      </c>
      <c r="C11" s="3386"/>
      <c r="D11" s="2641">
        <f>D12+D14+D15+D16</f>
        <v>0</v>
      </c>
      <c r="E11" s="2647" t="e">
        <f>D11/D6</f>
        <v>#DIV/0!</v>
      </c>
      <c r="F11" s="2643"/>
      <c r="G11" s="2644"/>
      <c r="H11" s="2600"/>
      <c r="I11" s="2601"/>
      <c r="J11" s="3381"/>
      <c r="K11" s="3383"/>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387" t="s">
        <v>2361</v>
      </c>
      <c r="C12" s="3388"/>
      <c r="D12" s="2649">
        <f>ROUND(D13*1.2%*(1-30%),0)</f>
        <v>0</v>
      </c>
      <c r="E12" s="2650">
        <v>1.2E-2</v>
      </c>
      <c r="F12" s="2643" t="s">
        <v>2362</v>
      </c>
      <c r="G12" s="2644"/>
      <c r="H12" s="2600"/>
      <c r="I12" s="2601"/>
      <c r="J12" s="3381"/>
      <c r="K12" s="3383"/>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381"/>
      <c r="K13" s="3383"/>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387" t="s">
        <v>2367</v>
      </c>
      <c r="C14" s="3388"/>
      <c r="D14" s="2649">
        <f>ROUND(E14*B5/10000,0)</f>
        <v>0</v>
      </c>
      <c r="E14" s="2638"/>
      <c r="F14" s="2643" t="s">
        <v>2368</v>
      </c>
      <c r="G14" s="2644"/>
      <c r="H14" s="2600"/>
      <c r="I14" s="2601"/>
      <c r="J14" s="3381"/>
      <c r="K14" s="3384"/>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387" t="s">
        <v>2371</v>
      </c>
      <c r="C15" s="3388"/>
      <c r="D15" s="2649">
        <f>ROUND(D6*E15,0)</f>
        <v>0</v>
      </c>
      <c r="E15" s="2650">
        <v>5.5E-2</v>
      </c>
      <c r="F15" s="2643" t="s">
        <v>2372</v>
      </c>
      <c r="G15" s="2625"/>
      <c r="H15" s="2600"/>
      <c r="I15" s="2601"/>
      <c r="J15" s="3381">
        <v>2</v>
      </c>
      <c r="K15" s="3382"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387" t="s">
        <v>2380</v>
      </c>
      <c r="C16" s="3388"/>
      <c r="D16" s="2660">
        <f>D6*E16</f>
        <v>0</v>
      </c>
      <c r="E16" s="2661"/>
      <c r="F16" s="2646" t="s">
        <v>2381</v>
      </c>
      <c r="G16" s="2625"/>
      <c r="H16" s="2600"/>
      <c r="I16" s="2601"/>
      <c r="J16" s="3381"/>
      <c r="K16" s="3383"/>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389" t="s">
        <v>2383</v>
      </c>
      <c r="C17" s="3390"/>
      <c r="D17" s="2663">
        <f>ROUND(D6*E17,0)</f>
        <v>0</v>
      </c>
      <c r="E17" s="2664"/>
      <c r="F17" s="2665" t="s">
        <v>2384</v>
      </c>
      <c r="G17" s="2625"/>
      <c r="H17" s="2600"/>
      <c r="I17" s="2601"/>
      <c r="J17" s="3381"/>
      <c r="K17" s="3383"/>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381"/>
      <c r="K18" s="3383"/>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381"/>
      <c r="K19" s="3384"/>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81">
        <v>3</v>
      </c>
      <c r="K20" s="3382"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381"/>
      <c r="K21" s="3383"/>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381"/>
      <c r="K22" s="3383"/>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381"/>
      <c r="K23" s="3383"/>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381"/>
      <c r="K24" s="3384"/>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391">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39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374" t="s">
        <v>2316</v>
      </c>
      <c r="K32" s="3375"/>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376" t="s">
        <v>2326</v>
      </c>
      <c r="K33" s="3377"/>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376" t="s">
        <v>2328</v>
      </c>
      <c r="K34" s="337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381">
        <v>1</v>
      </c>
      <c r="K36" s="3382"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381"/>
      <c r="K37" s="3383"/>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81"/>
      <c r="K38" s="3383"/>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381"/>
      <c r="K39" s="3383"/>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381"/>
      <c r="K40" s="3384"/>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1">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39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3" t="s">
        <v>1654</v>
      </c>
      <c r="C5" s="3394"/>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1138.31</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3" t="s">
        <v>1667</v>
      </c>
      <c r="D4" s="3414"/>
      <c r="E4" s="3415" t="s">
        <v>1668</v>
      </c>
      <c r="F4" s="3416"/>
      <c r="G4" s="3413" t="s">
        <v>1669</v>
      </c>
      <c r="H4" s="3414"/>
      <c r="I4" s="3413" t="s">
        <v>1670</v>
      </c>
      <c r="J4" s="3414"/>
      <c r="K4" s="1744" t="s">
        <v>1671</v>
      </c>
      <c r="L4" s="2487"/>
      <c r="M4" s="2488"/>
      <c r="N4" s="2488"/>
      <c r="O4" s="2488"/>
      <c r="P4" s="3417" t="s">
        <v>1672</v>
      </c>
      <c r="Q4" s="3418"/>
      <c r="R4" s="3400" t="s">
        <v>1668</v>
      </c>
      <c r="S4" s="3401"/>
      <c r="T4" s="3400" t="s">
        <v>1669</v>
      </c>
      <c r="U4" s="3401"/>
      <c r="V4" s="3425" t="s">
        <v>1670</v>
      </c>
      <c r="W4" s="3425"/>
      <c r="X4" s="1265"/>
      <c r="Y4" s="3400" t="s">
        <v>1672</v>
      </c>
      <c r="Z4" s="3401"/>
      <c r="AA4" s="3395" t="s">
        <v>1668</v>
      </c>
      <c r="AB4" s="3395" t="s">
        <v>1669</v>
      </c>
      <c r="AC4" s="3395" t="s">
        <v>1670</v>
      </c>
    </row>
    <row r="5" spans="1:29" ht="15">
      <c r="A5" s="348"/>
      <c r="B5" s="349"/>
      <c r="C5" s="3406" t="s">
        <v>1673</v>
      </c>
      <c r="D5" s="3407"/>
      <c r="E5" s="3404" t="s">
        <v>1674</v>
      </c>
      <c r="F5" s="3405"/>
      <c r="G5" s="3406" t="s">
        <v>1675</v>
      </c>
      <c r="H5" s="3407"/>
      <c r="I5" s="3406" t="s">
        <v>1676</v>
      </c>
      <c r="J5" s="3407"/>
      <c r="K5" s="1745"/>
      <c r="L5" s="2487"/>
      <c r="M5" s="2488"/>
      <c r="N5" s="2488"/>
      <c r="O5" s="2488"/>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1745" t="s">
        <v>1678</v>
      </c>
      <c r="L6" s="2487"/>
      <c r="M6" s="2488"/>
      <c r="N6" s="2488"/>
      <c r="O6" s="2488"/>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46003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8" t="s">
        <v>1680</v>
      </c>
      <c r="Q7" s="3426"/>
      <c r="R7" s="664" t="s">
        <v>20</v>
      </c>
      <c r="S7" s="665">
        <f t="shared" ref="S7:S15" si="0">F7</f>
        <v>0</v>
      </c>
      <c r="T7" s="664" t="s">
        <v>20</v>
      </c>
      <c r="U7" s="665">
        <f t="shared" ref="U7:U15" si="1">H7</f>
        <v>0</v>
      </c>
      <c r="V7" s="664" t="s">
        <v>20</v>
      </c>
      <c r="W7" s="665">
        <f t="shared" ref="W7:W15" si="2">J7</f>
        <v>0</v>
      </c>
      <c r="X7" s="666"/>
      <c r="Y7" s="3398" t="s">
        <v>1680</v>
      </c>
      <c r="Z7" s="339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8" t="s">
        <v>1683</v>
      </c>
      <c r="Q8" s="3399"/>
      <c r="R8" s="664" t="s">
        <v>20</v>
      </c>
      <c r="S8" s="665">
        <f t="shared" si="0"/>
        <v>100</v>
      </c>
      <c r="T8" s="664" t="s">
        <v>20</v>
      </c>
      <c r="U8" s="665">
        <f t="shared" si="1"/>
        <v>100</v>
      </c>
      <c r="V8" s="664" t="s">
        <v>20</v>
      </c>
      <c r="W8" s="665">
        <f t="shared" si="2"/>
        <v>100</v>
      </c>
      <c r="X8" s="666"/>
      <c r="Y8" s="3398" t="s">
        <v>1683</v>
      </c>
      <c r="Z8" s="339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2"/>
      <c r="Q11" s="530" t="str">
        <f t="shared" si="6"/>
        <v>容积率</v>
      </c>
      <c r="R11" s="664" t="s">
        <v>18</v>
      </c>
      <c r="S11" s="665" t="e">
        <f t="shared" si="0"/>
        <v>#N/A</v>
      </c>
      <c r="T11" s="664" t="s">
        <v>18</v>
      </c>
      <c r="U11" s="665" t="e">
        <f t="shared" si="1"/>
        <v>#N/A</v>
      </c>
      <c r="V11" s="664" t="s">
        <v>18</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2"/>
      <c r="Q12" s="530">
        <f t="shared" si="6"/>
        <v>111</v>
      </c>
      <c r="R12" s="664" t="s">
        <v>18</v>
      </c>
      <c r="S12" s="665">
        <f t="shared" si="0"/>
        <v>100</v>
      </c>
      <c r="T12" s="664" t="s">
        <v>18</v>
      </c>
      <c r="U12" s="665">
        <f t="shared" si="1"/>
        <v>100</v>
      </c>
      <c r="V12" s="664" t="s">
        <v>18</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2"/>
      <c r="Q13" s="530">
        <f t="shared" si="6"/>
        <v>111</v>
      </c>
      <c r="R13" s="664" t="s">
        <v>18</v>
      </c>
      <c r="S13" s="665">
        <f t="shared" si="0"/>
        <v>100</v>
      </c>
      <c r="T13" s="664" t="s">
        <v>18</v>
      </c>
      <c r="U13" s="665">
        <f t="shared" si="1"/>
        <v>100</v>
      </c>
      <c r="V13" s="664" t="s">
        <v>18</v>
      </c>
      <c r="W13" s="665">
        <f t="shared" si="2"/>
        <v>100</v>
      </c>
      <c r="X13" s="666"/>
      <c r="Y13" s="334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2"/>
      <c r="Q14" s="530">
        <f t="shared" si="6"/>
        <v>111</v>
      </c>
      <c r="R14" s="664" t="s">
        <v>18</v>
      </c>
      <c r="S14" s="665">
        <f t="shared" si="0"/>
        <v>100</v>
      </c>
      <c r="T14" s="664" t="s">
        <v>18</v>
      </c>
      <c r="U14" s="665">
        <f t="shared" si="1"/>
        <v>100</v>
      </c>
      <c r="V14" s="664" t="s">
        <v>18</v>
      </c>
      <c r="W14" s="665">
        <f t="shared" si="2"/>
        <v>100</v>
      </c>
      <c r="X14" s="666"/>
      <c r="Y14" s="334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38" t="s">
        <v>1691</v>
      </c>
      <c r="Q15" s="1263" t="str">
        <f t="shared" si="6"/>
        <v>居住社区成熟度</v>
      </c>
      <c r="R15" s="667" t="s">
        <v>18</v>
      </c>
      <c r="S15" s="668">
        <f t="shared" si="0"/>
        <v>100</v>
      </c>
      <c r="T15" s="667" t="s">
        <v>18</v>
      </c>
      <c r="U15" s="668">
        <f t="shared" si="1"/>
        <v>100</v>
      </c>
      <c r="V15" s="667" t="s">
        <v>18</v>
      </c>
      <c r="W15" s="668">
        <f t="shared" si="2"/>
        <v>100</v>
      </c>
      <c r="X15" s="1265"/>
      <c r="Y15" s="343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39"/>
      <c r="Q16" s="1263"/>
      <c r="R16" s="667"/>
      <c r="S16" s="668"/>
      <c r="T16" s="667"/>
      <c r="U16" s="668"/>
      <c r="V16" s="667"/>
      <c r="W16" s="668"/>
      <c r="X16" s="1265"/>
      <c r="Y16" s="3432"/>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39"/>
      <c r="Q17" s="1263" t="str">
        <f>B17</f>
        <v>交通便捷度</v>
      </c>
      <c r="R17" s="667" t="s">
        <v>18</v>
      </c>
      <c r="S17" s="668">
        <f>F17</f>
        <v>100</v>
      </c>
      <c r="T17" s="667" t="s">
        <v>18</v>
      </c>
      <c r="U17" s="668">
        <f>H17</f>
        <v>100</v>
      </c>
      <c r="V17" s="667" t="s">
        <v>18</v>
      </c>
      <c r="W17" s="668">
        <f>J17</f>
        <v>100</v>
      </c>
      <c r="X17" s="1265"/>
      <c r="Y17" s="343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39"/>
      <c r="Q18" s="1263"/>
      <c r="R18" s="667"/>
      <c r="S18" s="668"/>
      <c r="T18" s="667"/>
      <c r="U18" s="668"/>
      <c r="V18" s="667"/>
      <c r="W18" s="668"/>
      <c r="X18" s="1265"/>
      <c r="Y18" s="3432"/>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39"/>
      <c r="Q19" s="1263" t="str">
        <f>B19</f>
        <v>公共配套设施</v>
      </c>
      <c r="R19" s="667" t="s">
        <v>18</v>
      </c>
      <c r="S19" s="668">
        <f>F19</f>
        <v>100</v>
      </c>
      <c r="T19" s="667" t="s">
        <v>18</v>
      </c>
      <c r="U19" s="668">
        <f>H19</f>
        <v>100</v>
      </c>
      <c r="V19" s="667" t="s">
        <v>18</v>
      </c>
      <c r="W19" s="668">
        <f>J19</f>
        <v>100</v>
      </c>
      <c r="X19" s="1265"/>
      <c r="Y19" s="343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39"/>
      <c r="Q20" s="1263"/>
      <c r="R20" s="667"/>
      <c r="S20" s="668"/>
      <c r="T20" s="667"/>
      <c r="U20" s="668"/>
      <c r="V20" s="667"/>
      <c r="W20" s="668"/>
      <c r="X20" s="1265"/>
      <c r="Y20" s="343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39"/>
      <c r="Q22" s="1263"/>
      <c r="R22" s="667"/>
      <c r="S22" s="668"/>
      <c r="T22" s="667"/>
      <c r="U22" s="668"/>
      <c r="V22" s="667"/>
      <c r="W22" s="668"/>
      <c r="X22" s="1265"/>
      <c r="Y22" s="3432"/>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39"/>
      <c r="Q23" s="1263" t="str">
        <f>B23</f>
        <v>自然及人文环境</v>
      </c>
      <c r="R23" s="667" t="s">
        <v>18</v>
      </c>
      <c r="S23" s="668">
        <f>F23</f>
        <v>100</v>
      </c>
      <c r="T23" s="667" t="s">
        <v>18</v>
      </c>
      <c r="U23" s="668">
        <f>H23</f>
        <v>100</v>
      </c>
      <c r="V23" s="667" t="s">
        <v>18</v>
      </c>
      <c r="W23" s="668">
        <f>J23</f>
        <v>100</v>
      </c>
      <c r="X23" s="1265"/>
      <c r="Y23" s="343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39"/>
      <c r="Q24" s="1263"/>
      <c r="R24" s="667"/>
      <c r="S24" s="668"/>
      <c r="T24" s="667"/>
      <c r="U24" s="668"/>
      <c r="V24" s="667"/>
      <c r="W24" s="668"/>
      <c r="X24" s="1265"/>
      <c r="Y24" s="343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3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39"/>
      <c r="Q26" s="1263" t="str">
        <f t="shared" si="11"/>
        <v>朝向</v>
      </c>
      <c r="R26" s="667" t="s">
        <v>18</v>
      </c>
      <c r="S26" s="668">
        <f t="shared" si="12"/>
        <v>100</v>
      </c>
      <c r="T26" s="667" t="s">
        <v>18</v>
      </c>
      <c r="U26" s="668">
        <f t="shared" si="13"/>
        <v>100</v>
      </c>
      <c r="V26" s="667" t="s">
        <v>18</v>
      </c>
      <c r="W26" s="668">
        <f t="shared" si="14"/>
        <v>100</v>
      </c>
      <c r="X26" s="1265"/>
      <c r="Y26" s="343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39"/>
      <c r="Q27" s="530">
        <f t="shared" si="11"/>
        <v>111</v>
      </c>
      <c r="R27" s="664" t="s">
        <v>18</v>
      </c>
      <c r="S27" s="665">
        <f t="shared" si="12"/>
        <v>100</v>
      </c>
      <c r="T27" s="664" t="s">
        <v>18</v>
      </c>
      <c r="U27" s="665">
        <f t="shared" si="13"/>
        <v>100</v>
      </c>
      <c r="V27" s="664" t="s">
        <v>18</v>
      </c>
      <c r="W27" s="665">
        <f t="shared" si="14"/>
        <v>100</v>
      </c>
      <c r="X27" s="666"/>
      <c r="Y27" s="343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39"/>
      <c r="Q28" s="1263">
        <f t="shared" si="11"/>
        <v>111</v>
      </c>
      <c r="R28" s="667" t="s">
        <v>18</v>
      </c>
      <c r="S28" s="668">
        <f t="shared" si="12"/>
        <v>100</v>
      </c>
      <c r="T28" s="667" t="s">
        <v>18</v>
      </c>
      <c r="U28" s="668">
        <f t="shared" si="13"/>
        <v>100</v>
      </c>
      <c r="V28" s="667" t="s">
        <v>18</v>
      </c>
      <c r="W28" s="668">
        <f t="shared" si="14"/>
        <v>100</v>
      </c>
      <c r="X28" s="1265"/>
      <c r="Y28" s="343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39"/>
      <c r="Q29" s="1263">
        <f t="shared" si="11"/>
        <v>111</v>
      </c>
      <c r="R29" s="667" t="s">
        <v>18</v>
      </c>
      <c r="S29" s="668">
        <f t="shared" si="12"/>
        <v>100</v>
      </c>
      <c r="T29" s="667" t="s">
        <v>18</v>
      </c>
      <c r="U29" s="668">
        <f t="shared" si="13"/>
        <v>100</v>
      </c>
      <c r="V29" s="667" t="s">
        <v>18</v>
      </c>
      <c r="W29" s="668">
        <f t="shared" si="14"/>
        <v>100</v>
      </c>
      <c r="X29" s="1265"/>
      <c r="Y29" s="343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39"/>
      <c r="Q30" s="1263">
        <f t="shared" si="11"/>
        <v>111</v>
      </c>
      <c r="R30" s="667" t="s">
        <v>18</v>
      </c>
      <c r="S30" s="668">
        <f t="shared" si="12"/>
        <v>100</v>
      </c>
      <c r="T30" s="667" t="s">
        <v>18</v>
      </c>
      <c r="U30" s="668">
        <f t="shared" si="13"/>
        <v>100</v>
      </c>
      <c r="V30" s="667" t="s">
        <v>18</v>
      </c>
      <c r="W30" s="668">
        <f t="shared" si="14"/>
        <v>100</v>
      </c>
      <c r="X30" s="1265"/>
      <c r="Y30" s="343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39"/>
      <c r="Q31" s="1263">
        <f t="shared" si="11"/>
        <v>111</v>
      </c>
      <c r="R31" s="667" t="s">
        <v>18</v>
      </c>
      <c r="S31" s="668">
        <f t="shared" si="12"/>
        <v>100</v>
      </c>
      <c r="T31" s="667" t="s">
        <v>18</v>
      </c>
      <c r="U31" s="668">
        <f t="shared" si="13"/>
        <v>100</v>
      </c>
      <c r="V31" s="667" t="s">
        <v>18</v>
      </c>
      <c r="W31" s="668">
        <f t="shared" si="14"/>
        <v>100</v>
      </c>
      <c r="X31" s="1265"/>
      <c r="Y31" s="343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3" t="s">
        <v>1696</v>
      </c>
      <c r="Q32" s="1263" t="str">
        <f t="shared" si="11"/>
        <v>建筑类型</v>
      </c>
      <c r="R32" s="667" t="s">
        <v>18</v>
      </c>
      <c r="S32" s="668">
        <f t="shared" si="12"/>
        <v>100</v>
      </c>
      <c r="T32" s="667" t="s">
        <v>18</v>
      </c>
      <c r="U32" s="668">
        <f t="shared" si="13"/>
        <v>100</v>
      </c>
      <c r="V32" s="667" t="s">
        <v>18</v>
      </c>
      <c r="W32" s="668">
        <f t="shared" si="14"/>
        <v>100</v>
      </c>
      <c r="X32" s="1265"/>
      <c r="Y32" s="343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34"/>
      <c r="Q33" s="531" t="str">
        <f t="shared" si="11"/>
        <v>项目建筑规模</v>
      </c>
      <c r="R33" s="669" t="s">
        <v>18</v>
      </c>
      <c r="S33" s="670" t="e">
        <f t="shared" si="12"/>
        <v>#N/A</v>
      </c>
      <c r="T33" s="669" t="s">
        <v>18</v>
      </c>
      <c r="U33" s="670" t="e">
        <f t="shared" si="13"/>
        <v>#N/A</v>
      </c>
      <c r="V33" s="669" t="s">
        <v>18</v>
      </c>
      <c r="W33" s="670" t="e">
        <f t="shared" si="14"/>
        <v>#N/A</v>
      </c>
      <c r="X33" s="671"/>
      <c r="Y33" s="343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4"/>
      <c r="Q34" s="1263" t="str">
        <f t="shared" si="11"/>
        <v>建筑结构</v>
      </c>
      <c r="R34" s="667" t="s">
        <v>18</v>
      </c>
      <c r="S34" s="668">
        <f t="shared" si="12"/>
        <v>100</v>
      </c>
      <c r="T34" s="667" t="s">
        <v>18</v>
      </c>
      <c r="U34" s="668">
        <f t="shared" si="13"/>
        <v>100</v>
      </c>
      <c r="V34" s="667" t="s">
        <v>18</v>
      </c>
      <c r="W34" s="668">
        <f t="shared" si="14"/>
        <v>100</v>
      </c>
      <c r="X34" s="1265"/>
      <c r="Y34" s="343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34"/>
      <c r="Q35" s="1263" t="str">
        <f t="shared" si="11"/>
        <v>建筑品质</v>
      </c>
      <c r="R35" s="667" t="s">
        <v>18</v>
      </c>
      <c r="S35" s="668">
        <f t="shared" si="12"/>
        <v>100</v>
      </c>
      <c r="T35" s="667" t="s">
        <v>18</v>
      </c>
      <c r="U35" s="668">
        <f t="shared" si="13"/>
        <v>100</v>
      </c>
      <c r="V35" s="667" t="s">
        <v>18</v>
      </c>
      <c r="W35" s="668">
        <f t="shared" si="14"/>
        <v>100</v>
      </c>
      <c r="X35" s="1265"/>
      <c r="Y35" s="343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4"/>
      <c r="Q36" s="1263" t="str">
        <f t="shared" si="11"/>
        <v>公共部分装修</v>
      </c>
      <c r="R36" s="667" t="s">
        <v>18</v>
      </c>
      <c r="S36" s="668">
        <f t="shared" si="12"/>
        <v>100</v>
      </c>
      <c r="T36" s="667" t="s">
        <v>18</v>
      </c>
      <c r="U36" s="668">
        <f t="shared" si="13"/>
        <v>100</v>
      </c>
      <c r="V36" s="667" t="s">
        <v>18</v>
      </c>
      <c r="W36" s="668">
        <f t="shared" si="14"/>
        <v>100</v>
      </c>
      <c r="X36" s="1265"/>
      <c r="Y36" s="343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34"/>
      <c r="Q37" s="530" t="str">
        <f t="shared" si="11"/>
        <v>成新度</v>
      </c>
      <c r="R37" s="664" t="s">
        <v>18</v>
      </c>
      <c r="S37" s="665" t="e">
        <f t="shared" si="12"/>
        <v>#N/A</v>
      </c>
      <c r="T37" s="664" t="s">
        <v>18</v>
      </c>
      <c r="U37" s="665" t="e">
        <f t="shared" si="13"/>
        <v>#N/A</v>
      </c>
      <c r="V37" s="664" t="s">
        <v>18</v>
      </c>
      <c r="W37" s="665" t="e">
        <f t="shared" si="14"/>
        <v>#N/A</v>
      </c>
      <c r="X37" s="666"/>
      <c r="Y37" s="343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34" t="s">
        <v>1696</v>
      </c>
      <c r="Q38" s="1263" t="str">
        <f t="shared" si="11"/>
        <v>物业管理</v>
      </c>
      <c r="R38" s="667" t="s">
        <v>18</v>
      </c>
      <c r="S38" s="668">
        <f t="shared" si="12"/>
        <v>100</v>
      </c>
      <c r="T38" s="667" t="s">
        <v>18</v>
      </c>
      <c r="U38" s="668">
        <f t="shared" si="13"/>
        <v>100</v>
      </c>
      <c r="V38" s="667" t="s">
        <v>18</v>
      </c>
      <c r="W38" s="668">
        <f t="shared" si="14"/>
        <v>100</v>
      </c>
      <c r="X38" s="1265"/>
      <c r="Y38" s="343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34"/>
      <c r="Q39" s="1263" t="str">
        <f t="shared" si="11"/>
        <v>市政基础设施</v>
      </c>
      <c r="R39" s="667" t="s">
        <v>18</v>
      </c>
      <c r="S39" s="668">
        <f t="shared" si="12"/>
        <v>100</v>
      </c>
      <c r="T39" s="667" t="s">
        <v>18</v>
      </c>
      <c r="U39" s="668">
        <f t="shared" si="13"/>
        <v>100</v>
      </c>
      <c r="V39" s="667" t="s">
        <v>18</v>
      </c>
      <c r="W39" s="668">
        <f t="shared" si="14"/>
        <v>100</v>
      </c>
      <c r="X39" s="1265"/>
      <c r="Y39" s="343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34"/>
      <c r="Q40" s="1263" t="str">
        <f t="shared" si="11"/>
        <v>房型</v>
      </c>
      <c r="R40" s="667" t="s">
        <v>18</v>
      </c>
      <c r="S40" s="668">
        <f t="shared" si="12"/>
        <v>100</v>
      </c>
      <c r="T40" s="667" t="s">
        <v>18</v>
      </c>
      <c r="U40" s="668">
        <f t="shared" si="13"/>
        <v>100</v>
      </c>
      <c r="V40" s="667" t="s">
        <v>18</v>
      </c>
      <c r="W40" s="668">
        <f t="shared" si="14"/>
        <v>100</v>
      </c>
      <c r="X40" s="1265"/>
      <c r="Y40" s="343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4"/>
      <c r="Q41" s="531" t="str">
        <f t="shared" si="11"/>
        <v>单套/主力户型建筑面积</v>
      </c>
      <c r="R41" s="669" t="s">
        <v>18</v>
      </c>
      <c r="S41" s="670">
        <f t="shared" si="12"/>
        <v>100</v>
      </c>
      <c r="T41" s="669" t="s">
        <v>18</v>
      </c>
      <c r="U41" s="670">
        <f t="shared" si="13"/>
        <v>100</v>
      </c>
      <c r="V41" s="669" t="s">
        <v>18</v>
      </c>
      <c r="W41" s="670">
        <f t="shared" si="14"/>
        <v>100</v>
      </c>
      <c r="X41" s="671"/>
      <c r="Y41" s="343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34"/>
      <c r="Q42" s="1263" t="str">
        <f t="shared" si="11"/>
        <v>内部装修</v>
      </c>
      <c r="R42" s="667" t="s">
        <v>18</v>
      </c>
      <c r="S42" s="668">
        <f t="shared" si="12"/>
        <v>100</v>
      </c>
      <c r="T42" s="667" t="s">
        <v>18</v>
      </c>
      <c r="U42" s="668">
        <f t="shared" si="13"/>
        <v>100</v>
      </c>
      <c r="V42" s="667" t="s">
        <v>18</v>
      </c>
      <c r="W42" s="668">
        <f t="shared" si="14"/>
        <v>100</v>
      </c>
      <c r="X42" s="1265"/>
      <c r="Y42" s="343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34"/>
      <c r="Q43" s="1263" t="str">
        <f t="shared" si="11"/>
        <v>内部装修维护情况</v>
      </c>
      <c r="R43" s="667" t="s">
        <v>18</v>
      </c>
      <c r="S43" s="668">
        <f t="shared" si="12"/>
        <v>100</v>
      </c>
      <c r="T43" s="667" t="s">
        <v>18</v>
      </c>
      <c r="U43" s="668">
        <f t="shared" si="13"/>
        <v>100</v>
      </c>
      <c r="V43" s="667" t="s">
        <v>18</v>
      </c>
      <c r="W43" s="668">
        <f t="shared" si="14"/>
        <v>100</v>
      </c>
      <c r="X43" s="1265"/>
      <c r="Y43" s="343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34"/>
      <c r="Q44" s="530">
        <f t="shared" si="11"/>
        <v>111</v>
      </c>
      <c r="R44" s="664" t="s">
        <v>18</v>
      </c>
      <c r="S44" s="665">
        <f t="shared" si="12"/>
        <v>100</v>
      </c>
      <c r="T44" s="664" t="s">
        <v>18</v>
      </c>
      <c r="U44" s="665">
        <f t="shared" si="13"/>
        <v>100</v>
      </c>
      <c r="V44" s="664" t="s">
        <v>18</v>
      </c>
      <c r="W44" s="665">
        <f t="shared" si="14"/>
        <v>100</v>
      </c>
      <c r="X44" s="666"/>
      <c r="Y44" s="343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4"/>
      <c r="Q45" s="1263">
        <f t="shared" si="11"/>
        <v>111</v>
      </c>
      <c r="R45" s="667" t="s">
        <v>18</v>
      </c>
      <c r="S45" s="668">
        <f t="shared" si="12"/>
        <v>100</v>
      </c>
      <c r="T45" s="667" t="s">
        <v>18</v>
      </c>
      <c r="U45" s="668">
        <f t="shared" si="13"/>
        <v>100</v>
      </c>
      <c r="V45" s="667" t="s">
        <v>18</v>
      </c>
      <c r="W45" s="668">
        <f t="shared" si="14"/>
        <v>100</v>
      </c>
      <c r="X45" s="1265"/>
      <c r="Y45" s="343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5"/>
      <c r="Q46" s="1263">
        <f t="shared" si="11"/>
        <v>111</v>
      </c>
      <c r="R46" s="667" t="s">
        <v>17</v>
      </c>
      <c r="S46" s="668">
        <f t="shared" si="12"/>
        <v>100</v>
      </c>
      <c r="T46" s="667" t="s">
        <v>17</v>
      </c>
      <c r="U46" s="668">
        <f t="shared" si="13"/>
        <v>100</v>
      </c>
      <c r="V46" s="667" t="s">
        <v>17</v>
      </c>
      <c r="W46" s="668">
        <f t="shared" si="14"/>
        <v>100</v>
      </c>
      <c r="X46" s="1265"/>
      <c r="Y46" s="343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30" t="str">
        <f>A47</f>
        <v>成交单价（元/平方米）</v>
      </c>
      <c r="Q47" s="3430"/>
      <c r="R47" s="3425">
        <f>E47</f>
        <v>0</v>
      </c>
      <c r="S47" s="3425"/>
      <c r="T47" s="3425">
        <f>G47</f>
        <v>0</v>
      </c>
      <c r="U47" s="3425"/>
      <c r="V47" s="3425">
        <f>I47</f>
        <v>0</v>
      </c>
      <c r="W47" s="3425"/>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430" t="str">
        <f>A48</f>
        <v>比较价值（元/平方米）</v>
      </c>
      <c r="Q48" s="3430"/>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1138.31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3" t="s">
        <v>1770</v>
      </c>
      <c r="D4" s="3414"/>
      <c r="E4" s="3415" t="s">
        <v>1771</v>
      </c>
      <c r="F4" s="3416"/>
      <c r="G4" s="3413" t="s">
        <v>1772</v>
      </c>
      <c r="H4" s="3414"/>
      <c r="I4" s="3413" t="s">
        <v>1773</v>
      </c>
      <c r="J4" s="3414"/>
      <c r="K4" s="537" t="s">
        <v>1774</v>
      </c>
      <c r="L4" s="2487"/>
      <c r="M4" s="2488"/>
      <c r="N4" s="2488"/>
      <c r="O4" s="2488"/>
      <c r="P4" s="3417" t="s">
        <v>1775</v>
      </c>
      <c r="Q4" s="3418"/>
      <c r="R4" s="3400" t="s">
        <v>1771</v>
      </c>
      <c r="S4" s="3401"/>
      <c r="T4" s="3400" t="s">
        <v>1772</v>
      </c>
      <c r="U4" s="3401"/>
      <c r="V4" s="3425" t="s">
        <v>1773</v>
      </c>
      <c r="W4" s="3425"/>
      <c r="X4" s="1265"/>
      <c r="Y4" s="3400" t="s">
        <v>1775</v>
      </c>
      <c r="Z4" s="3401"/>
      <c r="AA4" s="3395" t="s">
        <v>1771</v>
      </c>
      <c r="AB4" s="3425" t="s">
        <v>1772</v>
      </c>
      <c r="AC4" s="3395" t="s">
        <v>1773</v>
      </c>
    </row>
    <row r="5" spans="1:29" ht="15">
      <c r="A5" s="348"/>
      <c r="B5" s="349"/>
      <c r="C5" s="3406" t="s">
        <v>1673</v>
      </c>
      <c r="D5" s="3407"/>
      <c r="E5" s="3404" t="s">
        <v>1674</v>
      </c>
      <c r="F5" s="3405"/>
      <c r="G5" s="3406" t="s">
        <v>1675</v>
      </c>
      <c r="H5" s="3407"/>
      <c r="I5" s="3406" t="s">
        <v>1676</v>
      </c>
      <c r="J5" s="3407"/>
      <c r="K5" s="537"/>
      <c r="L5" s="2487"/>
      <c r="M5" s="2488"/>
      <c r="N5" s="2488"/>
      <c r="O5" s="2488"/>
      <c r="P5" s="3419"/>
      <c r="Q5" s="3420"/>
      <c r="R5" s="3402"/>
      <c r="S5" s="3403"/>
      <c r="T5" s="3402"/>
      <c r="U5" s="3403"/>
      <c r="V5" s="3425"/>
      <c r="W5" s="3425"/>
      <c r="X5" s="1265"/>
      <c r="Y5" s="3402"/>
      <c r="Z5" s="3403"/>
      <c r="AA5" s="3396"/>
      <c r="AB5" s="3425"/>
      <c r="AC5" s="3396"/>
    </row>
    <row r="6" spans="1:29" ht="15.75" thickBot="1">
      <c r="A6" s="350"/>
      <c r="B6" s="351"/>
      <c r="C6" s="3408" t="s">
        <v>1677</v>
      </c>
      <c r="D6" s="3409"/>
      <c r="E6" s="3410" t="s">
        <v>1677</v>
      </c>
      <c r="F6" s="3411"/>
      <c r="G6" s="3408" t="s">
        <v>1677</v>
      </c>
      <c r="H6" s="3409"/>
      <c r="I6" s="3408" t="s">
        <v>1677</v>
      </c>
      <c r="J6" s="3409"/>
      <c r="K6" s="537" t="s">
        <v>1678</v>
      </c>
      <c r="L6" s="2487"/>
      <c r="M6" s="2488"/>
      <c r="N6" s="2488"/>
      <c r="O6" s="2488"/>
      <c r="P6" s="3421"/>
      <c r="Q6" s="3422"/>
      <c r="R6" s="3402"/>
      <c r="S6" s="3403"/>
      <c r="T6" s="3423"/>
      <c r="U6" s="3424"/>
      <c r="V6" s="3425"/>
      <c r="W6" s="3425"/>
      <c r="X6" s="1265"/>
      <c r="Y6" s="3423"/>
      <c r="Z6" s="3424"/>
      <c r="AA6" s="3397"/>
      <c r="AB6" s="3425"/>
      <c r="AC6" s="3397"/>
    </row>
    <row r="7" spans="1:29" s="102" customFormat="1" ht="15.75" thickBot="1">
      <c r="A7" s="352" t="s">
        <v>1679</v>
      </c>
      <c r="B7" s="353"/>
      <c r="C7" s="354">
        <f>'数据-取费表'!B2</f>
        <v>46003</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8" t="s">
        <v>1683</v>
      </c>
      <c r="Q8" s="3399"/>
      <c r="R8" s="664" t="s">
        <v>14</v>
      </c>
      <c r="S8" s="665">
        <f t="shared" si="0"/>
        <v>100</v>
      </c>
      <c r="T8" s="664" t="s">
        <v>14</v>
      </c>
      <c r="U8" s="665">
        <f t="shared" si="1"/>
        <v>100</v>
      </c>
      <c r="V8" s="664" t="s">
        <v>14</v>
      </c>
      <c r="W8" s="665">
        <f t="shared" si="2"/>
        <v>100</v>
      </c>
      <c r="X8" s="666"/>
      <c r="Y8" s="3398" t="s">
        <v>1683</v>
      </c>
      <c r="Z8" s="339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2"/>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2"/>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38" t="s">
        <v>1691</v>
      </c>
      <c r="Q15" s="1263" t="str">
        <f t="shared" si="6"/>
        <v>商业繁华度</v>
      </c>
      <c r="R15" s="667" t="s">
        <v>14</v>
      </c>
      <c r="S15" s="668">
        <f t="shared" si="0"/>
        <v>100</v>
      </c>
      <c r="T15" s="667" t="s">
        <v>14</v>
      </c>
      <c r="U15" s="668">
        <f t="shared" si="1"/>
        <v>100</v>
      </c>
      <c r="V15" s="667" t="s">
        <v>14</v>
      </c>
      <c r="W15" s="668">
        <f t="shared" si="2"/>
        <v>100</v>
      </c>
      <c r="X15" s="1265"/>
      <c r="Y15" s="343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39"/>
      <c r="Q16" s="1263"/>
      <c r="R16" s="667"/>
      <c r="S16" s="668"/>
      <c r="T16" s="667"/>
      <c r="U16" s="668"/>
      <c r="V16" s="667"/>
      <c r="W16" s="668"/>
      <c r="X16" s="1265"/>
      <c r="Y16" s="343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39"/>
      <c r="Q18" s="1263"/>
      <c r="R18" s="667"/>
      <c r="S18" s="668"/>
      <c r="T18" s="667"/>
      <c r="U18" s="668"/>
      <c r="V18" s="667"/>
      <c r="W18" s="668"/>
      <c r="X18" s="1265"/>
      <c r="Y18" s="3432"/>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39"/>
      <c r="Q20" s="1263"/>
      <c r="R20" s="667"/>
      <c r="S20" s="668"/>
      <c r="T20" s="667"/>
      <c r="U20" s="668"/>
      <c r="V20" s="667"/>
      <c r="W20" s="668"/>
      <c r="X20" s="1265"/>
      <c r="Y20" s="343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39"/>
      <c r="Q22" s="1263"/>
      <c r="R22" s="667"/>
      <c r="S22" s="668"/>
      <c r="T22" s="667"/>
      <c r="U22" s="668"/>
      <c r="V22" s="667"/>
      <c r="W22" s="668"/>
      <c r="X22" s="1265"/>
      <c r="Y22" s="3432"/>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39"/>
      <c r="Q23" s="1263" t="str">
        <f>B23</f>
        <v>自然及人文环境</v>
      </c>
      <c r="R23" s="667" t="s">
        <v>14</v>
      </c>
      <c r="S23" s="668">
        <f>F23</f>
        <v>100</v>
      </c>
      <c r="T23" s="667" t="s">
        <v>14</v>
      </c>
      <c r="U23" s="668">
        <f>H23</f>
        <v>100</v>
      </c>
      <c r="V23" s="667" t="s">
        <v>14</v>
      </c>
      <c r="W23" s="668">
        <f>J23</f>
        <v>100</v>
      </c>
      <c r="X23" s="1265"/>
      <c r="Y23" s="343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39"/>
      <c r="Q24" s="1263"/>
      <c r="R24" s="667"/>
      <c r="S24" s="668"/>
      <c r="T24" s="667"/>
      <c r="U24" s="668"/>
      <c r="V24" s="667"/>
      <c r="W24" s="668"/>
      <c r="X24" s="1265"/>
      <c r="Y24" s="343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39"/>
      <c r="Q25" s="1263" t="str">
        <f t="shared" ref="Q25:Q46" si="11">B25</f>
        <v>临街状况</v>
      </c>
      <c r="R25" s="667" t="s">
        <v>14</v>
      </c>
      <c r="S25" s="668">
        <f>F25</f>
        <v>100</v>
      </c>
      <c r="T25" s="667" t="s">
        <v>14</v>
      </c>
      <c r="U25" s="668">
        <f>H25</f>
        <v>100</v>
      </c>
      <c r="V25" s="667" t="s">
        <v>14</v>
      </c>
      <c r="W25" s="668">
        <f>J25</f>
        <v>100</v>
      </c>
      <c r="X25" s="1265"/>
      <c r="Y25" s="343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39"/>
      <c r="Q26" s="1263" t="str">
        <f t="shared" si="11"/>
        <v>平面位置/可视性</v>
      </c>
      <c r="R26" s="667" t="s">
        <v>14</v>
      </c>
      <c r="S26" s="668">
        <f>F26</f>
        <v>100</v>
      </c>
      <c r="T26" s="667" t="s">
        <v>14</v>
      </c>
      <c r="U26" s="668">
        <f>H26</f>
        <v>100</v>
      </c>
      <c r="V26" s="667" t="s">
        <v>14</v>
      </c>
      <c r="W26" s="668">
        <f>J26</f>
        <v>100</v>
      </c>
      <c r="X26" s="1265"/>
      <c r="Y26" s="343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39"/>
      <c r="Q27" s="530" t="str">
        <f t="shared" si="11"/>
        <v>人流量</v>
      </c>
      <c r="R27" s="664" t="s">
        <v>14</v>
      </c>
      <c r="S27" s="665">
        <f>F27</f>
        <v>100</v>
      </c>
      <c r="T27" s="664" t="s">
        <v>14</v>
      </c>
      <c r="U27" s="665">
        <f>H27</f>
        <v>100</v>
      </c>
      <c r="V27" s="664" t="s">
        <v>14</v>
      </c>
      <c r="W27" s="665">
        <f>J27</f>
        <v>100</v>
      </c>
      <c r="X27" s="666"/>
      <c r="Y27" s="343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3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39"/>
      <c r="Q29" s="1263">
        <f t="shared" si="11"/>
        <v>111</v>
      </c>
      <c r="R29" s="667" t="s">
        <v>14</v>
      </c>
      <c r="S29" s="668">
        <f t="shared" si="12"/>
        <v>100</v>
      </c>
      <c r="T29" s="667" t="s">
        <v>14</v>
      </c>
      <c r="U29" s="668">
        <f t="shared" si="13"/>
        <v>100</v>
      </c>
      <c r="V29" s="667" t="s">
        <v>14</v>
      </c>
      <c r="W29" s="668">
        <f t="shared" si="14"/>
        <v>100</v>
      </c>
      <c r="X29" s="1265"/>
      <c r="Y29" s="343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3" t="s">
        <v>1696</v>
      </c>
      <c r="Q32" s="1263" t="str">
        <f t="shared" si="11"/>
        <v>商业类型</v>
      </c>
      <c r="R32" s="667" t="s">
        <v>14</v>
      </c>
      <c r="S32" s="668">
        <f t="shared" si="12"/>
        <v>100</v>
      </c>
      <c r="T32" s="667" t="s">
        <v>14</v>
      </c>
      <c r="U32" s="668">
        <f t="shared" si="13"/>
        <v>100</v>
      </c>
      <c r="V32" s="667" t="s">
        <v>14</v>
      </c>
      <c r="W32" s="668">
        <f t="shared" si="14"/>
        <v>100</v>
      </c>
      <c r="X32" s="1265"/>
      <c r="Y32" s="343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34"/>
      <c r="Q33" s="531" t="str">
        <f t="shared" si="11"/>
        <v>项目建筑规模</v>
      </c>
      <c r="R33" s="669" t="s">
        <v>14</v>
      </c>
      <c r="S33" s="670" t="e">
        <f t="shared" si="12"/>
        <v>#N/A</v>
      </c>
      <c r="T33" s="669" t="s">
        <v>14</v>
      </c>
      <c r="U33" s="670" t="e">
        <f t="shared" si="13"/>
        <v>#N/A</v>
      </c>
      <c r="V33" s="669" t="s">
        <v>14</v>
      </c>
      <c r="W33" s="670" t="e">
        <f t="shared" si="14"/>
        <v>#N/A</v>
      </c>
      <c r="X33" s="671"/>
      <c r="Y33" s="343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34"/>
      <c r="Q34" s="1263" t="str">
        <f t="shared" si="11"/>
        <v>建筑结构</v>
      </c>
      <c r="R34" s="667" t="s">
        <v>14</v>
      </c>
      <c r="S34" s="668">
        <f t="shared" si="12"/>
        <v>100</v>
      </c>
      <c r="T34" s="667" t="s">
        <v>14</v>
      </c>
      <c r="U34" s="668">
        <f t="shared" si="13"/>
        <v>100</v>
      </c>
      <c r="V34" s="667" t="s">
        <v>14</v>
      </c>
      <c r="W34" s="668">
        <f t="shared" si="14"/>
        <v>100</v>
      </c>
      <c r="X34" s="1265"/>
      <c r="Y34" s="343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34"/>
      <c r="Q35" s="1263" t="str">
        <f t="shared" si="11"/>
        <v>公共部分装修</v>
      </c>
      <c r="R35" s="667" t="s">
        <v>14</v>
      </c>
      <c r="S35" s="668">
        <f t="shared" si="12"/>
        <v>100</v>
      </c>
      <c r="T35" s="667" t="s">
        <v>14</v>
      </c>
      <c r="U35" s="668">
        <f t="shared" si="13"/>
        <v>100</v>
      </c>
      <c r="V35" s="667" t="s">
        <v>14</v>
      </c>
      <c r="W35" s="668">
        <f t="shared" si="14"/>
        <v>100</v>
      </c>
      <c r="X35" s="1265"/>
      <c r="Y35" s="343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34"/>
      <c r="Q36" s="1263" t="str">
        <f t="shared" si="11"/>
        <v>成新度</v>
      </c>
      <c r="R36" s="667" t="s">
        <v>14</v>
      </c>
      <c r="S36" s="668" t="e">
        <f t="shared" si="12"/>
        <v>#N/A</v>
      </c>
      <c r="T36" s="667" t="s">
        <v>14</v>
      </c>
      <c r="U36" s="668" t="e">
        <f t="shared" si="13"/>
        <v>#N/A</v>
      </c>
      <c r="V36" s="667" t="s">
        <v>14</v>
      </c>
      <c r="W36" s="668" t="e">
        <f t="shared" si="14"/>
        <v>#N/A</v>
      </c>
      <c r="X36" s="1265"/>
      <c r="Y36" s="343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34"/>
      <c r="Q37" s="530" t="str">
        <f t="shared" si="11"/>
        <v>市政基础设施</v>
      </c>
      <c r="R37" s="664" t="s">
        <v>14</v>
      </c>
      <c r="S37" s="665">
        <f t="shared" si="12"/>
        <v>100</v>
      </c>
      <c r="T37" s="664" t="s">
        <v>14</v>
      </c>
      <c r="U37" s="665">
        <f t="shared" si="13"/>
        <v>100</v>
      </c>
      <c r="V37" s="664" t="s">
        <v>14</v>
      </c>
      <c r="W37" s="665">
        <f t="shared" si="14"/>
        <v>100</v>
      </c>
      <c r="X37" s="666"/>
      <c r="Y37" s="343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34" t="s">
        <v>1696</v>
      </c>
      <c r="Q38" s="1263" t="str">
        <f t="shared" si="11"/>
        <v>业态</v>
      </c>
      <c r="R38" s="667" t="s">
        <v>14</v>
      </c>
      <c r="S38" s="668">
        <f t="shared" si="12"/>
        <v>100</v>
      </c>
      <c r="T38" s="667" t="s">
        <v>14</v>
      </c>
      <c r="U38" s="668">
        <f t="shared" si="13"/>
        <v>100</v>
      </c>
      <c r="V38" s="667" t="s">
        <v>14</v>
      </c>
      <c r="W38" s="668">
        <f t="shared" si="14"/>
        <v>100</v>
      </c>
      <c r="X38" s="1265"/>
      <c r="Y38" s="343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34"/>
      <c r="Q39" s="1263" t="str">
        <f t="shared" si="11"/>
        <v>层高</v>
      </c>
      <c r="R39" s="667" t="s">
        <v>14</v>
      </c>
      <c r="S39" s="668">
        <f t="shared" si="12"/>
        <v>100</v>
      </c>
      <c r="T39" s="667" t="s">
        <v>14</v>
      </c>
      <c r="U39" s="668">
        <f t="shared" si="13"/>
        <v>100</v>
      </c>
      <c r="V39" s="667" t="s">
        <v>14</v>
      </c>
      <c r="W39" s="668">
        <f t="shared" si="14"/>
        <v>100</v>
      </c>
      <c r="X39" s="1265"/>
      <c r="Y39" s="343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34"/>
      <c r="Q40" s="1263" t="str">
        <f t="shared" si="11"/>
        <v>单套建筑面积</v>
      </c>
      <c r="R40" s="667" t="s">
        <v>14</v>
      </c>
      <c r="S40" s="668">
        <f t="shared" si="12"/>
        <v>100</v>
      </c>
      <c r="T40" s="667" t="s">
        <v>14</v>
      </c>
      <c r="U40" s="668">
        <f t="shared" si="13"/>
        <v>100</v>
      </c>
      <c r="V40" s="667" t="s">
        <v>14</v>
      </c>
      <c r="W40" s="668">
        <f t="shared" si="14"/>
        <v>100</v>
      </c>
      <c r="X40" s="1265"/>
      <c r="Y40" s="343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34"/>
      <c r="Q41" s="531" t="str">
        <f t="shared" si="11"/>
        <v>进深比</v>
      </c>
      <c r="R41" s="669" t="s">
        <v>14</v>
      </c>
      <c r="S41" s="670">
        <f t="shared" si="12"/>
        <v>100</v>
      </c>
      <c r="T41" s="669" t="s">
        <v>14</v>
      </c>
      <c r="U41" s="670">
        <f t="shared" si="13"/>
        <v>100</v>
      </c>
      <c r="V41" s="669" t="s">
        <v>14</v>
      </c>
      <c r="W41" s="670">
        <f t="shared" si="14"/>
        <v>100</v>
      </c>
      <c r="X41" s="671"/>
      <c r="Y41" s="343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34"/>
      <c r="Q42" s="1263" t="str">
        <f t="shared" si="11"/>
        <v>内部装修</v>
      </c>
      <c r="R42" s="667" t="s">
        <v>14</v>
      </c>
      <c r="S42" s="668">
        <f t="shared" si="12"/>
        <v>100</v>
      </c>
      <c r="T42" s="667" t="s">
        <v>14</v>
      </c>
      <c r="U42" s="668">
        <f t="shared" si="13"/>
        <v>100</v>
      </c>
      <c r="V42" s="667" t="s">
        <v>14</v>
      </c>
      <c r="W42" s="668">
        <f t="shared" si="14"/>
        <v>100</v>
      </c>
      <c r="X42" s="1265"/>
      <c r="Y42" s="343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34"/>
      <c r="Q43" s="1263" t="str">
        <f t="shared" si="11"/>
        <v>内部装修维护情况</v>
      </c>
      <c r="R43" s="667" t="s">
        <v>14</v>
      </c>
      <c r="S43" s="668">
        <f t="shared" si="12"/>
        <v>100</v>
      </c>
      <c r="T43" s="667" t="s">
        <v>14</v>
      </c>
      <c r="U43" s="668">
        <f t="shared" si="13"/>
        <v>100</v>
      </c>
      <c r="V43" s="667" t="s">
        <v>14</v>
      </c>
      <c r="W43" s="668">
        <f t="shared" si="14"/>
        <v>100</v>
      </c>
      <c r="X43" s="1265"/>
      <c r="Y43" s="343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34"/>
      <c r="Q44" s="530">
        <f t="shared" si="11"/>
        <v>111</v>
      </c>
      <c r="R44" s="664" t="s">
        <v>14</v>
      </c>
      <c r="S44" s="665">
        <f t="shared" si="12"/>
        <v>100</v>
      </c>
      <c r="T44" s="664" t="s">
        <v>14</v>
      </c>
      <c r="U44" s="665">
        <f t="shared" si="13"/>
        <v>100</v>
      </c>
      <c r="V44" s="664" t="s">
        <v>14</v>
      </c>
      <c r="W44" s="665">
        <f t="shared" si="14"/>
        <v>100</v>
      </c>
      <c r="X44" s="666"/>
      <c r="Y44" s="343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34"/>
      <c r="Q45" s="1263">
        <f t="shared" si="11"/>
        <v>111</v>
      </c>
      <c r="R45" s="667" t="s">
        <v>14</v>
      </c>
      <c r="S45" s="668">
        <f t="shared" si="12"/>
        <v>100</v>
      </c>
      <c r="T45" s="667" t="s">
        <v>14</v>
      </c>
      <c r="U45" s="668">
        <f t="shared" si="13"/>
        <v>100</v>
      </c>
      <c r="V45" s="667" t="s">
        <v>14</v>
      </c>
      <c r="W45" s="668">
        <f t="shared" si="14"/>
        <v>100</v>
      </c>
      <c r="X45" s="1265"/>
      <c r="Y45" s="343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35"/>
      <c r="Q46" s="1263">
        <f t="shared" si="11"/>
        <v>111</v>
      </c>
      <c r="R46" s="667" t="s">
        <v>14</v>
      </c>
      <c r="S46" s="668">
        <f t="shared" si="12"/>
        <v>100</v>
      </c>
      <c r="T46" s="667" t="s">
        <v>14</v>
      </c>
      <c r="U46" s="668">
        <f t="shared" si="13"/>
        <v>100</v>
      </c>
      <c r="V46" s="667" t="s">
        <v>14</v>
      </c>
      <c r="W46" s="668">
        <f t="shared" si="14"/>
        <v>100</v>
      </c>
      <c r="X46" s="1265"/>
      <c r="Y46" s="343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30" t="str">
        <f>A47</f>
        <v>成交单价（元/平方米）</v>
      </c>
      <c r="Q47" s="3430"/>
      <c r="R47" s="3425">
        <f>E47</f>
        <v>0</v>
      </c>
      <c r="S47" s="3425"/>
      <c r="T47" s="3425">
        <f>G47</f>
        <v>0</v>
      </c>
      <c r="U47" s="3425"/>
      <c r="V47" s="3425">
        <f>I47</f>
        <v>0</v>
      </c>
      <c r="W47" s="3425"/>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430" t="str">
        <f>A48</f>
        <v>比较价值（元/平方米）</v>
      </c>
      <c r="Q48" s="3430"/>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K43" sqref="K4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3428</v>
      </c>
      <c r="E1" s="3132" t="s">
        <v>3431</v>
      </c>
      <c r="F1" s="1735" t="s">
        <v>3432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0.59989999999999999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5.27</v>
      </c>
      <c r="C3" s="344" t="s">
        <v>1768</v>
      </c>
      <c r="D3" s="343">
        <f>IF(D1="",'数据-汇总表'!E3,SUMIF('数据-汇总表'!$C19:$C33,D1,'数据-汇总表'!$E19:$E33))</f>
        <v>1138.31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3" t="s">
        <v>1770</v>
      </c>
      <c r="D4" s="3414"/>
      <c r="E4" s="3415" t="s">
        <v>1771</v>
      </c>
      <c r="F4" s="3416"/>
      <c r="G4" s="3413" t="s">
        <v>1772</v>
      </c>
      <c r="H4" s="3414"/>
      <c r="I4" s="3413" t="s">
        <v>1773</v>
      </c>
      <c r="J4" s="3414"/>
      <c r="K4" s="537" t="s">
        <v>1774</v>
      </c>
      <c r="L4" s="2487"/>
      <c r="M4" s="2488"/>
      <c r="N4" s="2488"/>
      <c r="O4" s="2488"/>
      <c r="P4" s="3448" t="s">
        <v>1775</v>
      </c>
      <c r="Q4" s="3449"/>
      <c r="R4" s="3441" t="s">
        <v>1771</v>
      </c>
      <c r="S4" s="3442"/>
      <c r="T4" s="3441" t="s">
        <v>1772</v>
      </c>
      <c r="U4" s="3442"/>
      <c r="V4" s="3452" t="s">
        <v>1773</v>
      </c>
      <c r="W4" s="3452"/>
      <c r="X4" s="1809"/>
      <c r="Y4" s="3441" t="s">
        <v>1775</v>
      </c>
      <c r="Z4" s="3442"/>
      <c r="AA4" s="3440" t="s">
        <v>1771</v>
      </c>
      <c r="AB4" s="3440" t="s">
        <v>1772</v>
      </c>
      <c r="AC4" s="3445" t="s">
        <v>1773</v>
      </c>
    </row>
    <row r="5" spans="1:29" ht="15">
      <c r="A5" s="348"/>
      <c r="B5" s="349"/>
      <c r="C5" s="3443" t="s">
        <v>3513</v>
      </c>
      <c r="D5" s="3407"/>
      <c r="E5" s="3523" t="s">
        <v>3514</v>
      </c>
      <c r="F5" s="3405"/>
      <c r="G5" s="3443" t="s">
        <v>3515</v>
      </c>
      <c r="H5" s="3407"/>
      <c r="I5" s="3443" t="s">
        <v>3522</v>
      </c>
      <c r="J5" s="3407"/>
      <c r="K5" s="537"/>
      <c r="L5" s="2487"/>
      <c r="M5" s="2488"/>
      <c r="N5" s="2488"/>
      <c r="O5" s="2488"/>
      <c r="P5" s="3450"/>
      <c r="Q5" s="3420"/>
      <c r="R5" s="3402"/>
      <c r="S5" s="3403"/>
      <c r="T5" s="3402"/>
      <c r="U5" s="3403"/>
      <c r="V5" s="3425"/>
      <c r="W5" s="3425"/>
      <c r="X5" s="1265"/>
      <c r="Y5" s="3402"/>
      <c r="Z5" s="3403"/>
      <c r="AA5" s="3396"/>
      <c r="AB5" s="3396"/>
      <c r="AC5" s="3446"/>
    </row>
    <row r="6" spans="1:29" ht="15.75" thickBot="1">
      <c r="A6" s="350"/>
      <c r="B6" s="351"/>
      <c r="C6" s="3444"/>
      <c r="D6" s="3409"/>
      <c r="E6" s="3410" t="s">
        <v>1677</v>
      </c>
      <c r="F6" s="3411"/>
      <c r="G6" s="3408" t="s">
        <v>1677</v>
      </c>
      <c r="H6" s="3409"/>
      <c r="I6" s="3408" t="s">
        <v>1677</v>
      </c>
      <c r="J6" s="3409"/>
      <c r="K6" s="537" t="s">
        <v>1678</v>
      </c>
      <c r="L6" s="2487"/>
      <c r="M6" s="2488"/>
      <c r="N6" s="2488"/>
      <c r="O6" s="2488"/>
      <c r="P6" s="3451"/>
      <c r="Q6" s="3422"/>
      <c r="R6" s="3402"/>
      <c r="S6" s="3403"/>
      <c r="T6" s="3423"/>
      <c r="U6" s="3424"/>
      <c r="V6" s="3425"/>
      <c r="W6" s="3425"/>
      <c r="X6" s="1265"/>
      <c r="Y6" s="3423"/>
      <c r="Z6" s="3424"/>
      <c r="AA6" s="3397"/>
      <c r="AB6" s="3397"/>
      <c r="AC6" s="3447"/>
    </row>
    <row r="7" spans="1:29" s="102" customFormat="1" ht="15.75" thickBot="1">
      <c r="A7" s="352" t="s">
        <v>1679</v>
      </c>
      <c r="B7" s="353"/>
      <c r="C7" s="354">
        <f>'数据-取费表'!B2</f>
        <v>46003</v>
      </c>
      <c r="D7" s="355">
        <v>100</v>
      </c>
      <c r="E7" s="356">
        <f>C7</f>
        <v>46003</v>
      </c>
      <c r="F7" s="357">
        <f>SUMIF(59:59,YEAR(E7)&amp;"-"&amp;MONTH(E7),60:60)</f>
        <v>100</v>
      </c>
      <c r="G7" s="356">
        <f>C7</f>
        <v>46003</v>
      </c>
      <c r="H7" s="355">
        <f>SUMIF(59:59,YEAR(G7)&amp;"-"&amp;MONTH(G7),60:60)</f>
        <v>100</v>
      </c>
      <c r="I7" s="356">
        <f>C7</f>
        <v>46003</v>
      </c>
      <c r="J7" s="355">
        <f>SUMIF(59:59,YEAR(I7)&amp;"-"&amp;MONTH(I7),60:60)</f>
        <v>100</v>
      </c>
      <c r="K7" s="38"/>
      <c r="L7" s="2489"/>
      <c r="M7" s="2440"/>
      <c r="N7" s="2440"/>
      <c r="O7" s="2440"/>
      <c r="P7" s="3453" t="s">
        <v>1680</v>
      </c>
      <c r="Q7" s="3426"/>
      <c r="R7" s="664" t="s">
        <v>14</v>
      </c>
      <c r="S7" s="665">
        <f t="shared" ref="S7:S15" si="0">F7</f>
        <v>100</v>
      </c>
      <c r="T7" s="664" t="s">
        <v>14</v>
      </c>
      <c r="U7" s="665">
        <f t="shared" ref="U7:U15" si="1">H7</f>
        <v>100</v>
      </c>
      <c r="V7" s="664" t="s">
        <v>14</v>
      </c>
      <c r="W7" s="665">
        <f t="shared" ref="W7:W15" si="2">J7</f>
        <v>100</v>
      </c>
      <c r="X7" s="666"/>
      <c r="Y7" s="3398" t="s">
        <v>1680</v>
      </c>
      <c r="Z7" s="3399"/>
      <c r="AA7" s="50">
        <f>D7/F7</f>
        <v>1</v>
      </c>
      <c r="AB7" s="50">
        <f>D7/H7</f>
        <v>1</v>
      </c>
      <c r="AC7" s="802">
        <f>D7/J7</f>
        <v>1</v>
      </c>
    </row>
    <row r="8" spans="1:29" s="102" customFormat="1" ht="15.75" thickBot="1">
      <c r="A8" s="352" t="s">
        <v>1681</v>
      </c>
      <c r="B8" s="353"/>
      <c r="C8" s="358" t="s">
        <v>3433</v>
      </c>
      <c r="D8" s="355">
        <v>100</v>
      </c>
      <c r="E8" s="358" t="s">
        <v>3433</v>
      </c>
      <c r="F8" s="357">
        <f>SUMIF(62:62,E8,63:63)-SUMIF(62:62,C8,63:63)+100</f>
        <v>100</v>
      </c>
      <c r="G8" s="358" t="s">
        <v>3433</v>
      </c>
      <c r="H8" s="355">
        <f>SUMIF(62:62,G8,63:63)-SUMIF(62:62,C8,63:63)+100</f>
        <v>100</v>
      </c>
      <c r="I8" s="358" t="s">
        <v>3436</v>
      </c>
      <c r="J8" s="355">
        <f>SUMIF(62:62,I8,63:63)-SUMIF(62:62,C8,63:63)+100</f>
        <v>102</v>
      </c>
      <c r="K8" s="38"/>
      <c r="L8" s="2489"/>
      <c r="M8" s="2440"/>
      <c r="N8" s="2440"/>
      <c r="O8" s="2440"/>
      <c r="P8" s="3453" t="s">
        <v>1683</v>
      </c>
      <c r="Q8" s="3399"/>
      <c r="R8" s="664" t="s">
        <v>14</v>
      </c>
      <c r="S8" s="665">
        <f t="shared" si="0"/>
        <v>100</v>
      </c>
      <c r="T8" s="664" t="s">
        <v>14</v>
      </c>
      <c r="U8" s="665">
        <f t="shared" si="1"/>
        <v>100</v>
      </c>
      <c r="V8" s="664" t="s">
        <v>14</v>
      </c>
      <c r="W8" s="665">
        <f t="shared" si="2"/>
        <v>102</v>
      </c>
      <c r="X8" s="666"/>
      <c r="Y8" s="3398" t="s">
        <v>1683</v>
      </c>
      <c r="Z8" s="3399"/>
      <c r="AA8" s="50">
        <f t="shared" ref="AA8:AA47" si="3">D8/F8</f>
        <v>1</v>
      </c>
      <c r="AB8" s="50">
        <f t="shared" ref="AB8:AB47" si="4">D8/H8</f>
        <v>1</v>
      </c>
      <c r="AC8" s="802">
        <f t="shared" ref="AC8:AC47" si="5">D8/J8</f>
        <v>0.98039215686274506</v>
      </c>
    </row>
    <row r="9" spans="1:29" s="102" customFormat="1">
      <c r="A9" s="359" t="s">
        <v>1684</v>
      </c>
      <c r="B9" s="60" t="s">
        <v>1685</v>
      </c>
      <c r="C9" s="3171" t="s">
        <v>3439</v>
      </c>
      <c r="D9" s="59">
        <v>100</v>
      </c>
      <c r="E9" s="362" t="s">
        <v>3438</v>
      </c>
      <c r="F9" s="59">
        <f>SUMIF(64:64,E9,65:65)-SUMIF(64:64,C9,65:65)+100</f>
        <v>100</v>
      </c>
      <c r="G9" s="362" t="s">
        <v>3438</v>
      </c>
      <c r="H9" s="59">
        <f>SUMIF(64:64,G9,65:65)-SUMIF(64:64,C9,65:65)+100</f>
        <v>100</v>
      </c>
      <c r="I9" s="362" t="s">
        <v>3438</v>
      </c>
      <c r="J9" s="59">
        <f>SUMIF(64:64,I9,65:65)-SUMIF(64:64,C9,65:65)+100</f>
        <v>100</v>
      </c>
      <c r="K9" s="38"/>
      <c r="L9" s="2489"/>
      <c r="M9" s="2440"/>
      <c r="N9" s="2440"/>
      <c r="O9" s="2440"/>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2"/>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802">
        <f t="shared" si="5"/>
        <v>1</v>
      </c>
    </row>
    <row r="12" spans="1:29" s="102" customFormat="1" ht="27">
      <c r="A12" s="370"/>
      <c r="B12" s="3173" t="s">
        <v>3434</v>
      </c>
      <c r="C12" s="3174" t="s">
        <v>3435</v>
      </c>
      <c r="D12" s="372">
        <v>100</v>
      </c>
      <c r="E12" s="3174" t="s">
        <v>3435</v>
      </c>
      <c r="F12" s="119">
        <f>SUMIF(71:71,E12,72:72)-SUMIF(71:71,C12,72:72)+100</f>
        <v>100</v>
      </c>
      <c r="G12" s="3174" t="s">
        <v>3435</v>
      </c>
      <c r="H12" s="119">
        <f>SUMIF(71:71,G12,72:72)-SUMIF(71:71,C12,72:72)+100</f>
        <v>100</v>
      </c>
      <c r="I12" s="3174" t="s">
        <v>3435</v>
      </c>
      <c r="J12" s="119">
        <f>SUMIF(71:71,I12,72:72)-SUMIF(71:71,C12,72:72)+100</f>
        <v>100</v>
      </c>
      <c r="K12" s="539"/>
      <c r="L12" s="2489"/>
      <c r="M12" s="2440"/>
      <c r="N12" s="2440"/>
      <c r="O12" s="2440"/>
      <c r="P12" s="3412"/>
      <c r="Q12" s="530" t="str">
        <f t="shared" si="6"/>
        <v>租金内涵</v>
      </c>
      <c r="R12" s="664" t="s">
        <v>14</v>
      </c>
      <c r="S12" s="665">
        <f t="shared" si="0"/>
        <v>100</v>
      </c>
      <c r="T12" s="664" t="s">
        <v>14</v>
      </c>
      <c r="U12" s="665">
        <f t="shared" si="1"/>
        <v>100</v>
      </c>
      <c r="V12" s="664" t="s">
        <v>14</v>
      </c>
      <c r="W12" s="665">
        <f t="shared" si="2"/>
        <v>100</v>
      </c>
      <c r="X12" s="666"/>
      <c r="Y12" s="3342"/>
      <c r="Z12" s="50" t="str">
        <f t="shared" si="7"/>
        <v>租金内涵</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2</v>
      </c>
      <c r="L15" s="2493"/>
      <c r="M15" s="2488"/>
      <c r="N15" s="2488"/>
      <c r="O15" s="2488"/>
      <c r="P15" s="3438" t="s">
        <v>1691</v>
      </c>
      <c r="Q15" s="1263" t="str">
        <f t="shared" si="6"/>
        <v>办公集聚程度</v>
      </c>
      <c r="R15" s="667" t="s">
        <v>14</v>
      </c>
      <c r="S15" s="668">
        <f t="shared" si="0"/>
        <v>100</v>
      </c>
      <c r="T15" s="667" t="s">
        <v>14</v>
      </c>
      <c r="U15" s="668">
        <f t="shared" si="1"/>
        <v>100</v>
      </c>
      <c r="V15" s="667" t="s">
        <v>14</v>
      </c>
      <c r="W15" s="668">
        <f t="shared" si="2"/>
        <v>100</v>
      </c>
      <c r="X15" s="1265"/>
      <c r="Y15" s="3431" t="s">
        <v>1691</v>
      </c>
      <c r="Z15" s="1264" t="str">
        <f t="shared" si="7"/>
        <v>办公集聚程度</v>
      </c>
      <c r="AA15" s="1264">
        <f t="shared" si="3"/>
        <v>1</v>
      </c>
      <c r="AB15" s="1264">
        <f t="shared" si="4"/>
        <v>1</v>
      </c>
      <c r="AC15" s="1812">
        <f t="shared" si="5"/>
        <v>1</v>
      </c>
    </row>
    <row r="16" spans="1:29" ht="15">
      <c r="A16" s="367"/>
      <c r="B16" s="555"/>
      <c r="C16" s="1758" t="s">
        <v>3459</v>
      </c>
      <c r="D16" s="387"/>
      <c r="E16" s="1758" t="s">
        <v>3459</v>
      </c>
      <c r="F16" s="387"/>
      <c r="G16" s="1758" t="s">
        <v>3459</v>
      </c>
      <c r="H16" s="389"/>
      <c r="I16" s="1758" t="s">
        <v>3459</v>
      </c>
      <c r="J16" s="387"/>
      <c r="K16" s="541"/>
      <c r="L16" s="2493"/>
      <c r="M16" s="2488"/>
      <c r="N16" s="2488"/>
      <c r="O16" s="2488"/>
      <c r="P16" s="3439"/>
      <c r="Q16" s="1263"/>
      <c r="R16" s="667"/>
      <c r="S16" s="668"/>
      <c r="T16" s="667"/>
      <c r="U16" s="668"/>
      <c r="V16" s="667"/>
      <c r="W16" s="668"/>
      <c r="X16" s="1265"/>
      <c r="Y16" s="3432"/>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812">
        <f t="shared" si="5"/>
        <v>1</v>
      </c>
    </row>
    <row r="18" spans="1:29" ht="15">
      <c r="A18" s="367"/>
      <c r="B18" s="401"/>
      <c r="C18" s="1814" t="s">
        <v>3459</v>
      </c>
      <c r="D18" s="389"/>
      <c r="E18" s="1814" t="s">
        <v>3459</v>
      </c>
      <c r="F18" s="389"/>
      <c r="G18" s="1814" t="s">
        <v>3459</v>
      </c>
      <c r="H18" s="387"/>
      <c r="I18" s="1814" t="s">
        <v>3459</v>
      </c>
      <c r="J18" s="387"/>
      <c r="K18" s="541"/>
      <c r="L18" s="2493"/>
      <c r="M18" s="2488"/>
      <c r="N18" s="2488"/>
      <c r="O18" s="2488"/>
      <c r="P18" s="3439"/>
      <c r="Q18" s="1263"/>
      <c r="R18" s="667"/>
      <c r="S18" s="668"/>
      <c r="T18" s="667"/>
      <c r="U18" s="668"/>
      <c r="V18" s="667"/>
      <c r="W18" s="668"/>
      <c r="X18" s="1265"/>
      <c r="Y18" s="3432"/>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812">
        <f t="shared" si="5"/>
        <v>1</v>
      </c>
    </row>
    <row r="20" spans="1:29" ht="15">
      <c r="A20" s="367"/>
      <c r="B20" s="401"/>
      <c r="C20" s="1758" t="s">
        <v>3459</v>
      </c>
      <c r="D20" s="387"/>
      <c r="E20" s="1758" t="s">
        <v>3459</v>
      </c>
      <c r="F20" s="387"/>
      <c r="G20" s="1758" t="s">
        <v>3459</v>
      </c>
      <c r="H20" s="387"/>
      <c r="I20" s="1758" t="s">
        <v>3459</v>
      </c>
      <c r="J20" s="387"/>
      <c r="K20" s="541"/>
      <c r="L20" s="2493"/>
      <c r="M20" s="2488"/>
      <c r="N20" s="2488"/>
      <c r="O20" s="2488"/>
      <c r="P20" s="3439"/>
      <c r="Q20" s="1263"/>
      <c r="R20" s="667"/>
      <c r="S20" s="668"/>
      <c r="T20" s="667"/>
      <c r="U20" s="668"/>
      <c r="V20" s="667"/>
      <c r="W20" s="668"/>
      <c r="X20" s="1265"/>
      <c r="Y20" s="3432"/>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3"/>
      <c r="M21" s="2488"/>
      <c r="N21" s="2488"/>
      <c r="O21" s="2488"/>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812">
        <f t="shared" ref="AC21" si="10">D21/J21</f>
        <v>1</v>
      </c>
    </row>
    <row r="22" spans="1:29" ht="15">
      <c r="A22" s="367"/>
      <c r="B22" s="557"/>
      <c r="C22" s="1814" t="s">
        <v>3452</v>
      </c>
      <c r="D22" s="387"/>
      <c r="E22" s="1814" t="s">
        <v>3452</v>
      </c>
      <c r="F22" s="387"/>
      <c r="G22" s="1814" t="s">
        <v>3452</v>
      </c>
      <c r="H22" s="387"/>
      <c r="I22" s="1814" t="s">
        <v>3452</v>
      </c>
      <c r="J22" s="387"/>
      <c r="K22" s="1064"/>
      <c r="L22" s="2493"/>
      <c r="M22" s="2488"/>
      <c r="N22" s="2488"/>
      <c r="O22" s="2488"/>
      <c r="P22" s="3439"/>
      <c r="Q22" s="1263"/>
      <c r="R22" s="667"/>
      <c r="S22" s="668"/>
      <c r="T22" s="667"/>
      <c r="U22" s="668"/>
      <c r="V22" s="667"/>
      <c r="W22" s="668"/>
      <c r="X22" s="1265"/>
      <c r="Y22" s="3432"/>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439"/>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812">
        <f t="shared" si="5"/>
        <v>1</v>
      </c>
    </row>
    <row r="24" spans="1:29" ht="15">
      <c r="A24" s="367"/>
      <c r="B24" s="557"/>
      <c r="C24" s="1758" t="s">
        <v>3459</v>
      </c>
      <c r="D24" s="387"/>
      <c r="E24" s="1758" t="s">
        <v>3459</v>
      </c>
      <c r="F24" s="387"/>
      <c r="G24" s="1758" t="s">
        <v>3459</v>
      </c>
      <c r="H24" s="387"/>
      <c r="I24" s="1758" t="s">
        <v>3459</v>
      </c>
      <c r="J24" s="387"/>
      <c r="K24" s="541"/>
      <c r="L24" s="2493"/>
      <c r="M24" s="2488"/>
      <c r="N24" s="2488"/>
      <c r="O24" s="2488"/>
      <c r="P24" s="3439"/>
      <c r="Q24" s="1263"/>
      <c r="R24" s="667"/>
      <c r="S24" s="668"/>
      <c r="T24" s="667"/>
      <c r="U24" s="668"/>
      <c r="V24" s="667"/>
      <c r="W24" s="668"/>
      <c r="X24" s="1265"/>
      <c r="Y24" s="343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39"/>
      <c r="Q25" s="1263" t="str">
        <f>B25</f>
        <v>毗邻道路的类型与等级</v>
      </c>
      <c r="R25" s="667" t="s">
        <v>14</v>
      </c>
      <c r="S25" s="668">
        <f>F25</f>
        <v>100</v>
      </c>
      <c r="T25" s="667" t="s">
        <v>14</v>
      </c>
      <c r="U25" s="668">
        <f>H25</f>
        <v>100</v>
      </c>
      <c r="V25" s="667" t="s">
        <v>14</v>
      </c>
      <c r="W25" s="668">
        <f>J25</f>
        <v>100</v>
      </c>
      <c r="X25" s="1265"/>
      <c r="Y25" s="343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39"/>
      <c r="Q26" s="1263"/>
      <c r="R26" s="667"/>
      <c r="S26" s="668"/>
      <c r="T26" s="667"/>
      <c r="U26" s="668"/>
      <c r="V26" s="667"/>
      <c r="W26" s="668"/>
      <c r="X26" s="1265"/>
      <c r="Y26" s="3432"/>
      <c r="Z26" s="1264"/>
      <c r="AA26" s="1264">
        <v>1</v>
      </c>
      <c r="AB26" s="1264">
        <v>1</v>
      </c>
      <c r="AC26" s="1812">
        <v>1</v>
      </c>
    </row>
    <row r="27" spans="1:29" ht="15">
      <c r="A27" s="367"/>
      <c r="B27" s="401" t="s">
        <v>1783</v>
      </c>
      <c r="C27" s="558" t="s">
        <v>3898</v>
      </c>
      <c r="D27" s="374">
        <v>100</v>
      </c>
      <c r="E27" s="558" t="s">
        <v>3517</v>
      </c>
      <c r="F27" s="374">
        <f>SUMIF(89:89,E27,90:90)-SUMIF(89:89,C27,90:90)+100</f>
        <v>98</v>
      </c>
      <c r="G27" s="558" t="s">
        <v>3898</v>
      </c>
      <c r="H27" s="374">
        <f>SUMIF(89:89,G27,90:90)-SUMIF(89:89,C27,90:90)+100</f>
        <v>100</v>
      </c>
      <c r="I27" s="558" t="s">
        <v>3517</v>
      </c>
      <c r="J27" s="374">
        <f>SUMIF(89:89,I27,90:90)-SUMIF(89:89,C27,90:90)+100</f>
        <v>98</v>
      </c>
      <c r="K27" s="538">
        <v>2</v>
      </c>
      <c r="L27" s="2493"/>
      <c r="M27" s="2488"/>
      <c r="N27" s="2488"/>
      <c r="O27" s="2488"/>
      <c r="P27" s="3439"/>
      <c r="Q27" s="1263" t="str">
        <f t="shared" ref="Q27:Q47" si="11">B27</f>
        <v>楼层</v>
      </c>
      <c r="R27" s="667" t="s">
        <v>14</v>
      </c>
      <c r="S27" s="668">
        <f>F27</f>
        <v>98</v>
      </c>
      <c r="T27" s="667" t="s">
        <v>14</v>
      </c>
      <c r="U27" s="668">
        <f>H27</f>
        <v>100</v>
      </c>
      <c r="V27" s="667" t="s">
        <v>14</v>
      </c>
      <c r="W27" s="668">
        <f>J27</f>
        <v>98</v>
      </c>
      <c r="X27" s="1265"/>
      <c r="Y27" s="3432"/>
      <c r="Z27" s="1264" t="str">
        <f>Q27</f>
        <v>楼层</v>
      </c>
      <c r="AA27" s="1264">
        <f t="shared" si="3"/>
        <v>1.0204081632653061</v>
      </c>
      <c r="AB27" s="1264">
        <f t="shared" si="4"/>
        <v>1</v>
      </c>
      <c r="AC27" s="1812">
        <f t="shared" si="5"/>
        <v>1.0204081632653061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39"/>
      <c r="Q28" s="530" t="str">
        <f t="shared" si="11"/>
        <v>朝向</v>
      </c>
      <c r="R28" s="664" t="s">
        <v>14</v>
      </c>
      <c r="S28" s="665">
        <f>F28</f>
        <v>100</v>
      </c>
      <c r="T28" s="664" t="s">
        <v>14</v>
      </c>
      <c r="U28" s="665">
        <f>H28</f>
        <v>100</v>
      </c>
      <c r="V28" s="664" t="s">
        <v>14</v>
      </c>
      <c r="W28" s="665">
        <f>J28</f>
        <v>100</v>
      </c>
      <c r="X28" s="666"/>
      <c r="Y28" s="343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3553" t="s">
        <v>3516</v>
      </c>
      <c r="H29" s="374">
        <f>SUMIF(93:93,G29,94:94)-SUMIF(93:93,C29,94:94)+100</f>
        <v>100</v>
      </c>
      <c r="I29" s="371"/>
      <c r="J29" s="374">
        <f>SUMIF(93:93,I29,94:94)-SUMIF(93:93,C29,94:94)+100</f>
        <v>100</v>
      </c>
      <c r="K29" s="539"/>
      <c r="L29" s="2493"/>
      <c r="M29" s="2488"/>
      <c r="N29" s="2488"/>
      <c r="O29" s="2488"/>
      <c r="P29" s="3439"/>
      <c r="Q29" s="1263">
        <f t="shared" si="11"/>
        <v>111</v>
      </c>
      <c r="R29" s="667" t="s">
        <v>14</v>
      </c>
      <c r="S29" s="668">
        <f t="shared" ref="S29:S47" si="12">F29</f>
        <v>100</v>
      </c>
      <c r="T29" s="667" t="s">
        <v>14</v>
      </c>
      <c r="U29" s="668">
        <f t="shared" ref="U29:U47" si="13">H29</f>
        <v>100</v>
      </c>
      <c r="V29" s="667" t="s">
        <v>14</v>
      </c>
      <c r="W29" s="668">
        <f t="shared" ref="W29:W47" si="14">J29</f>
        <v>100</v>
      </c>
      <c r="X29" s="1265"/>
      <c r="Y29" s="343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39"/>
      <c r="Q32" s="1263">
        <f t="shared" si="11"/>
        <v>111</v>
      </c>
      <c r="R32" s="667" t="s">
        <v>14</v>
      </c>
      <c r="S32" s="668">
        <f t="shared" si="12"/>
        <v>100</v>
      </c>
      <c r="T32" s="667" t="s">
        <v>14</v>
      </c>
      <c r="U32" s="668">
        <f t="shared" si="13"/>
        <v>100</v>
      </c>
      <c r="V32" s="667" t="s">
        <v>14</v>
      </c>
      <c r="W32" s="668">
        <f t="shared" si="14"/>
        <v>100</v>
      </c>
      <c r="X32" s="1265"/>
      <c r="Y32" s="3432"/>
      <c r="Z32" s="1264">
        <f t="shared" si="15"/>
        <v>111</v>
      </c>
      <c r="AA32" s="1264">
        <f t="shared" si="3"/>
        <v>1</v>
      </c>
      <c r="AB32" s="1264">
        <f t="shared" si="4"/>
        <v>1</v>
      </c>
      <c r="AC32" s="1812">
        <f t="shared" si="5"/>
        <v>1</v>
      </c>
    </row>
    <row r="33" spans="1:29" ht="15">
      <c r="A33" s="379" t="s">
        <v>1694</v>
      </c>
      <c r="B33" s="60" t="s">
        <v>1817</v>
      </c>
      <c r="C33" s="1764" t="s">
        <v>3424</v>
      </c>
      <c r="D33" s="405">
        <v>100</v>
      </c>
      <c r="E33" s="1764" t="s">
        <v>3424</v>
      </c>
      <c r="F33" s="400">
        <f>SUMIF(101:101,E33,102:102)-SUMIF(101:101,C33,102:102)+100</f>
        <v>100</v>
      </c>
      <c r="G33" s="1764" t="s">
        <v>3424</v>
      </c>
      <c r="H33" s="374">
        <f>SUMIF(101:101,G33,102:102)-SUMIF(101:101,C33,102:102)+100</f>
        <v>100</v>
      </c>
      <c r="I33" s="1764" t="s">
        <v>3424</v>
      </c>
      <c r="J33" s="405">
        <f>SUMIF(101:101,I33,102:102)-SUMIF(101:101,C33,102:102)+100</f>
        <v>100</v>
      </c>
      <c r="K33" s="538">
        <v>2</v>
      </c>
      <c r="L33" s="2493"/>
      <c r="M33" s="2488"/>
      <c r="N33" s="2488"/>
      <c r="O33" s="2488"/>
      <c r="P33" s="3433" t="s">
        <v>1696</v>
      </c>
      <c r="Q33" s="1263" t="str">
        <f t="shared" si="11"/>
        <v>建筑类型</v>
      </c>
      <c r="R33" s="667" t="s">
        <v>14</v>
      </c>
      <c r="S33" s="668">
        <f t="shared" si="12"/>
        <v>100</v>
      </c>
      <c r="T33" s="667" t="s">
        <v>14</v>
      </c>
      <c r="U33" s="668">
        <f t="shared" si="13"/>
        <v>100</v>
      </c>
      <c r="V33" s="667" t="s">
        <v>14</v>
      </c>
      <c r="W33" s="668">
        <f t="shared" si="14"/>
        <v>100</v>
      </c>
      <c r="X33" s="1265"/>
      <c r="Y33" s="3436" t="s">
        <v>1696</v>
      </c>
      <c r="Z33" s="1264" t="str">
        <f t="shared" si="15"/>
        <v>建筑类型</v>
      </c>
      <c r="AA33" s="1264">
        <f t="shared" si="3"/>
        <v>1</v>
      </c>
      <c r="AB33" s="1264">
        <f t="shared" si="4"/>
        <v>1</v>
      </c>
      <c r="AC33" s="1812">
        <f t="shared" si="5"/>
        <v>1</v>
      </c>
    </row>
    <row r="34" spans="1:29" s="408" customFormat="1" ht="15">
      <c r="A34" s="406"/>
      <c r="B34" s="364" t="s">
        <v>1697</v>
      </c>
      <c r="C34" s="407">
        <f>'数据-基础表'!I13</f>
        <v>1138.31</v>
      </c>
      <c r="D34" s="119">
        <v>100</v>
      </c>
      <c r="E34" s="369">
        <v>563.87</v>
      </c>
      <c r="F34" s="364">
        <f>LOOKUP(E34,104:104,105:105)-LOOKUP(C34,104:104,105:105)+100</f>
        <v>101</v>
      </c>
      <c r="G34" s="368">
        <v>22929.47</v>
      </c>
      <c r="H34" s="119">
        <f>LOOKUP(G34,104:104,105:105)-LOOKUP(C34,104:104,105:105)+100</f>
        <v>96</v>
      </c>
      <c r="I34" s="368">
        <v>1000</v>
      </c>
      <c r="J34" s="119">
        <f>LOOKUP(I34,104:104,105:105)-LOOKUP(C34,104:104,105:105)+100</f>
        <v>100</v>
      </c>
      <c r="K34" s="539"/>
      <c r="L34" s="2492"/>
      <c r="M34" s="2494"/>
      <c r="N34" s="2494"/>
      <c r="O34" s="2494"/>
      <c r="P34" s="3434"/>
      <c r="Q34" s="531" t="str">
        <f t="shared" si="11"/>
        <v>项目建筑规模</v>
      </c>
      <c r="R34" s="669" t="s">
        <v>14</v>
      </c>
      <c r="S34" s="670">
        <f t="shared" si="12"/>
        <v>101</v>
      </c>
      <c r="T34" s="669" t="s">
        <v>14</v>
      </c>
      <c r="U34" s="670">
        <f t="shared" si="13"/>
        <v>96</v>
      </c>
      <c r="V34" s="669" t="s">
        <v>14</v>
      </c>
      <c r="W34" s="670">
        <f t="shared" si="14"/>
        <v>100</v>
      </c>
      <c r="X34" s="671"/>
      <c r="Y34" s="3436"/>
      <c r="Z34" s="672" t="str">
        <f t="shared" si="15"/>
        <v>项目建筑规模</v>
      </c>
      <c r="AA34" s="1264">
        <f t="shared" si="3"/>
        <v>0.99009900990099009</v>
      </c>
      <c r="AB34" s="1264">
        <f t="shared" si="4"/>
        <v>1.0416666666666667</v>
      </c>
      <c r="AC34" s="1812">
        <f t="shared" si="5"/>
        <v>1</v>
      </c>
    </row>
    <row r="35" spans="1:29" ht="15">
      <c r="A35" s="409"/>
      <c r="B35" s="364" t="s">
        <v>1698</v>
      </c>
      <c r="C35" s="399" t="s">
        <v>3444</v>
      </c>
      <c r="D35" s="374">
        <v>100</v>
      </c>
      <c r="E35" s="399" t="s">
        <v>3444</v>
      </c>
      <c r="F35" s="400">
        <f>SUMIF(106:106,E35,107:107)-SUMIF(106:106,C35,107:107)+100</f>
        <v>100</v>
      </c>
      <c r="G35" s="399" t="s">
        <v>3444</v>
      </c>
      <c r="H35" s="374">
        <f>SUMIF(106:106,G35,107:107)-SUMIF(106:106,C35,107:107)+100</f>
        <v>100</v>
      </c>
      <c r="I35" s="399" t="s">
        <v>3444</v>
      </c>
      <c r="J35" s="374">
        <f>SUMIF(106:106,I35,107:107)-SUMIF(106:106,C35,107:107)+100</f>
        <v>100</v>
      </c>
      <c r="K35" s="538">
        <v>1</v>
      </c>
      <c r="L35" s="2493"/>
      <c r="M35" s="2488"/>
      <c r="N35" s="2488"/>
      <c r="O35" s="2488"/>
      <c r="P35" s="3434"/>
      <c r="Q35" s="1263" t="str">
        <f t="shared" si="11"/>
        <v>建筑结构</v>
      </c>
      <c r="R35" s="667" t="s">
        <v>14</v>
      </c>
      <c r="S35" s="668">
        <f t="shared" si="12"/>
        <v>100</v>
      </c>
      <c r="T35" s="667" t="s">
        <v>14</v>
      </c>
      <c r="U35" s="668">
        <f t="shared" si="13"/>
        <v>100</v>
      </c>
      <c r="V35" s="667" t="s">
        <v>14</v>
      </c>
      <c r="W35" s="668">
        <f t="shared" si="14"/>
        <v>100</v>
      </c>
      <c r="X35" s="1265"/>
      <c r="Y35" s="3436"/>
      <c r="Z35" s="1264" t="str">
        <f t="shared" si="15"/>
        <v>建筑结构</v>
      </c>
      <c r="AA35" s="1264">
        <f t="shared" si="3"/>
        <v>1</v>
      </c>
      <c r="AB35" s="1264">
        <f t="shared" si="4"/>
        <v>1</v>
      </c>
      <c r="AC35" s="1812">
        <f t="shared" si="5"/>
        <v>1</v>
      </c>
    </row>
    <row r="36" spans="1:29" ht="15">
      <c r="A36" s="409"/>
      <c r="B36" s="364" t="s">
        <v>1785</v>
      </c>
      <c r="C36" s="399" t="s">
        <v>3446</v>
      </c>
      <c r="D36" s="374">
        <v>100</v>
      </c>
      <c r="E36" s="399" t="s">
        <v>3446</v>
      </c>
      <c r="F36" s="400">
        <f>SUMIF(108:108,E36,109:109)-SUMIF(108:108,C36,109:109)+100</f>
        <v>100</v>
      </c>
      <c r="G36" s="399" t="s">
        <v>3446</v>
      </c>
      <c r="H36" s="374">
        <f>SUMIF(108:108,G36,109:109)-SUMIF(108:108,C36,109:109)+100</f>
        <v>100</v>
      </c>
      <c r="I36" s="399" t="s">
        <v>3446</v>
      </c>
      <c r="J36" s="374">
        <f>SUMIF(108:108,I36,109:109)-SUMIF(108:108,C36,109:109)+100</f>
        <v>100</v>
      </c>
      <c r="K36" s="538">
        <v>1</v>
      </c>
      <c r="L36" s="2493"/>
      <c r="M36" s="2488"/>
      <c r="N36" s="2488"/>
      <c r="O36" s="2488"/>
      <c r="P36" s="3434"/>
      <c r="Q36" s="1263" t="str">
        <f t="shared" si="11"/>
        <v>公共部分装修</v>
      </c>
      <c r="R36" s="667" t="s">
        <v>14</v>
      </c>
      <c r="S36" s="668">
        <f t="shared" si="12"/>
        <v>100</v>
      </c>
      <c r="T36" s="667" t="s">
        <v>14</v>
      </c>
      <c r="U36" s="668">
        <f t="shared" si="13"/>
        <v>100</v>
      </c>
      <c r="V36" s="667" t="s">
        <v>14</v>
      </c>
      <c r="W36" s="668">
        <f t="shared" si="14"/>
        <v>100</v>
      </c>
      <c r="X36" s="1265"/>
      <c r="Y36" s="3436"/>
      <c r="Z36" s="1264" t="str">
        <f t="shared" si="15"/>
        <v>公共部分装修</v>
      </c>
      <c r="AA36" s="1264">
        <f t="shared" si="3"/>
        <v>1</v>
      </c>
      <c r="AB36" s="1264">
        <f t="shared" si="4"/>
        <v>1</v>
      </c>
      <c r="AC36" s="1812">
        <f t="shared" si="5"/>
        <v>1</v>
      </c>
    </row>
    <row r="37" spans="1:29" ht="15">
      <c r="A37" s="409"/>
      <c r="B37" s="364" t="s">
        <v>1786</v>
      </c>
      <c r="C37" s="411">
        <f>'数据-取费表'!N6</f>
        <v>0.92</v>
      </c>
      <c r="D37" s="374">
        <v>100</v>
      </c>
      <c r="E37" s="411">
        <v>0.88</v>
      </c>
      <c r="F37" s="400">
        <f>LOOKUP(E37,111:111,112:112)-LOOKUP(C37,111:111,112:112)+100</f>
        <v>98</v>
      </c>
      <c r="G37" s="411">
        <v>0.8</v>
      </c>
      <c r="H37" s="400">
        <f>LOOKUP(G37,111:111,112:112)-LOOKUP(C37,111:111,112:112)+100</f>
        <v>98</v>
      </c>
      <c r="I37" s="411">
        <v>0.9</v>
      </c>
      <c r="J37" s="374">
        <f>LOOKUP(I37,111:111,112:112)-LOOKUP(C37,111:111,112:112)+100</f>
        <v>100</v>
      </c>
      <c r="K37" s="538">
        <v>2</v>
      </c>
      <c r="L37" s="2493"/>
      <c r="M37" s="2488"/>
      <c r="N37" s="2488"/>
      <c r="O37" s="2488"/>
      <c r="P37" s="3434"/>
      <c r="Q37" s="1263" t="str">
        <f t="shared" si="11"/>
        <v>成新度</v>
      </c>
      <c r="R37" s="667" t="s">
        <v>14</v>
      </c>
      <c r="S37" s="668">
        <f t="shared" si="12"/>
        <v>98</v>
      </c>
      <c r="T37" s="667" t="s">
        <v>14</v>
      </c>
      <c r="U37" s="668">
        <f t="shared" si="13"/>
        <v>98</v>
      </c>
      <c r="V37" s="667" t="s">
        <v>14</v>
      </c>
      <c r="W37" s="668">
        <f t="shared" si="14"/>
        <v>100</v>
      </c>
      <c r="X37" s="1265"/>
      <c r="Y37" s="3436"/>
      <c r="Z37" s="1264" t="str">
        <f t="shared" si="15"/>
        <v>成新度</v>
      </c>
      <c r="AA37" s="1264">
        <f t="shared" si="3"/>
        <v>1.0204081632653061</v>
      </c>
      <c r="AB37" s="1264">
        <f t="shared" si="4"/>
        <v>1.0204081632653061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34"/>
      <c r="Q38" s="530" t="str">
        <f t="shared" si="11"/>
        <v>写字楼等级</v>
      </c>
      <c r="R38" s="664" t="s">
        <v>14</v>
      </c>
      <c r="S38" s="665">
        <f t="shared" si="12"/>
        <v>100</v>
      </c>
      <c r="T38" s="664" t="s">
        <v>14</v>
      </c>
      <c r="U38" s="665">
        <f t="shared" si="13"/>
        <v>100</v>
      </c>
      <c r="V38" s="664" t="s">
        <v>14</v>
      </c>
      <c r="W38" s="665">
        <f t="shared" si="14"/>
        <v>100</v>
      </c>
      <c r="X38" s="666"/>
      <c r="Y38" s="3436"/>
      <c r="Z38" s="50" t="str">
        <f t="shared" si="15"/>
        <v>写字楼等级</v>
      </c>
      <c r="AA38" s="50">
        <f t="shared" si="3"/>
        <v>1</v>
      </c>
      <c r="AB38" s="50">
        <f t="shared" si="4"/>
        <v>1</v>
      </c>
      <c r="AC38" s="802">
        <f t="shared" si="5"/>
        <v>1</v>
      </c>
    </row>
    <row r="39" spans="1:29" ht="15">
      <c r="A39" s="409"/>
      <c r="B39" s="364" t="s">
        <v>1819</v>
      </c>
      <c r="C39" s="399" t="s">
        <v>3456</v>
      </c>
      <c r="D39" s="374">
        <v>100</v>
      </c>
      <c r="E39" s="399" t="s">
        <v>3456</v>
      </c>
      <c r="F39" s="400">
        <f>SUMIF(115:115,E39,116:116)-SUMIF(115:115,C39,116:116)+100</f>
        <v>100</v>
      </c>
      <c r="G39" s="399" t="s">
        <v>3456</v>
      </c>
      <c r="H39" s="374">
        <f>SUMIF(115:115,G39,116:116)-SUMIF(115:115,C39,116:116)+100</f>
        <v>100</v>
      </c>
      <c r="I39" s="399" t="s">
        <v>3456</v>
      </c>
      <c r="J39" s="374">
        <f>SUMIF(115:115,I39,116:116)-SUMIF(115:115,C39,116:116)+100</f>
        <v>100</v>
      </c>
      <c r="K39" s="538">
        <v>1</v>
      </c>
      <c r="L39" s="2493"/>
      <c r="M39" s="2488"/>
      <c r="N39" s="2488"/>
      <c r="O39" s="2488"/>
      <c r="P39" s="3434" t="s">
        <v>1696</v>
      </c>
      <c r="Q39" s="1263" t="str">
        <f t="shared" si="11"/>
        <v>物业管理</v>
      </c>
      <c r="R39" s="667" t="s">
        <v>14</v>
      </c>
      <c r="S39" s="668">
        <f t="shared" si="12"/>
        <v>100</v>
      </c>
      <c r="T39" s="667" t="s">
        <v>14</v>
      </c>
      <c r="U39" s="668">
        <f t="shared" si="13"/>
        <v>100</v>
      </c>
      <c r="V39" s="667" t="s">
        <v>14</v>
      </c>
      <c r="W39" s="668">
        <f t="shared" si="14"/>
        <v>100</v>
      </c>
      <c r="X39" s="1265"/>
      <c r="Y39" s="3436" t="s">
        <v>1696</v>
      </c>
      <c r="Z39" s="1264" t="str">
        <f t="shared" si="15"/>
        <v>物业管理</v>
      </c>
      <c r="AA39" s="1264">
        <f t="shared" si="3"/>
        <v>1</v>
      </c>
      <c r="AB39" s="1264">
        <f t="shared" si="4"/>
        <v>1</v>
      </c>
      <c r="AC39" s="1812">
        <f t="shared" si="5"/>
        <v>1</v>
      </c>
    </row>
    <row r="40" spans="1:29" ht="15" hidden="1">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34"/>
      <c r="Q40" s="1263" t="str">
        <f t="shared" si="11"/>
        <v>市政基础设施</v>
      </c>
      <c r="R40" s="667" t="s">
        <v>14</v>
      </c>
      <c r="S40" s="668">
        <f t="shared" si="12"/>
        <v>100</v>
      </c>
      <c r="T40" s="667" t="s">
        <v>14</v>
      </c>
      <c r="U40" s="668">
        <f t="shared" si="13"/>
        <v>100</v>
      </c>
      <c r="V40" s="667" t="s">
        <v>14</v>
      </c>
      <c r="W40" s="668">
        <f t="shared" si="14"/>
        <v>100</v>
      </c>
      <c r="X40" s="1265"/>
      <c r="Y40" s="3436"/>
      <c r="Z40" s="1264" t="str">
        <f t="shared" si="15"/>
        <v>市政基础设施</v>
      </c>
      <c r="AA40" s="1264">
        <f t="shared" si="3"/>
        <v>1</v>
      </c>
      <c r="AB40" s="1264">
        <f t="shared" si="4"/>
        <v>1</v>
      </c>
      <c r="AC40" s="1812">
        <f t="shared" si="5"/>
        <v>1</v>
      </c>
    </row>
    <row r="41" spans="1:29" ht="15">
      <c r="A41" s="409"/>
      <c r="B41" s="364" t="s">
        <v>1789</v>
      </c>
      <c r="C41" s="542" t="s">
        <v>3450</v>
      </c>
      <c r="D41" s="374">
        <v>100</v>
      </c>
      <c r="E41" s="542" t="s">
        <v>3450</v>
      </c>
      <c r="F41" s="400">
        <f>SUMIF(119:119,E41,120:120)-SUMIF(119:119,C41,120:120)+100</f>
        <v>100</v>
      </c>
      <c r="G41" s="542" t="s">
        <v>3450</v>
      </c>
      <c r="H41" s="374">
        <f>SUMIF(119:119,G41,120:120)-SUMIF(119:119,C41,120:120)+100</f>
        <v>100</v>
      </c>
      <c r="I41" s="542" t="s">
        <v>3450</v>
      </c>
      <c r="J41" s="374">
        <f>SUMIF(119:119,I41,120:120)-SUMIF(119:119,C41,120:120)+100</f>
        <v>100</v>
      </c>
      <c r="K41" s="538">
        <v>2</v>
      </c>
      <c r="L41" s="2493"/>
      <c r="M41" s="2488"/>
      <c r="N41" s="2488"/>
      <c r="O41" s="2488"/>
      <c r="P41" s="3434"/>
      <c r="Q41" s="1263" t="str">
        <f t="shared" si="11"/>
        <v>层高</v>
      </c>
      <c r="R41" s="667" t="s">
        <v>14</v>
      </c>
      <c r="S41" s="668">
        <f t="shared" si="12"/>
        <v>100</v>
      </c>
      <c r="T41" s="667" t="s">
        <v>14</v>
      </c>
      <c r="U41" s="668">
        <f t="shared" si="13"/>
        <v>100</v>
      </c>
      <c r="V41" s="667" t="s">
        <v>14</v>
      </c>
      <c r="W41" s="668">
        <f t="shared" si="14"/>
        <v>100</v>
      </c>
      <c r="X41" s="1265"/>
      <c r="Y41" s="3436"/>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34"/>
      <c r="Q42" s="531" t="str">
        <f t="shared" si="11"/>
        <v>单套建筑面积</v>
      </c>
      <c r="R42" s="669" t="s">
        <v>14</v>
      </c>
      <c r="S42" s="670">
        <f t="shared" si="12"/>
        <v>100</v>
      </c>
      <c r="T42" s="669" t="s">
        <v>14</v>
      </c>
      <c r="U42" s="670">
        <f t="shared" si="13"/>
        <v>100</v>
      </c>
      <c r="V42" s="669" t="s">
        <v>14</v>
      </c>
      <c r="W42" s="670">
        <f t="shared" si="14"/>
        <v>100</v>
      </c>
      <c r="X42" s="671"/>
      <c r="Y42" s="3436"/>
      <c r="Z42" s="672" t="str">
        <f t="shared" si="15"/>
        <v>单套建筑面积</v>
      </c>
      <c r="AA42" s="1264">
        <f t="shared" si="3"/>
        <v>1</v>
      </c>
      <c r="AB42" s="1264">
        <f t="shared" si="4"/>
        <v>1</v>
      </c>
      <c r="AC42" s="1812">
        <f t="shared" si="5"/>
        <v>1</v>
      </c>
    </row>
    <row r="43" spans="1:29" ht="15">
      <c r="A43" s="409"/>
      <c r="B43" s="364" t="s">
        <v>1792</v>
      </c>
      <c r="C43" s="399" t="s">
        <v>3446</v>
      </c>
      <c r="D43" s="374">
        <v>100</v>
      </c>
      <c r="E43" s="399" t="s">
        <v>3448</v>
      </c>
      <c r="F43" s="400">
        <f>SUMIF(123:123,E43,124:124)-SUMIF(123:123,C43,124:124)+100</f>
        <v>94.6</v>
      </c>
      <c r="G43" s="399" t="s">
        <v>3448</v>
      </c>
      <c r="H43" s="374">
        <f>SUMIF(123:123,G43,124:124)-SUMIF(123:123,C43,124:124)+100</f>
        <v>94.6</v>
      </c>
      <c r="I43" s="399" t="s">
        <v>3448</v>
      </c>
      <c r="J43" s="374">
        <f>SUMIF(123:123,I43,124:124)-SUMIF(123:123,C43,124:124)+100</f>
        <v>94.6</v>
      </c>
      <c r="K43" s="538">
        <v>2.7</v>
      </c>
      <c r="L43" s="2493"/>
      <c r="M43" s="2488"/>
      <c r="N43" s="2488"/>
      <c r="O43" s="2488"/>
      <c r="P43" s="3434"/>
      <c r="Q43" s="1263" t="str">
        <f t="shared" si="11"/>
        <v>内部装修</v>
      </c>
      <c r="R43" s="667" t="s">
        <v>14</v>
      </c>
      <c r="S43" s="668">
        <f t="shared" si="12"/>
        <v>94.6</v>
      </c>
      <c r="T43" s="667" t="s">
        <v>14</v>
      </c>
      <c r="U43" s="668">
        <f t="shared" si="13"/>
        <v>94.6</v>
      </c>
      <c r="V43" s="667" t="s">
        <v>14</v>
      </c>
      <c r="W43" s="668">
        <f t="shared" si="14"/>
        <v>94.6</v>
      </c>
      <c r="X43" s="1265"/>
      <c r="Y43" s="3436"/>
      <c r="Z43" s="1264" t="str">
        <f t="shared" si="15"/>
        <v>内部装修</v>
      </c>
      <c r="AA43" s="1264">
        <f t="shared" si="3"/>
        <v>1.0570824524312896</v>
      </c>
      <c r="AB43" s="1264">
        <f t="shared" si="4"/>
        <v>1.0570824524312896</v>
      </c>
      <c r="AC43" s="1812">
        <f t="shared" si="5"/>
        <v>1.0570824524312896</v>
      </c>
    </row>
    <row r="44" spans="1:29" ht="15">
      <c r="A44" s="409"/>
      <c r="B44" s="364" t="s">
        <v>1707</v>
      </c>
      <c r="C44" s="399" t="s">
        <v>3459</v>
      </c>
      <c r="D44" s="374">
        <v>100</v>
      </c>
      <c r="E44" s="399" t="s">
        <v>3459</v>
      </c>
      <c r="F44" s="400">
        <f>SUMIF(125:125,E44,126:126)-SUMIF(125:125,C44,126:126)+100</f>
        <v>100</v>
      </c>
      <c r="G44" s="399" t="s">
        <v>3459</v>
      </c>
      <c r="H44" s="374">
        <f>SUMIF(125:125,G44,126:126)-SUMIF(125:125,C44,126:126)+100</f>
        <v>100</v>
      </c>
      <c r="I44" s="399" t="s">
        <v>3459</v>
      </c>
      <c r="J44" s="374">
        <f>SUMIF(125:125,I44,126:126)-SUMIF(125:125,C44,126:126)+100</f>
        <v>100</v>
      </c>
      <c r="K44" s="538">
        <v>1</v>
      </c>
      <c r="L44" s="2493"/>
      <c r="M44" s="2488"/>
      <c r="N44" s="2488"/>
      <c r="O44" s="2488"/>
      <c r="P44" s="3434"/>
      <c r="Q44" s="1263" t="str">
        <f t="shared" si="11"/>
        <v>内部装修维护情况</v>
      </c>
      <c r="R44" s="667" t="s">
        <v>14</v>
      </c>
      <c r="S44" s="668">
        <f t="shared" si="12"/>
        <v>100</v>
      </c>
      <c r="T44" s="667" t="s">
        <v>14</v>
      </c>
      <c r="U44" s="668">
        <f t="shared" si="13"/>
        <v>100</v>
      </c>
      <c r="V44" s="667" t="s">
        <v>14</v>
      </c>
      <c r="W44" s="668">
        <f t="shared" si="14"/>
        <v>100</v>
      </c>
      <c r="X44" s="1265"/>
      <c r="Y44" s="3436"/>
      <c r="Z44" s="1264" t="str">
        <f t="shared" si="15"/>
        <v>内部装修维护情况</v>
      </c>
      <c r="AA44" s="1264">
        <f t="shared" si="3"/>
        <v>1</v>
      </c>
      <c r="AB44" s="1264">
        <f t="shared" si="4"/>
        <v>1</v>
      </c>
      <c r="AC44" s="1812">
        <f t="shared" si="5"/>
        <v>1</v>
      </c>
    </row>
    <row r="45" spans="1:29" s="102" customFormat="1" ht="15">
      <c r="A45" s="410"/>
      <c r="B45" s="3181"/>
      <c r="C45" s="3182"/>
      <c r="D45" s="119">
        <v>100</v>
      </c>
      <c r="E45" s="3174"/>
      <c r="F45" s="364">
        <f>SUMIF(127:127,E45,128:128)-SUMIF(127:127,C45,128:128)+100</f>
        <v>100</v>
      </c>
      <c r="G45" s="3174"/>
      <c r="H45" s="119">
        <f>SUMIF(127:127,G45,128:128)-SUMIF(127:127,C45,128:128)+100</f>
        <v>100</v>
      </c>
      <c r="I45" s="3174"/>
      <c r="J45" s="119">
        <f>SUMIF(127:127,I45,128:128)-SUMIF(127:127,C45,128:128)+100</f>
        <v>100</v>
      </c>
      <c r="K45" s="539"/>
      <c r="L45" s="2489"/>
      <c r="M45" s="2440"/>
      <c r="N45" s="2440"/>
      <c r="O45" s="2440"/>
      <c r="P45" s="3434"/>
      <c r="Q45" s="530">
        <f t="shared" si="11"/>
        <v>0</v>
      </c>
      <c r="R45" s="664" t="s">
        <v>14</v>
      </c>
      <c r="S45" s="665">
        <f t="shared" si="12"/>
        <v>100</v>
      </c>
      <c r="T45" s="664" t="s">
        <v>14</v>
      </c>
      <c r="U45" s="665">
        <f t="shared" si="13"/>
        <v>100</v>
      </c>
      <c r="V45" s="664" t="s">
        <v>14</v>
      </c>
      <c r="W45" s="665">
        <f t="shared" si="14"/>
        <v>100</v>
      </c>
      <c r="X45" s="666"/>
      <c r="Y45" s="3436"/>
      <c r="Z45" s="50">
        <f t="shared" si="15"/>
        <v>0</v>
      </c>
      <c r="AA45" s="50">
        <f t="shared" si="3"/>
        <v>1</v>
      </c>
      <c r="AB45" s="50">
        <f t="shared" si="4"/>
        <v>1</v>
      </c>
      <c r="AC45" s="802">
        <f t="shared" si="5"/>
        <v>1</v>
      </c>
    </row>
    <row r="46" spans="1:29" ht="27">
      <c r="A46" s="409"/>
      <c r="B46" s="3181" t="s">
        <v>3521</v>
      </c>
      <c r="C46" s="373">
        <f>1.8*30</f>
        <v>54</v>
      </c>
      <c r="D46" s="374">
        <v>100</v>
      </c>
      <c r="E46" s="371">
        <v>33</v>
      </c>
      <c r="F46" s="400">
        <f>SUMIF(129:129,E46,130:130)-SUMIF(129:129,C46,130:130)+100</f>
        <v>100</v>
      </c>
      <c r="G46" s="371">
        <v>24</v>
      </c>
      <c r="H46" s="374">
        <f>SUMIF(129:129,G46,130:130)-SUMIF(129:129,C46,130:130)+100</f>
        <v>100</v>
      </c>
      <c r="I46" s="371">
        <v>30</v>
      </c>
      <c r="J46" s="374">
        <f>SUMIF(129:129,I46,130:130)-SUMIF(129:129,C46,130:130)+100</f>
        <v>100</v>
      </c>
      <c r="K46" s="539"/>
      <c r="L46" s="2493"/>
      <c r="M46" s="2488"/>
      <c r="N46" s="2488"/>
      <c r="O46" s="2488"/>
      <c r="P46" s="3434"/>
      <c r="Q46" s="1263" t="str">
        <f t="shared" si="11"/>
        <v>物业费（元/月·平）</v>
      </c>
      <c r="R46" s="667" t="s">
        <v>14</v>
      </c>
      <c r="S46" s="668">
        <f t="shared" si="12"/>
        <v>100</v>
      </c>
      <c r="T46" s="667" t="s">
        <v>14</v>
      </c>
      <c r="U46" s="668">
        <f t="shared" si="13"/>
        <v>100</v>
      </c>
      <c r="V46" s="667" t="s">
        <v>14</v>
      </c>
      <c r="W46" s="668">
        <f t="shared" si="14"/>
        <v>100</v>
      </c>
      <c r="X46" s="1265"/>
      <c r="Y46" s="3436"/>
      <c r="Z46" s="1264" t="str">
        <f t="shared" si="15"/>
        <v>物业费（元/月·平）</v>
      </c>
      <c r="AA46" s="1264">
        <f t="shared" si="3"/>
        <v>1</v>
      </c>
      <c r="AB46" s="1264">
        <f t="shared" si="4"/>
        <v>1</v>
      </c>
      <c r="AC46" s="1812">
        <f t="shared" si="5"/>
        <v>1</v>
      </c>
    </row>
    <row r="47" spans="1:29" ht="28.5" thickBot="1">
      <c r="A47" s="415"/>
      <c r="B47" s="3525" t="s">
        <v>3518</v>
      </c>
      <c r="C47" s="376">
        <v>2020</v>
      </c>
      <c r="D47" s="377">
        <v>100</v>
      </c>
      <c r="E47" s="371">
        <v>2018</v>
      </c>
      <c r="F47" s="378">
        <f>SUMIF(131:131,E47,132:132)-SUMIF(131:131,C47,132:132)+100</f>
        <v>100</v>
      </c>
      <c r="G47" s="371" t="s">
        <v>3519</v>
      </c>
      <c r="H47" s="377">
        <f>SUMIF(131:131,G47,132:132)-SUMIF(131:131,C47,132:132)+100</f>
        <v>100</v>
      </c>
      <c r="I47" s="371">
        <v>2019</v>
      </c>
      <c r="J47" s="377">
        <f>SUMIF(131:131,I47,132:132)-SUMIF(131:131,C47,132:132)+100</f>
        <v>100</v>
      </c>
      <c r="K47" s="539"/>
      <c r="L47" s="2493"/>
      <c r="M47" s="2488"/>
      <c r="N47" s="2488"/>
      <c r="O47" s="2488"/>
      <c r="P47" s="3435"/>
      <c r="Q47" s="1263" t="str">
        <f t="shared" si="11"/>
        <v>建成年代</v>
      </c>
      <c r="R47" s="667" t="s">
        <v>14</v>
      </c>
      <c r="S47" s="668">
        <f t="shared" si="12"/>
        <v>100</v>
      </c>
      <c r="T47" s="667" t="s">
        <v>14</v>
      </c>
      <c r="U47" s="668">
        <f t="shared" si="13"/>
        <v>100</v>
      </c>
      <c r="V47" s="667" t="s">
        <v>14</v>
      </c>
      <c r="W47" s="668">
        <f t="shared" si="14"/>
        <v>100</v>
      </c>
      <c r="X47" s="1265"/>
      <c r="Y47" s="3437"/>
      <c r="Z47" s="1264" t="str">
        <f t="shared" si="15"/>
        <v>建成年代</v>
      </c>
      <c r="AA47" s="1264">
        <f t="shared" si="3"/>
        <v>1</v>
      </c>
      <c r="AB47" s="1264">
        <f t="shared" si="4"/>
        <v>1</v>
      </c>
      <c r="AC47" s="1812">
        <f t="shared" si="5"/>
        <v>1</v>
      </c>
    </row>
    <row r="48" spans="1:29" ht="15">
      <c r="A48" s="416" t="s">
        <v>1708</v>
      </c>
      <c r="B48" s="417"/>
      <c r="C48" s="1081" t="s">
        <v>0</v>
      </c>
      <c r="D48" s="418"/>
      <c r="E48" s="419">
        <v>5</v>
      </c>
      <c r="F48" s="420"/>
      <c r="G48" s="421">
        <v>5</v>
      </c>
      <c r="H48" s="422"/>
      <c r="I48" s="419">
        <v>4.5</v>
      </c>
      <c r="J48" s="422"/>
      <c r="K48" s="674"/>
      <c r="L48" s="2495"/>
      <c r="M48" s="2488"/>
      <c r="N48" s="2488"/>
      <c r="O48" s="2488"/>
      <c r="P48" s="3412" t="str">
        <f>A48</f>
        <v>成交单价（元/平方米）</v>
      </c>
      <c r="Q48" s="3430"/>
      <c r="R48" s="3425">
        <f>E48</f>
        <v>5</v>
      </c>
      <c r="S48" s="3425"/>
      <c r="T48" s="3425">
        <f>G48</f>
        <v>5</v>
      </c>
      <c r="U48" s="3425"/>
      <c r="V48" s="3425">
        <f>I48</f>
        <v>4.5</v>
      </c>
      <c r="W48" s="3425"/>
      <c r="X48" s="385"/>
      <c r="Y48" s="673"/>
      <c r="Z48" s="385"/>
      <c r="AA48" s="385"/>
      <c r="AB48" s="385"/>
      <c r="AC48" s="555"/>
    </row>
    <row r="49" spans="1:29" ht="15.75" thickBot="1">
      <c r="A49" s="423" t="s">
        <v>1793</v>
      </c>
      <c r="B49" s="424"/>
      <c r="C49" s="3178">
        <f>R50</f>
        <v>5.27</v>
      </c>
      <c r="D49" s="2141" t="s">
        <v>2137</v>
      </c>
      <c r="E49" s="1083">
        <f>R49</f>
        <v>5.4</v>
      </c>
      <c r="F49" s="2142"/>
      <c r="G49" s="1082">
        <f>T49</f>
        <v>5.6</v>
      </c>
      <c r="H49" s="2142"/>
      <c r="I49" s="1083">
        <f>V49</f>
        <v>4.8</v>
      </c>
      <c r="J49" s="2142"/>
      <c r="K49" s="2144">
        <f>F49+H49+J49</f>
        <v>0</v>
      </c>
      <c r="L49" s="2495"/>
      <c r="M49" s="2488"/>
      <c r="N49" s="2488"/>
      <c r="O49" s="2488"/>
      <c r="P49" s="3412" t="str">
        <f>A49</f>
        <v>比较价值（元/平方米）</v>
      </c>
      <c r="Q49" s="3430"/>
      <c r="R49" s="3425">
        <f>IF(F1="售价",ROUND(PRODUCT(R48,AA7:AA47),0),ROUND(PRODUCT(R48,AA7:AA47),1))</f>
        <v>5.4</v>
      </c>
      <c r="S49" s="3425"/>
      <c r="T49" s="3425">
        <f>IF(F1="售价",ROUND(PRODUCT(T48,AB7:AB47),0),ROUND(PRODUCT(T48,AB7:AB47),1))</f>
        <v>5.6</v>
      </c>
      <c r="U49" s="3425"/>
      <c r="V49" s="3425">
        <f>IF(F1="售价",ROUND(PRODUCT(V48,AC7:AC47),0),ROUND(PRODUCT(V48,AC7:AC47),1))</f>
        <v>4.8</v>
      </c>
      <c r="W49" s="3425"/>
      <c r="X49" s="385"/>
      <c r="Y49" s="385"/>
      <c r="Z49" s="385"/>
      <c r="AA49" s="385"/>
      <c r="AB49" s="385"/>
      <c r="AC49" s="555"/>
    </row>
    <row r="50" spans="1:29" ht="15.75" thickBot="1">
      <c r="A50" s="427" t="s">
        <v>1794</v>
      </c>
      <c r="B50" s="428"/>
      <c r="C50" s="3179">
        <f>R50</f>
        <v>5.27</v>
      </c>
      <c r="D50" s="351"/>
      <c r="E50" s="351"/>
      <c r="F50" s="351"/>
      <c r="G50" s="351"/>
      <c r="H50" s="351"/>
      <c r="I50" s="351"/>
      <c r="J50" s="429"/>
      <c r="K50" s="675"/>
      <c r="L50" s="2495"/>
      <c r="M50" s="2488"/>
      <c r="N50" s="2488"/>
      <c r="O50" s="2488"/>
      <c r="P50" s="3454" t="str">
        <f>A50</f>
        <v>估价对象XX用房的比较价值（楼面单价，元/平方米）</v>
      </c>
      <c r="Q50" s="3455"/>
      <c r="R50" s="3456">
        <f>IF(F1="售价",ROUND(IF(D49="简单平均",AVERAGE(R49:V49),R49*F49+T49*H49+V49*J49),0),ROUND(IF(D49="简单平均",AVERAGE(R49:V49),R49*F49+T49*H49+V49*J49),2))</f>
        <v>5.27</v>
      </c>
      <c r="S50" s="3456"/>
      <c r="T50" s="3456"/>
      <c r="U50" s="3456"/>
      <c r="V50" s="3456"/>
      <c r="W50" s="3456"/>
      <c r="X50" s="1798"/>
      <c r="Y50" s="1798"/>
      <c r="Z50" s="1798"/>
      <c r="AA50" s="1798"/>
      <c r="AB50" s="1798"/>
      <c r="AC50" s="1799"/>
    </row>
    <row r="51" spans="1:29">
      <c r="A51" s="2488"/>
      <c r="B51" s="2488"/>
      <c r="C51" s="2488">
        <v>5.27</v>
      </c>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8.0000000000000071E-2</v>
      </c>
      <c r="F53" s="435" t="str">
        <f>IF(OR(E53&gt;=0.3,E53&lt;=-0.3),"超过30%","")</f>
        <v/>
      </c>
      <c r="G53" s="434">
        <f>IF(G48&lt;G49,G49/G48-1,G48/G49-1)</f>
        <v>0.11999999999999988</v>
      </c>
      <c r="H53" s="435" t="str">
        <f>IF(OR(G53&gt;=0.3,G53&lt;=-0.3),"超过30%","")</f>
        <v/>
      </c>
      <c r="I53" s="434">
        <f>IF(I48&lt;I49,I49/I48-1,I48/I49-1)</f>
        <v>6.6666666666666652E-2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3.7037037037036979E-2</v>
      </c>
      <c r="F54" s="435" t="str">
        <f>IF(OR(E54&gt;=0.2,E54&lt;=-0.2),"超过20%","")</f>
        <v/>
      </c>
      <c r="G54" s="434">
        <f>IF(G49&lt;I49,I49/G49-1,G49/I49-1)</f>
        <v>0.16666666666666674</v>
      </c>
      <c r="H54" s="435" t="str">
        <f>IF(OR(G54&gt;=0.2,G54&lt;=-0.2),"超过20%","")</f>
        <v/>
      </c>
      <c r="I54" s="434">
        <f>IF(I49&lt;E49,E49/I49-1,I49/E49-1)</f>
        <v>0.12500000000000022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v>
      </c>
      <c r="F55" s="435" t="str">
        <f>IF(OR(E55&gt;=0.3,E55&lt;=-0.3),"超过30%","")</f>
        <v/>
      </c>
      <c r="G55" s="434">
        <f>IF(G48&lt;I48,I48/G48-1,G48/I48-1)</f>
        <v>0.11111111111111116</v>
      </c>
      <c r="H55" s="435" t="str">
        <f>IF(OR(G55&gt;=0.3,G55&lt;=-0.3),"超过30%","")</f>
        <v/>
      </c>
      <c r="I55" s="434">
        <f>IF(I48&lt;E48,E48/I48-1,I48/E48-1)</f>
        <v>0.11111111111111116</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75" t="s">
        <v>3437</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102</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教育科研设计</v>
      </c>
      <c r="D64" s="3172" t="s">
        <v>3900</v>
      </c>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v>100</v>
      </c>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0（含）-1</v>
      </c>
      <c r="D68" s="478" t="str">
        <f t="shared" ref="D68:L68" si="17">D69&amp;"（含）"&amp;"-"&amp;E69</f>
        <v>1（含）-2</v>
      </c>
      <c r="E68" s="478" t="str">
        <f t="shared" si="17"/>
        <v>2（含）-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1</v>
      </c>
      <c r="E69" s="480">
        <v>2</v>
      </c>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t="str">
        <f>B12</f>
        <v>租金内涵</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98</v>
      </c>
      <c r="E78" s="475">
        <f>D78-$K15</f>
        <v>96</v>
      </c>
      <c r="F78" s="475">
        <f>E78-$K15</f>
        <v>94</v>
      </c>
      <c r="G78" s="475">
        <f>F78-$K15</f>
        <v>92</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99</v>
      </c>
      <c r="E84" s="475">
        <f>D84-$K21</f>
        <v>98</v>
      </c>
      <c r="F84" s="475">
        <f>E84-$K21</f>
        <v>97</v>
      </c>
      <c r="G84" s="475">
        <f>F84-$K21</f>
        <v>96</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76" t="s">
        <v>3440</v>
      </c>
      <c r="D89" s="3176" t="s">
        <v>3899</v>
      </c>
      <c r="E89" s="3176" t="s">
        <v>3442</v>
      </c>
      <c r="F89" s="3524" t="s">
        <v>3516</v>
      </c>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72" t="s">
        <v>3443</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3"/>
      <c r="O102" s="2523"/>
      <c r="P102" s="2531"/>
      <c r="Q102" s="2509"/>
      <c r="R102" s="2488"/>
      <c r="S102" s="2488"/>
      <c r="T102" s="2488"/>
      <c r="U102" s="2488"/>
      <c r="V102" s="2488"/>
      <c r="W102" s="2488"/>
      <c r="X102" s="2488"/>
      <c r="Y102" s="2488"/>
      <c r="Z102" s="2488"/>
      <c r="AA102" s="2488"/>
      <c r="AB102" s="2488"/>
      <c r="AC102" s="2488"/>
    </row>
    <row r="103" spans="1:29" ht="29.25" thickTop="1">
      <c r="A103" s="367"/>
      <c r="B103" s="469" t="s">
        <v>1737</v>
      </c>
      <c r="C103" s="509" t="str">
        <f>C104&amp;"(含)"&amp;"-"&amp;D104</f>
        <v>0(含)-300</v>
      </c>
      <c r="D103" s="509" t="str">
        <f t="shared" ref="D103:L103" si="23">D104&amp;"(含)"&amp;"-"&amp;E104</f>
        <v>300(含)-500</v>
      </c>
      <c r="E103" s="509" t="str">
        <f t="shared" si="23"/>
        <v>500(含)-1000</v>
      </c>
      <c r="F103" s="509" t="str">
        <f t="shared" si="23"/>
        <v>1000(含)-2000</v>
      </c>
      <c r="G103" s="509" t="str">
        <f t="shared" si="23"/>
        <v>2000(含)-5000</v>
      </c>
      <c r="H103" s="509" t="str">
        <f t="shared" si="23"/>
        <v>5000(含)-10000</v>
      </c>
      <c r="I103" s="509" t="str">
        <f t="shared" si="23"/>
        <v>10000(含)-20000</v>
      </c>
      <c r="J103" s="509" t="str">
        <f t="shared" si="23"/>
        <v>20000(含)-30000</v>
      </c>
      <c r="K103" s="509" t="str">
        <f t="shared" si="23"/>
        <v>30000(含)-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300</v>
      </c>
      <c r="E104" s="6">
        <v>500</v>
      </c>
      <c r="F104" s="6">
        <v>1000</v>
      </c>
      <c r="G104" s="6">
        <v>2000</v>
      </c>
      <c r="H104" s="6">
        <v>5000</v>
      </c>
      <c r="I104" s="6">
        <v>10000</v>
      </c>
      <c r="J104" s="524">
        <v>20000</v>
      </c>
      <c r="K104" s="524">
        <v>30000</v>
      </c>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99</v>
      </c>
      <c r="D105" s="467">
        <v>100</v>
      </c>
      <c r="E105" s="467">
        <f>D105-1</f>
        <v>99</v>
      </c>
      <c r="F105" s="467">
        <f t="shared" ref="F105:K105" si="24">E105-1</f>
        <v>98</v>
      </c>
      <c r="G105" s="467">
        <f t="shared" si="24"/>
        <v>97</v>
      </c>
      <c r="H105" s="467">
        <f t="shared" si="24"/>
        <v>96</v>
      </c>
      <c r="I105" s="467">
        <f t="shared" si="24"/>
        <v>95</v>
      </c>
      <c r="J105" s="467">
        <f t="shared" si="24"/>
        <v>94</v>
      </c>
      <c r="K105" s="467">
        <f t="shared" si="24"/>
        <v>93</v>
      </c>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76" t="s">
        <v>3445</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5">C107-$K35</f>
        <v>99</v>
      </c>
      <c r="E107" s="475">
        <f t="shared" si="25"/>
        <v>98</v>
      </c>
      <c r="F107" s="475">
        <f t="shared" si="25"/>
        <v>97</v>
      </c>
      <c r="G107" s="475">
        <f t="shared" si="25"/>
        <v>96</v>
      </c>
      <c r="H107" s="475">
        <f t="shared" si="25"/>
        <v>95</v>
      </c>
      <c r="I107" s="475">
        <f t="shared" si="25"/>
        <v>94</v>
      </c>
      <c r="J107" s="475">
        <f t="shared" si="25"/>
        <v>93</v>
      </c>
      <c r="K107" s="475">
        <f t="shared" si="25"/>
        <v>92</v>
      </c>
      <c r="L107" s="475">
        <f t="shared" si="25"/>
        <v>91</v>
      </c>
      <c r="M107" s="476">
        <f t="shared" si="25"/>
        <v>90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76" t="s">
        <v>3446</v>
      </c>
      <c r="D108" s="3176" t="s">
        <v>3447</v>
      </c>
      <c r="E108" s="3176" t="s">
        <v>3448</v>
      </c>
      <c r="F108" s="3177" t="s">
        <v>3449</v>
      </c>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6">C109-$K36</f>
        <v>99</v>
      </c>
      <c r="E109" s="475">
        <f t="shared" si="26"/>
        <v>98</v>
      </c>
      <c r="F109" s="475">
        <f t="shared" si="26"/>
        <v>97</v>
      </c>
      <c r="G109" s="475">
        <f t="shared" si="26"/>
        <v>96</v>
      </c>
      <c r="H109" s="475">
        <f t="shared" si="26"/>
        <v>95</v>
      </c>
      <c r="I109" s="475">
        <f t="shared" si="26"/>
        <v>94</v>
      </c>
      <c r="J109" s="475">
        <f t="shared" si="26"/>
        <v>93</v>
      </c>
      <c r="K109" s="475">
        <f t="shared" si="26"/>
        <v>92</v>
      </c>
      <c r="L109" s="475">
        <f t="shared" si="26"/>
        <v>91</v>
      </c>
      <c r="M109" s="476">
        <f t="shared" si="26"/>
        <v>90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76" t="s">
        <v>3457</v>
      </c>
      <c r="D115" s="3176" t="s">
        <v>3458</v>
      </c>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9">C116-$K39</f>
        <v>99</v>
      </c>
      <c r="E116" s="475">
        <f t="shared" si="29"/>
        <v>98</v>
      </c>
      <c r="F116" s="475">
        <f t="shared" si="29"/>
        <v>97</v>
      </c>
      <c r="G116" s="475">
        <f t="shared" si="29"/>
        <v>96</v>
      </c>
      <c r="H116" s="475">
        <f t="shared" si="29"/>
        <v>95</v>
      </c>
      <c r="I116" s="475">
        <f t="shared" si="29"/>
        <v>94</v>
      </c>
      <c r="J116" s="475">
        <f t="shared" si="29"/>
        <v>93</v>
      </c>
      <c r="K116" s="475">
        <f t="shared" si="29"/>
        <v>92</v>
      </c>
      <c r="L116" s="475">
        <f t="shared" si="29"/>
        <v>91</v>
      </c>
      <c r="M116" s="476">
        <f t="shared" si="29"/>
        <v>90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3176" t="s">
        <v>3453</v>
      </c>
      <c r="D117" s="3176" t="s">
        <v>3454</v>
      </c>
      <c r="E117" s="3176" t="s">
        <v>3455</v>
      </c>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3177" t="s">
        <v>3451</v>
      </c>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76" t="s">
        <v>3446</v>
      </c>
      <c r="D123" s="3176" t="s">
        <v>3447</v>
      </c>
      <c r="E123" s="3176" t="s">
        <v>3448</v>
      </c>
      <c r="F123" s="3177" t="s">
        <v>3449</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1">C124-$K43</f>
        <v>97.3</v>
      </c>
      <c r="E124" s="475">
        <f t="shared" si="31"/>
        <v>94.6</v>
      </c>
      <c r="F124" s="475">
        <f t="shared" si="31"/>
        <v>91.899999999999991</v>
      </c>
      <c r="G124" s="475">
        <f t="shared" si="31"/>
        <v>89.199999999999989</v>
      </c>
      <c r="H124" s="475">
        <f t="shared" si="31"/>
        <v>86.499999999999986</v>
      </c>
      <c r="I124" s="475">
        <f t="shared" si="31"/>
        <v>83.799999999999983</v>
      </c>
      <c r="J124" s="475">
        <f t="shared" si="31"/>
        <v>81.09999999999998</v>
      </c>
      <c r="K124" s="475">
        <f t="shared" si="31"/>
        <v>78.399999999999977</v>
      </c>
      <c r="L124" s="475">
        <f t="shared" si="31"/>
        <v>75.699999999999974</v>
      </c>
      <c r="M124" s="476">
        <f t="shared" si="31"/>
        <v>72.999999999999972</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0</v>
      </c>
      <c r="C127" s="485" t="s">
        <v>3461</v>
      </c>
      <c r="D127" s="485" t="s">
        <v>3459</v>
      </c>
      <c r="E127" s="485" t="s">
        <v>3462</v>
      </c>
      <c r="F127" s="485" t="s">
        <v>3463</v>
      </c>
      <c r="G127" s="485" t="s">
        <v>3464</v>
      </c>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v>100</v>
      </c>
      <c r="D128" s="467">
        <f>C128-3</f>
        <v>97</v>
      </c>
      <c r="E128" s="467">
        <f t="shared" ref="E128:G128" si="32">D128-3</f>
        <v>94</v>
      </c>
      <c r="F128" s="467">
        <f t="shared" si="32"/>
        <v>91</v>
      </c>
      <c r="G128" s="467">
        <f t="shared" si="32"/>
        <v>88</v>
      </c>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t="str">
        <f>B46</f>
        <v>物业费（元/月·平）</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t="str">
        <f>B47</f>
        <v>建成年代</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9" sqref="C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3428</v>
      </c>
      <c r="E1" s="3132" t="s">
        <v>3431</v>
      </c>
      <c r="F1" s="1735" t="s">
        <v>3432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IF(E1="项目模式",IF(C2="——",ROUND(C43*D3/10000,0),ROUND(C43*D3/10000,0)-D2),IF(E1="单套模式",IF(C2="——",ROUND(C43*D3/10000,4),ROUND(C43*D3/10000,4)-D2)))</f>
        <v>#DIV/0!</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1138.31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860"/>
      <c r="M4" s="861"/>
      <c r="N4" s="861"/>
      <c r="O4" s="861"/>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06" t="s">
        <v>1673</v>
      </c>
      <c r="D5" s="3407"/>
      <c r="E5" s="3404" t="s">
        <v>1674</v>
      </c>
      <c r="F5" s="3405"/>
      <c r="G5" s="3406" t="s">
        <v>1675</v>
      </c>
      <c r="H5" s="3407"/>
      <c r="I5" s="3406" t="s">
        <v>1676</v>
      </c>
      <c r="J5" s="3407"/>
      <c r="K5" s="537"/>
      <c r="L5" s="860"/>
      <c r="M5" s="861"/>
      <c r="N5" s="861"/>
      <c r="O5" s="861"/>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537" t="s">
        <v>1678</v>
      </c>
      <c r="L6" s="860"/>
      <c r="M6" s="861"/>
      <c r="N6" s="861"/>
      <c r="O6" s="861"/>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46003</v>
      </c>
      <c r="D7" s="355">
        <v>100</v>
      </c>
      <c r="E7" s="356"/>
      <c r="F7" s="357">
        <f>SUMIF(52:52,YEAR(E7)&amp;"-"&amp;MONTH(E7),53:53)</f>
        <v>0</v>
      </c>
      <c r="G7" s="356"/>
      <c r="H7" s="355">
        <f>SUMIF(52:52,YEAR(G7)&amp;"-"&amp;MONTH(G7),53:53)</f>
        <v>0</v>
      </c>
      <c r="I7" s="356"/>
      <c r="J7" s="355">
        <f>SUMIF(52:52,YEAR(I7)&amp;"-"&amp;MONTH(I7),53:53)</f>
        <v>0</v>
      </c>
      <c r="K7" s="38"/>
      <c r="L7" s="862"/>
      <c r="M7" s="863"/>
      <c r="N7" s="863"/>
      <c r="O7" s="863"/>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75" thickBot="1">
      <c r="A8" s="352" t="s">
        <v>1681</v>
      </c>
      <c r="B8" s="353"/>
      <c r="C8" s="358" t="s">
        <v>3433</v>
      </c>
      <c r="D8" s="355">
        <v>100</v>
      </c>
      <c r="E8" s="358"/>
      <c r="F8" s="357">
        <f>SUMIF(55:55,E8,56:56)-SUMIF(55:55,C8,56:56)+100</f>
        <v>0</v>
      </c>
      <c r="G8" s="358"/>
      <c r="H8" s="355">
        <f>SUMIF(55:55,G8,56:56)-SUMIF(55:55,C8,56:56)+100</f>
        <v>0</v>
      </c>
      <c r="I8" s="358"/>
      <c r="J8" s="355">
        <f>SUMIF(55:55,I8,56:56)-SUMIF(55:55,C8,56:56)+100</f>
        <v>0</v>
      </c>
      <c r="K8" s="38"/>
      <c r="L8" s="862"/>
      <c r="M8" s="863"/>
      <c r="N8" s="863"/>
      <c r="O8" s="863"/>
      <c r="P8" s="3398" t="s">
        <v>1683</v>
      </c>
      <c r="Q8" s="3399"/>
      <c r="R8" s="664" t="s">
        <v>14</v>
      </c>
      <c r="S8" s="665">
        <f t="shared" si="0"/>
        <v>0</v>
      </c>
      <c r="T8" s="664" t="s">
        <v>14</v>
      </c>
      <c r="U8" s="665">
        <f t="shared" si="1"/>
        <v>0</v>
      </c>
      <c r="V8" s="664" t="s">
        <v>14</v>
      </c>
      <c r="W8" s="665">
        <f t="shared" si="2"/>
        <v>0</v>
      </c>
      <c r="X8" s="666"/>
      <c r="Y8" s="3398" t="s">
        <v>1683</v>
      </c>
      <c r="Z8" s="3399"/>
      <c r="AA8" s="50" t="e">
        <f t="shared" ref="AA8:AA40" si="3">D8/F8</f>
        <v>#DIV/0!</v>
      </c>
      <c r="AB8" s="50" t="e">
        <f t="shared" ref="AB8:AB40" si="4">D8/H8</f>
        <v>#DIV/0!</v>
      </c>
      <c r="AC8" s="50" t="e">
        <f t="shared" ref="AC8:AC40" si="5">D8/J8</f>
        <v>#DIV/0!</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0"/>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2"/>
      <c r="Q16" s="1263"/>
      <c r="R16" s="667"/>
      <c r="S16" s="668"/>
      <c r="T16" s="667"/>
      <c r="U16" s="668"/>
      <c r="V16" s="667"/>
      <c r="W16" s="668"/>
      <c r="X16" s="1265"/>
      <c r="Y16" s="343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2"/>
      <c r="Q18" s="1263"/>
      <c r="R18" s="667"/>
      <c r="S18" s="668"/>
      <c r="T18" s="667"/>
      <c r="U18" s="668"/>
      <c r="V18" s="667"/>
      <c r="W18" s="668"/>
      <c r="X18" s="1265"/>
      <c r="Y18" s="343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2"/>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2"/>
      <c r="Q20" s="1263"/>
      <c r="R20" s="667"/>
      <c r="S20" s="668"/>
      <c r="T20" s="667"/>
      <c r="U20" s="668"/>
      <c r="V20" s="667"/>
      <c r="W20" s="668"/>
      <c r="X20" s="1265"/>
      <c r="Y20" s="343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2"/>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2"/>
      <c r="Q22" s="1263"/>
      <c r="R22" s="667"/>
      <c r="S22" s="668"/>
      <c r="T22" s="667"/>
      <c r="U22" s="668"/>
      <c r="V22" s="667"/>
      <c r="W22" s="668"/>
      <c r="X22" s="1265"/>
      <c r="Y22" s="343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2"/>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2"/>
      <c r="Q24" s="1263"/>
      <c r="R24" s="667"/>
      <c r="S24" s="668"/>
      <c r="T24" s="667"/>
      <c r="U24" s="668"/>
      <c r="V24" s="667"/>
      <c r="W24" s="668"/>
      <c r="X24" s="1265"/>
      <c r="Y24" s="343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2"/>
      <c r="Q25" s="1263">
        <f>B25</f>
        <v>111</v>
      </c>
      <c r="R25" s="667" t="s">
        <v>14</v>
      </c>
      <c r="S25" s="668">
        <f>F25</f>
        <v>100</v>
      </c>
      <c r="T25" s="667" t="s">
        <v>14</v>
      </c>
      <c r="U25" s="668">
        <f>H25</f>
        <v>100</v>
      </c>
      <c r="V25" s="667" t="s">
        <v>14</v>
      </c>
      <c r="W25" s="668">
        <f>J25</f>
        <v>100</v>
      </c>
      <c r="X25" s="1265"/>
      <c r="Y25" s="343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2"/>
      <c r="Q26" s="1263">
        <f t="shared" ref="Q26:Q40" si="11">B26</f>
        <v>111</v>
      </c>
      <c r="R26" s="667" t="s">
        <v>14</v>
      </c>
      <c r="S26" s="668">
        <f>F26</f>
        <v>100</v>
      </c>
      <c r="T26" s="667" t="s">
        <v>14</v>
      </c>
      <c r="U26" s="668">
        <f>H26</f>
        <v>100</v>
      </c>
      <c r="V26" s="667" t="s">
        <v>14</v>
      </c>
      <c r="W26" s="668">
        <f>J26</f>
        <v>100</v>
      </c>
      <c r="X26" s="1265"/>
      <c r="Y26" s="343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2"/>
      <c r="Q27" s="530">
        <f t="shared" si="11"/>
        <v>111</v>
      </c>
      <c r="R27" s="664" t="s">
        <v>14</v>
      </c>
      <c r="S27" s="665">
        <f>F27</f>
        <v>100</v>
      </c>
      <c r="T27" s="664" t="s">
        <v>14</v>
      </c>
      <c r="U27" s="665">
        <f>H27</f>
        <v>100</v>
      </c>
      <c r="V27" s="664" t="s">
        <v>14</v>
      </c>
      <c r="W27" s="665">
        <f>J27</f>
        <v>100</v>
      </c>
      <c r="X27" s="666"/>
      <c r="Y27" s="343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2"/>
      <c r="Q28" s="1263">
        <f t="shared" si="11"/>
        <v>111</v>
      </c>
      <c r="R28" s="667" t="s">
        <v>14</v>
      </c>
      <c r="S28" s="668">
        <f t="shared" ref="S28:S40" si="12">F28</f>
        <v>100</v>
      </c>
      <c r="T28" s="667" t="s">
        <v>14</v>
      </c>
      <c r="U28" s="668">
        <f t="shared" ref="U28:U40" si="13">H28</f>
        <v>100</v>
      </c>
      <c r="V28" s="667" t="s">
        <v>14</v>
      </c>
      <c r="W28" s="668">
        <f t="shared" ref="W28:W40" si="14">J28</f>
        <v>100</v>
      </c>
      <c r="X28" s="1265"/>
      <c r="Y28" s="343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7" t="s">
        <v>1696</v>
      </c>
      <c r="Q29" s="1263" t="str">
        <f t="shared" si="11"/>
        <v>建筑类型</v>
      </c>
      <c r="R29" s="667" t="s">
        <v>14</v>
      </c>
      <c r="S29" s="668">
        <f t="shared" si="12"/>
        <v>100</v>
      </c>
      <c r="T29" s="667" t="s">
        <v>14</v>
      </c>
      <c r="U29" s="668">
        <f t="shared" si="13"/>
        <v>100</v>
      </c>
      <c r="V29" s="667" t="s">
        <v>14</v>
      </c>
      <c r="W29" s="668">
        <f t="shared" si="14"/>
        <v>100</v>
      </c>
      <c r="X29" s="1265"/>
      <c r="Y29" s="343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6"/>
      <c r="Q30" s="531" t="str">
        <f t="shared" si="11"/>
        <v>项目建筑规模</v>
      </c>
      <c r="R30" s="669" t="s">
        <v>14</v>
      </c>
      <c r="S30" s="670" t="e">
        <f t="shared" si="12"/>
        <v>#N/A</v>
      </c>
      <c r="T30" s="669" t="s">
        <v>14</v>
      </c>
      <c r="U30" s="670" t="e">
        <f t="shared" si="13"/>
        <v>#N/A</v>
      </c>
      <c r="V30" s="669" t="s">
        <v>14</v>
      </c>
      <c r="W30" s="670" t="e">
        <f t="shared" si="14"/>
        <v>#N/A</v>
      </c>
      <c r="X30" s="671"/>
      <c r="Y30" s="343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6"/>
      <c r="Q31" s="1263" t="str">
        <f t="shared" si="11"/>
        <v>建筑结构</v>
      </c>
      <c r="R31" s="667" t="s">
        <v>14</v>
      </c>
      <c r="S31" s="668">
        <f t="shared" si="12"/>
        <v>100</v>
      </c>
      <c r="T31" s="667" t="s">
        <v>14</v>
      </c>
      <c r="U31" s="668">
        <f t="shared" si="13"/>
        <v>100</v>
      </c>
      <c r="V31" s="667" t="s">
        <v>14</v>
      </c>
      <c r="W31" s="668">
        <f t="shared" si="14"/>
        <v>100</v>
      </c>
      <c r="X31" s="1265"/>
      <c r="Y31" s="343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6"/>
      <c r="Q32" s="1263" t="str">
        <f t="shared" si="11"/>
        <v>公共部分装修</v>
      </c>
      <c r="R32" s="667" t="s">
        <v>14</v>
      </c>
      <c r="S32" s="668">
        <f t="shared" si="12"/>
        <v>100</v>
      </c>
      <c r="T32" s="667" t="s">
        <v>14</v>
      </c>
      <c r="U32" s="668">
        <f t="shared" si="13"/>
        <v>100</v>
      </c>
      <c r="V32" s="667" t="s">
        <v>14</v>
      </c>
      <c r="W32" s="668">
        <f t="shared" si="14"/>
        <v>100</v>
      </c>
      <c r="X32" s="1265"/>
      <c r="Y32" s="343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6"/>
      <c r="Q33" s="1263" t="str">
        <f t="shared" si="11"/>
        <v>成新度</v>
      </c>
      <c r="R33" s="667" t="s">
        <v>14</v>
      </c>
      <c r="S33" s="668" t="e">
        <f t="shared" si="12"/>
        <v>#N/A</v>
      </c>
      <c r="T33" s="667" t="s">
        <v>14</v>
      </c>
      <c r="U33" s="668" t="e">
        <f t="shared" si="13"/>
        <v>#N/A</v>
      </c>
      <c r="V33" s="667" t="s">
        <v>14</v>
      </c>
      <c r="W33" s="668" t="e">
        <f t="shared" si="14"/>
        <v>#N/A</v>
      </c>
      <c r="X33" s="1265"/>
      <c r="Y33" s="343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6"/>
      <c r="Q34" s="530" t="str">
        <f t="shared" si="11"/>
        <v>物业管理</v>
      </c>
      <c r="R34" s="664" t="s">
        <v>14</v>
      </c>
      <c r="S34" s="665">
        <f t="shared" si="12"/>
        <v>100</v>
      </c>
      <c r="T34" s="664" t="s">
        <v>14</v>
      </c>
      <c r="U34" s="665">
        <f t="shared" si="13"/>
        <v>100</v>
      </c>
      <c r="V34" s="664" t="s">
        <v>14</v>
      </c>
      <c r="W34" s="665">
        <f t="shared" si="14"/>
        <v>100</v>
      </c>
      <c r="X34" s="666"/>
      <c r="Y34" s="343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6" t="s">
        <v>1696</v>
      </c>
      <c r="Q35" s="1263" t="str">
        <f t="shared" si="11"/>
        <v>市政基础设施</v>
      </c>
      <c r="R35" s="667" t="s">
        <v>14</v>
      </c>
      <c r="S35" s="668">
        <f t="shared" si="12"/>
        <v>100</v>
      </c>
      <c r="T35" s="667" t="s">
        <v>14</v>
      </c>
      <c r="U35" s="668">
        <f t="shared" si="13"/>
        <v>100</v>
      </c>
      <c r="V35" s="667" t="s">
        <v>14</v>
      </c>
      <c r="W35" s="668">
        <f t="shared" si="14"/>
        <v>100</v>
      </c>
      <c r="X35" s="1265"/>
      <c r="Y35" s="343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6"/>
      <c r="Q36" s="1263" t="str">
        <f t="shared" si="11"/>
        <v>内部装修</v>
      </c>
      <c r="R36" s="667" t="s">
        <v>14</v>
      </c>
      <c r="S36" s="668">
        <f t="shared" si="12"/>
        <v>100</v>
      </c>
      <c r="T36" s="667" t="s">
        <v>14</v>
      </c>
      <c r="U36" s="668">
        <f t="shared" si="13"/>
        <v>100</v>
      </c>
      <c r="V36" s="667" t="s">
        <v>14</v>
      </c>
      <c r="W36" s="668">
        <f t="shared" si="14"/>
        <v>100</v>
      </c>
      <c r="X36" s="1265"/>
      <c r="Y36" s="343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6"/>
      <c r="Q37" s="1263" t="str">
        <f t="shared" si="11"/>
        <v>内部装修状况</v>
      </c>
      <c r="R37" s="667" t="s">
        <v>14</v>
      </c>
      <c r="S37" s="668">
        <f t="shared" si="12"/>
        <v>100</v>
      </c>
      <c r="T37" s="667" t="s">
        <v>14</v>
      </c>
      <c r="U37" s="668">
        <f t="shared" si="13"/>
        <v>100</v>
      </c>
      <c r="V37" s="667" t="s">
        <v>14</v>
      </c>
      <c r="W37" s="668">
        <f t="shared" si="14"/>
        <v>100</v>
      </c>
      <c r="X37" s="1265"/>
      <c r="Y37" s="343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6"/>
      <c r="Q38" s="531">
        <f t="shared" si="11"/>
        <v>111</v>
      </c>
      <c r="R38" s="669" t="s">
        <v>14</v>
      </c>
      <c r="S38" s="670">
        <f t="shared" si="12"/>
        <v>100</v>
      </c>
      <c r="T38" s="669" t="s">
        <v>14</v>
      </c>
      <c r="U38" s="670">
        <f t="shared" si="13"/>
        <v>100</v>
      </c>
      <c r="V38" s="669" t="s">
        <v>14</v>
      </c>
      <c r="W38" s="670">
        <f t="shared" si="14"/>
        <v>100</v>
      </c>
      <c r="X38" s="671"/>
      <c r="Y38" s="343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6"/>
      <c r="Q39" s="1263">
        <f t="shared" si="11"/>
        <v>111</v>
      </c>
      <c r="R39" s="667" t="s">
        <v>14</v>
      </c>
      <c r="S39" s="668">
        <f t="shared" si="12"/>
        <v>100</v>
      </c>
      <c r="T39" s="667" t="s">
        <v>14</v>
      </c>
      <c r="U39" s="668">
        <f t="shared" si="13"/>
        <v>100</v>
      </c>
      <c r="V39" s="667" t="s">
        <v>14</v>
      </c>
      <c r="W39" s="668">
        <f t="shared" si="14"/>
        <v>100</v>
      </c>
      <c r="X39" s="1265"/>
      <c r="Y39" s="343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7"/>
      <c r="Q40" s="1263">
        <f t="shared" si="11"/>
        <v>111</v>
      </c>
      <c r="R40" s="667" t="s">
        <v>14</v>
      </c>
      <c r="S40" s="668">
        <f t="shared" si="12"/>
        <v>100</v>
      </c>
      <c r="T40" s="667" t="s">
        <v>14</v>
      </c>
      <c r="U40" s="668">
        <f t="shared" si="13"/>
        <v>100</v>
      </c>
      <c r="V40" s="667" t="s">
        <v>14</v>
      </c>
      <c r="W40" s="668">
        <f t="shared" si="14"/>
        <v>100</v>
      </c>
      <c r="X40" s="1265"/>
      <c r="Y40" s="343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0" t="str">
        <f>A41</f>
        <v>成交单价（元/平方米）</v>
      </c>
      <c r="Q41" s="3430"/>
      <c r="R41" s="3425">
        <f>E41</f>
        <v>0</v>
      </c>
      <c r="S41" s="3425"/>
      <c r="T41" s="3425">
        <f>G41</f>
        <v>0</v>
      </c>
      <c r="U41" s="3425"/>
      <c r="V41" s="3425">
        <f>I41</f>
        <v>0</v>
      </c>
      <c r="W41" s="3425"/>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30" t="str">
        <f>A42</f>
        <v>比较价值（元/平方米）</v>
      </c>
      <c r="Q42" s="3430"/>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估价对象为北京市房地产，为所有。根据《国有土地使用证》[]，估价对象（分摊）出让国有建设用地使用权面积为0平方米，建筑面积为1138.31平方米。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估价对象为北京市房地产,属开发建设的工业项目，该项目尚在开发建设中。根据《国有土地使用证》[]，估价对象（分摊）出让国有建设用地使用权面积为0平方米，规划建筑面积为1138.31平方米。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2025年12月12日（评估专业人员实地查勘之日）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7"/>
      <c r="M4" s="2488"/>
      <c r="N4" s="2488"/>
      <c r="O4" s="2488"/>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06" t="s">
        <v>1673</v>
      </c>
      <c r="D5" s="3407"/>
      <c r="E5" s="3404" t="s">
        <v>1674</v>
      </c>
      <c r="F5" s="3405"/>
      <c r="G5" s="3406" t="s">
        <v>1675</v>
      </c>
      <c r="H5" s="3407"/>
      <c r="I5" s="3406" t="s">
        <v>1676</v>
      </c>
      <c r="J5" s="3407"/>
      <c r="K5" s="537"/>
      <c r="L5" s="2487"/>
      <c r="M5" s="2488"/>
      <c r="N5" s="2488"/>
      <c r="O5" s="2488"/>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537" t="s">
        <v>1678</v>
      </c>
      <c r="L6" s="2487"/>
      <c r="M6" s="2488"/>
      <c r="N6" s="2488"/>
      <c r="O6" s="2488"/>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46003</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8" t="s">
        <v>1680</v>
      </c>
      <c r="Q7" s="3426"/>
      <c r="R7" s="664" t="s">
        <v>14</v>
      </c>
      <c r="S7" s="665">
        <f t="shared" ref="S7:S14" si="0">F7</f>
        <v>0</v>
      </c>
      <c r="T7" s="664" t="s">
        <v>14</v>
      </c>
      <c r="U7" s="665">
        <f t="shared" ref="U7:U14" si="1">H7</f>
        <v>0</v>
      </c>
      <c r="V7" s="664" t="s">
        <v>14</v>
      </c>
      <c r="W7" s="665">
        <f t="shared" ref="W7:W14" si="2">J7</f>
        <v>0</v>
      </c>
      <c r="X7" s="666"/>
      <c r="Y7" s="3398" t="s">
        <v>1680</v>
      </c>
      <c r="Z7" s="339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8" t="s">
        <v>1683</v>
      </c>
      <c r="Q8" s="3399"/>
      <c r="R8" s="664" t="s">
        <v>14</v>
      </c>
      <c r="S8" s="665">
        <f t="shared" si="0"/>
        <v>100</v>
      </c>
      <c r="T8" s="664" t="s">
        <v>14</v>
      </c>
      <c r="U8" s="665">
        <f t="shared" si="1"/>
        <v>100</v>
      </c>
      <c r="V8" s="664" t="s">
        <v>14</v>
      </c>
      <c r="W8" s="665">
        <f t="shared" si="2"/>
        <v>100</v>
      </c>
      <c r="X8" s="666"/>
      <c r="Y8" s="3398" t="s">
        <v>1683</v>
      </c>
      <c r="Z8" s="339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30"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30"/>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32"/>
      <c r="Q15" s="1263"/>
      <c r="R15" s="667"/>
      <c r="S15" s="668"/>
      <c r="T15" s="667"/>
      <c r="U15" s="668"/>
      <c r="V15" s="667"/>
      <c r="W15" s="668"/>
      <c r="X15" s="1265"/>
      <c r="Y15" s="3432"/>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32"/>
      <c r="Q17" s="1263"/>
      <c r="R17" s="667"/>
      <c r="S17" s="668"/>
      <c r="T17" s="667"/>
      <c r="U17" s="668"/>
      <c r="V17" s="667"/>
      <c r="W17" s="668"/>
      <c r="X17" s="1265"/>
      <c r="Y17" s="3432"/>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32"/>
      <c r="Q19" s="1263"/>
      <c r="R19" s="667"/>
      <c r="S19" s="668"/>
      <c r="T19" s="667"/>
      <c r="U19" s="668"/>
      <c r="V19" s="667"/>
      <c r="W19" s="668"/>
      <c r="X19" s="1265"/>
      <c r="Y19" s="3432"/>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32"/>
      <c r="Q21" s="1263"/>
      <c r="R21" s="667"/>
      <c r="S21" s="668"/>
      <c r="T21" s="667"/>
      <c r="U21" s="668"/>
      <c r="V21" s="667"/>
      <c r="W21" s="668"/>
      <c r="X21" s="1265"/>
      <c r="Y21" s="343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32"/>
      <c r="Q24" s="1263">
        <f t="shared" ref="Q24:Q36"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36"/>
      <c r="Q27" s="531" t="str">
        <f t="shared" si="11"/>
        <v>项目停车位配比</v>
      </c>
      <c r="R27" s="669" t="s">
        <v>14</v>
      </c>
      <c r="S27" s="670">
        <f t="shared" si="12"/>
        <v>100</v>
      </c>
      <c r="T27" s="669" t="s">
        <v>14</v>
      </c>
      <c r="U27" s="670">
        <f t="shared" si="13"/>
        <v>100</v>
      </c>
      <c r="V27" s="669" t="s">
        <v>14</v>
      </c>
      <c r="W27" s="670">
        <f t="shared" si="14"/>
        <v>100</v>
      </c>
      <c r="X27" s="671"/>
      <c r="Y27" s="343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36"/>
      <c r="Q28" s="1263" t="str">
        <f t="shared" si="11"/>
        <v>公共部分装修</v>
      </c>
      <c r="R28" s="667" t="s">
        <v>14</v>
      </c>
      <c r="S28" s="668">
        <f t="shared" si="12"/>
        <v>100</v>
      </c>
      <c r="T28" s="667" t="s">
        <v>14</v>
      </c>
      <c r="U28" s="668">
        <f t="shared" si="13"/>
        <v>100</v>
      </c>
      <c r="V28" s="667" t="s">
        <v>14</v>
      </c>
      <c r="W28" s="668">
        <f t="shared" si="14"/>
        <v>100</v>
      </c>
      <c r="X28" s="1265"/>
      <c r="Y28" s="343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36"/>
      <c r="Q29" s="1263" t="str">
        <f t="shared" si="11"/>
        <v>成新率</v>
      </c>
      <c r="R29" s="667" t="s">
        <v>14</v>
      </c>
      <c r="S29" s="668" t="e">
        <f t="shared" si="12"/>
        <v>#N/A</v>
      </c>
      <c r="T29" s="667" t="s">
        <v>14</v>
      </c>
      <c r="U29" s="668" t="e">
        <f t="shared" si="13"/>
        <v>#N/A</v>
      </c>
      <c r="V29" s="667" t="s">
        <v>14</v>
      </c>
      <c r="W29" s="668" t="e">
        <f t="shared" si="14"/>
        <v>#N/A</v>
      </c>
      <c r="X29" s="1265"/>
      <c r="Y29" s="343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36"/>
      <c r="Q30" s="1263" t="str">
        <f t="shared" si="11"/>
        <v>物业等级</v>
      </c>
      <c r="R30" s="667" t="s">
        <v>14</v>
      </c>
      <c r="S30" s="668">
        <f t="shared" si="12"/>
        <v>100</v>
      </c>
      <c r="T30" s="667" t="s">
        <v>14</v>
      </c>
      <c r="U30" s="668">
        <f t="shared" si="13"/>
        <v>100</v>
      </c>
      <c r="V30" s="667" t="s">
        <v>14</v>
      </c>
      <c r="W30" s="668">
        <f t="shared" si="14"/>
        <v>100</v>
      </c>
      <c r="X30" s="1265"/>
      <c r="Y30" s="343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36"/>
      <c r="Q31" s="530" t="str">
        <f t="shared" si="11"/>
        <v>停车位面积</v>
      </c>
      <c r="R31" s="664" t="s">
        <v>14</v>
      </c>
      <c r="S31" s="665" t="e">
        <f t="shared" si="12"/>
        <v>#N/A</v>
      </c>
      <c r="T31" s="664" t="s">
        <v>14</v>
      </c>
      <c r="U31" s="665" t="e">
        <f t="shared" si="13"/>
        <v>#N/A</v>
      </c>
      <c r="V31" s="664" t="s">
        <v>14</v>
      </c>
      <c r="W31" s="665" t="e">
        <f t="shared" si="14"/>
        <v>#N/A</v>
      </c>
      <c r="X31" s="666"/>
      <c r="Y31" s="343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36" t="s">
        <v>1696</v>
      </c>
      <c r="Q32" s="1263" t="str">
        <f t="shared" si="11"/>
        <v>车位类型</v>
      </c>
      <c r="R32" s="667" t="s">
        <v>14</v>
      </c>
      <c r="S32" s="668">
        <f t="shared" si="12"/>
        <v>100</v>
      </c>
      <c r="T32" s="667" t="s">
        <v>14</v>
      </c>
      <c r="U32" s="668">
        <f t="shared" si="13"/>
        <v>100</v>
      </c>
      <c r="V32" s="667" t="s">
        <v>14</v>
      </c>
      <c r="W32" s="668">
        <f t="shared" si="14"/>
        <v>100</v>
      </c>
      <c r="X32" s="1265"/>
      <c r="Y32" s="343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36"/>
      <c r="Q33" s="1263" t="str">
        <f t="shared" si="11"/>
        <v>是否直接入户</v>
      </c>
      <c r="R33" s="667" t="s">
        <v>14</v>
      </c>
      <c r="S33" s="668">
        <f t="shared" si="12"/>
        <v>100</v>
      </c>
      <c r="T33" s="667" t="s">
        <v>14</v>
      </c>
      <c r="U33" s="668">
        <f t="shared" si="13"/>
        <v>100</v>
      </c>
      <c r="V33" s="667" t="s">
        <v>14</v>
      </c>
      <c r="W33" s="668">
        <f t="shared" si="14"/>
        <v>100</v>
      </c>
      <c r="X33" s="1265"/>
      <c r="Y33" s="343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36"/>
      <c r="Q35" s="531">
        <f t="shared" si="11"/>
        <v>111</v>
      </c>
      <c r="R35" s="669" t="s">
        <v>14</v>
      </c>
      <c r="S35" s="670">
        <f t="shared" si="12"/>
        <v>100</v>
      </c>
      <c r="T35" s="669" t="s">
        <v>14</v>
      </c>
      <c r="U35" s="670">
        <f t="shared" si="13"/>
        <v>100</v>
      </c>
      <c r="V35" s="669" t="s">
        <v>14</v>
      </c>
      <c r="W35" s="670">
        <f t="shared" si="14"/>
        <v>100</v>
      </c>
      <c r="X35" s="671"/>
      <c r="Y35" s="343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36"/>
      <c r="Q36" s="1263">
        <f t="shared" si="11"/>
        <v>111</v>
      </c>
      <c r="R36" s="667" t="s">
        <v>14</v>
      </c>
      <c r="S36" s="668">
        <f t="shared" si="12"/>
        <v>100</v>
      </c>
      <c r="T36" s="667" t="s">
        <v>14</v>
      </c>
      <c r="U36" s="668">
        <f t="shared" si="13"/>
        <v>100</v>
      </c>
      <c r="V36" s="667" t="s">
        <v>14</v>
      </c>
      <c r="W36" s="668">
        <f t="shared" si="14"/>
        <v>100</v>
      </c>
      <c r="X36" s="1265"/>
      <c r="Y36" s="3436"/>
      <c r="Z36" s="1264">
        <f t="shared" si="15"/>
        <v>111</v>
      </c>
      <c r="AA36" s="1264">
        <f t="shared" si="3"/>
        <v>1</v>
      </c>
      <c r="AB36" s="1264">
        <f t="shared" si="4"/>
        <v>1</v>
      </c>
      <c r="AC36" s="1264">
        <f t="shared" si="5"/>
        <v>1</v>
      </c>
    </row>
    <row r="37" spans="1:29" ht="15">
      <c r="A37" s="416" t="s">
        <v>1844</v>
      </c>
      <c r="B37" s="1821" t="s">
        <v>3351</v>
      </c>
      <c r="C37" s="1081" t="s">
        <v>0</v>
      </c>
      <c r="D37" s="418"/>
      <c r="E37" s="419"/>
      <c r="F37" s="420"/>
      <c r="G37" s="421"/>
      <c r="H37" s="422"/>
      <c r="I37" s="419"/>
      <c r="J37" s="422"/>
      <c r="K37" s="545"/>
      <c r="L37" s="2495"/>
      <c r="M37" s="2488"/>
      <c r="N37" s="2488"/>
      <c r="O37" s="2488"/>
      <c r="P37" s="3430" t="str">
        <f>A37</f>
        <v>成交单价</v>
      </c>
      <c r="Q37" s="3430"/>
      <c r="R37" s="3425">
        <f>E37</f>
        <v>0</v>
      </c>
      <c r="S37" s="3425"/>
      <c r="T37" s="3425">
        <f>G37</f>
        <v>0</v>
      </c>
      <c r="U37" s="3425"/>
      <c r="V37" s="3425">
        <f>I37</f>
        <v>0</v>
      </c>
      <c r="W37" s="3425"/>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430" t="str">
        <f>A38</f>
        <v>比较价值（元/平方米）</v>
      </c>
      <c r="Q38" s="3430"/>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27" t="str">
        <f>A39</f>
        <v>估价对象XX用房的比较价值（楼面单价，元/平方米）</v>
      </c>
      <c r="Q39" s="3428"/>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7"/>
      <c r="M4" s="2488"/>
      <c r="N4" s="2488"/>
      <c r="O4" s="2488"/>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06" t="s">
        <v>1673</v>
      </c>
      <c r="D5" s="3407"/>
      <c r="E5" s="3404" t="s">
        <v>1674</v>
      </c>
      <c r="F5" s="3405"/>
      <c r="G5" s="3406" t="s">
        <v>1675</v>
      </c>
      <c r="H5" s="3407"/>
      <c r="I5" s="3406" t="s">
        <v>1676</v>
      </c>
      <c r="J5" s="3407"/>
      <c r="K5" s="537"/>
      <c r="L5" s="2487"/>
      <c r="M5" s="2488"/>
      <c r="N5" s="2488"/>
      <c r="O5" s="2488"/>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537" t="s">
        <v>1678</v>
      </c>
      <c r="L6" s="2487"/>
      <c r="M6" s="2488"/>
      <c r="N6" s="2488"/>
      <c r="O6" s="2488"/>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46003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8" t="s">
        <v>1680</v>
      </c>
      <c r="Q7" s="3426"/>
      <c r="R7" s="664" t="s">
        <v>14</v>
      </c>
      <c r="S7" s="665">
        <f t="shared" ref="S7:S14" si="0">F7</f>
        <v>0</v>
      </c>
      <c r="T7" s="664" t="s">
        <v>14</v>
      </c>
      <c r="U7" s="665">
        <f t="shared" ref="U7:U14" si="1">H7</f>
        <v>0</v>
      </c>
      <c r="V7" s="664" t="s">
        <v>14</v>
      </c>
      <c r="W7" s="665">
        <f t="shared" ref="W7:W14" si="2">J7</f>
        <v>0</v>
      </c>
      <c r="X7" s="666"/>
      <c r="Y7" s="3398" t="s">
        <v>1680</v>
      </c>
      <c r="Z7" s="339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8" t="s">
        <v>1683</v>
      </c>
      <c r="Q8" s="3399"/>
      <c r="R8" s="664" t="s">
        <v>14</v>
      </c>
      <c r="S8" s="665">
        <f t="shared" si="0"/>
        <v>100</v>
      </c>
      <c r="T8" s="664" t="s">
        <v>14</v>
      </c>
      <c r="U8" s="665">
        <f t="shared" si="1"/>
        <v>100</v>
      </c>
      <c r="V8" s="664" t="s">
        <v>14</v>
      </c>
      <c r="W8" s="665">
        <f t="shared" si="2"/>
        <v>100</v>
      </c>
      <c r="X8" s="666"/>
      <c r="Y8" s="3398" t="s">
        <v>1683</v>
      </c>
      <c r="Z8" s="339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30"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30"/>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32"/>
      <c r="Q15" s="1263"/>
      <c r="R15" s="667"/>
      <c r="S15" s="668"/>
      <c r="T15" s="667"/>
      <c r="U15" s="668"/>
      <c r="V15" s="667"/>
      <c r="W15" s="668"/>
      <c r="X15" s="1265"/>
      <c r="Y15" s="3432"/>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32"/>
      <c r="Q17" s="1263"/>
      <c r="R17" s="667"/>
      <c r="S17" s="668"/>
      <c r="T17" s="667"/>
      <c r="U17" s="668"/>
      <c r="V17" s="667"/>
      <c r="W17" s="668"/>
      <c r="X17" s="1265"/>
      <c r="Y17" s="3432"/>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32"/>
      <c r="Q19" s="1263"/>
      <c r="R19" s="667"/>
      <c r="S19" s="668"/>
      <c r="T19" s="667"/>
      <c r="U19" s="668"/>
      <c r="V19" s="667"/>
      <c r="W19" s="668"/>
      <c r="X19" s="1265"/>
      <c r="Y19" s="3432"/>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32"/>
      <c r="Q21" s="1263"/>
      <c r="R21" s="667"/>
      <c r="S21" s="668"/>
      <c r="T21" s="667"/>
      <c r="U21" s="668"/>
      <c r="V21" s="667"/>
      <c r="W21" s="668"/>
      <c r="X21" s="1265"/>
      <c r="Y21" s="343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32"/>
      <c r="Q24" s="1263">
        <f t="shared" ref="Q24:Q34"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36"/>
      <c r="Q27" s="531" t="str">
        <f t="shared" si="11"/>
        <v>成新率</v>
      </c>
      <c r="R27" s="669" t="s">
        <v>14</v>
      </c>
      <c r="S27" s="670" t="e">
        <f t="shared" si="12"/>
        <v>#N/A</v>
      </c>
      <c r="T27" s="669" t="s">
        <v>14</v>
      </c>
      <c r="U27" s="670" t="e">
        <f t="shared" si="13"/>
        <v>#N/A</v>
      </c>
      <c r="V27" s="669" t="s">
        <v>14</v>
      </c>
      <c r="W27" s="670" t="e">
        <f t="shared" si="14"/>
        <v>#N/A</v>
      </c>
      <c r="X27" s="671"/>
      <c r="Y27" s="343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36"/>
      <c r="Q28" s="1263" t="str">
        <f t="shared" si="11"/>
        <v>物业等级</v>
      </c>
      <c r="R28" s="667" t="s">
        <v>14</v>
      </c>
      <c r="S28" s="668">
        <f t="shared" si="12"/>
        <v>100</v>
      </c>
      <c r="T28" s="667" t="s">
        <v>14</v>
      </c>
      <c r="U28" s="668">
        <f t="shared" si="13"/>
        <v>100</v>
      </c>
      <c r="V28" s="667" t="s">
        <v>14</v>
      </c>
      <c r="W28" s="668">
        <f t="shared" si="14"/>
        <v>100</v>
      </c>
      <c r="X28" s="1265"/>
      <c r="Y28" s="343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36"/>
      <c r="Q29" s="1263" t="str">
        <f t="shared" si="11"/>
        <v>有无电梯</v>
      </c>
      <c r="R29" s="667" t="s">
        <v>14</v>
      </c>
      <c r="S29" s="668">
        <f t="shared" si="12"/>
        <v>100</v>
      </c>
      <c r="T29" s="667" t="s">
        <v>14</v>
      </c>
      <c r="U29" s="668">
        <f t="shared" si="13"/>
        <v>100</v>
      </c>
      <c r="V29" s="667" t="s">
        <v>14</v>
      </c>
      <c r="W29" s="668">
        <f t="shared" si="14"/>
        <v>100</v>
      </c>
      <c r="X29" s="1265"/>
      <c r="Y29" s="343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36"/>
      <c r="Q30" s="1263" t="str">
        <f t="shared" si="11"/>
        <v>建筑面积</v>
      </c>
      <c r="R30" s="667" t="s">
        <v>14</v>
      </c>
      <c r="S30" s="668" t="e">
        <f t="shared" si="12"/>
        <v>#N/A</v>
      </c>
      <c r="T30" s="667" t="s">
        <v>14</v>
      </c>
      <c r="U30" s="668" t="e">
        <f t="shared" si="13"/>
        <v>#N/A</v>
      </c>
      <c r="V30" s="667" t="s">
        <v>14</v>
      </c>
      <c r="W30" s="668" t="e">
        <f t="shared" si="14"/>
        <v>#N/A</v>
      </c>
      <c r="X30" s="1265"/>
      <c r="Y30" s="343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36"/>
      <c r="Q31" s="530" t="str">
        <f t="shared" si="11"/>
        <v>是否封闭</v>
      </c>
      <c r="R31" s="664" t="s">
        <v>14</v>
      </c>
      <c r="S31" s="665">
        <f t="shared" si="12"/>
        <v>100</v>
      </c>
      <c r="T31" s="664" t="s">
        <v>14</v>
      </c>
      <c r="U31" s="665">
        <f t="shared" si="13"/>
        <v>100</v>
      </c>
      <c r="V31" s="664" t="s">
        <v>14</v>
      </c>
      <c r="W31" s="665">
        <f t="shared" si="14"/>
        <v>100</v>
      </c>
      <c r="X31" s="666"/>
      <c r="Y31" s="343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36" t="s">
        <v>1696</v>
      </c>
      <c r="Q32" s="1263">
        <f t="shared" si="11"/>
        <v>111</v>
      </c>
      <c r="R32" s="667" t="s">
        <v>14</v>
      </c>
      <c r="S32" s="668">
        <f t="shared" si="12"/>
        <v>100</v>
      </c>
      <c r="T32" s="667" t="s">
        <v>14</v>
      </c>
      <c r="U32" s="668">
        <f t="shared" si="13"/>
        <v>100</v>
      </c>
      <c r="V32" s="667" t="s">
        <v>14</v>
      </c>
      <c r="W32" s="668">
        <f t="shared" si="14"/>
        <v>100</v>
      </c>
      <c r="X32" s="1265"/>
      <c r="Y32" s="343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36"/>
      <c r="Q33" s="1263">
        <f t="shared" si="11"/>
        <v>111</v>
      </c>
      <c r="R33" s="667" t="s">
        <v>14</v>
      </c>
      <c r="S33" s="668">
        <f t="shared" si="12"/>
        <v>100</v>
      </c>
      <c r="T33" s="667" t="s">
        <v>14</v>
      </c>
      <c r="U33" s="668">
        <f t="shared" si="13"/>
        <v>100</v>
      </c>
      <c r="V33" s="667" t="s">
        <v>14</v>
      </c>
      <c r="W33" s="668">
        <f t="shared" si="14"/>
        <v>100</v>
      </c>
      <c r="X33" s="1265"/>
      <c r="Y33" s="343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30" t="str">
        <f>A35</f>
        <v>成交单价（元/平方米）</v>
      </c>
      <c r="Q35" s="3430"/>
      <c r="R35" s="3425">
        <f>E35</f>
        <v>0</v>
      </c>
      <c r="S35" s="3425"/>
      <c r="T35" s="3425">
        <f>G35</f>
        <v>0</v>
      </c>
      <c r="U35" s="3425"/>
      <c r="V35" s="3425">
        <f>I35</f>
        <v>0</v>
      </c>
      <c r="W35" s="3425"/>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430" t="str">
        <f>A36</f>
        <v>比较价值（元/平方米）</v>
      </c>
      <c r="Q36" s="3430"/>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27" t="str">
        <f>A37</f>
        <v>估价对象XX用房的比较价值（楼面单价，元/平方米）</v>
      </c>
      <c r="Q37" s="3428"/>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7"/>
      <c r="M4" s="2488"/>
      <c r="N4" s="2488"/>
      <c r="O4" s="2488"/>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06" t="s">
        <v>1673</v>
      </c>
      <c r="D5" s="3407"/>
      <c r="E5" s="3404" t="s">
        <v>1674</v>
      </c>
      <c r="F5" s="3405"/>
      <c r="G5" s="3406" t="s">
        <v>1675</v>
      </c>
      <c r="H5" s="3407"/>
      <c r="I5" s="3406" t="s">
        <v>1676</v>
      </c>
      <c r="J5" s="3407"/>
      <c r="K5" s="537"/>
      <c r="L5" s="2487"/>
      <c r="M5" s="2488"/>
      <c r="N5" s="2488"/>
      <c r="O5" s="2488"/>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537" t="s">
        <v>1678</v>
      </c>
      <c r="L6" s="2487"/>
      <c r="M6" s="2488"/>
      <c r="N6" s="2488"/>
      <c r="O6" s="2488"/>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46003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8" t="s">
        <v>1683</v>
      </c>
      <c r="Q8" s="3399"/>
      <c r="R8" s="664" t="s">
        <v>14</v>
      </c>
      <c r="S8" s="665">
        <f t="shared" si="0"/>
        <v>0</v>
      </c>
      <c r="T8" s="664" t="s">
        <v>14</v>
      </c>
      <c r="U8" s="665">
        <f t="shared" si="1"/>
        <v>0</v>
      </c>
      <c r="V8" s="664" t="s">
        <v>14</v>
      </c>
      <c r="W8" s="665">
        <f t="shared" si="2"/>
        <v>0</v>
      </c>
      <c r="X8" s="666"/>
      <c r="Y8" s="3398" t="s">
        <v>1683</v>
      </c>
      <c r="Z8" s="339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90"/>
      <c r="M10" s="2491"/>
      <c r="N10" s="2491"/>
      <c r="O10" s="2542"/>
      <c r="P10" s="3430"/>
      <c r="Q10" s="530" t="str">
        <f t="shared" si="6"/>
        <v>土地使用年限（年）</v>
      </c>
      <c r="R10" s="664" t="s">
        <v>14</v>
      </c>
      <c r="S10" s="665">
        <f t="shared" si="0"/>
        <v>114</v>
      </c>
      <c r="T10" s="664" t="s">
        <v>14</v>
      </c>
      <c r="U10" s="665">
        <f t="shared" si="1"/>
        <v>114</v>
      </c>
      <c r="V10" s="664" t="s">
        <v>14</v>
      </c>
      <c r="W10" s="665">
        <f t="shared" si="2"/>
        <v>114</v>
      </c>
      <c r="X10" s="666"/>
      <c r="Y10" s="3342"/>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30"/>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30"/>
      <c r="Q12" s="530" t="str">
        <f t="shared" si="6"/>
        <v>配建</v>
      </c>
      <c r="R12" s="664" t="s">
        <v>14</v>
      </c>
      <c r="S12" s="665">
        <f t="shared" si="0"/>
        <v>100</v>
      </c>
      <c r="T12" s="664" t="s">
        <v>14</v>
      </c>
      <c r="U12" s="665">
        <f t="shared" si="1"/>
        <v>100</v>
      </c>
      <c r="V12" s="664" t="s">
        <v>14</v>
      </c>
      <c r="W12" s="665">
        <f t="shared" si="2"/>
        <v>100</v>
      </c>
      <c r="X12" s="666"/>
      <c r="Y12" s="33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31" t="s">
        <v>1691</v>
      </c>
      <c r="Q15" s="1263" t="str">
        <f t="shared" si="6"/>
        <v>居住社区成熟度</v>
      </c>
      <c r="R15" s="667" t="s">
        <v>14</v>
      </c>
      <c r="S15" s="668">
        <f t="shared" si="0"/>
        <v>100</v>
      </c>
      <c r="T15" s="667" t="s">
        <v>14</v>
      </c>
      <c r="U15" s="668">
        <f t="shared" si="1"/>
        <v>100</v>
      </c>
      <c r="V15" s="667" t="s">
        <v>14</v>
      </c>
      <c r="W15" s="668">
        <f t="shared" si="2"/>
        <v>100</v>
      </c>
      <c r="X15" s="1265"/>
      <c r="Y15" s="343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32"/>
      <c r="Q16" s="1263"/>
      <c r="R16" s="667"/>
      <c r="S16" s="668"/>
      <c r="T16" s="667"/>
      <c r="U16" s="668"/>
      <c r="V16" s="667"/>
      <c r="W16" s="668"/>
      <c r="X16" s="1265"/>
      <c r="Y16" s="3432"/>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32"/>
      <c r="Q17" s="1263" t="str">
        <f>B17</f>
        <v>商业繁华度</v>
      </c>
      <c r="R17" s="667" t="s">
        <v>14</v>
      </c>
      <c r="S17" s="668">
        <f>F17</f>
        <v>100</v>
      </c>
      <c r="T17" s="667" t="s">
        <v>14</v>
      </c>
      <c r="U17" s="668">
        <f>H17</f>
        <v>100</v>
      </c>
      <c r="V17" s="667" t="s">
        <v>14</v>
      </c>
      <c r="W17" s="668">
        <f>J17</f>
        <v>100</v>
      </c>
      <c r="X17" s="1265"/>
      <c r="Y17" s="343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32"/>
      <c r="Q18" s="1263"/>
      <c r="R18" s="667"/>
      <c r="S18" s="668"/>
      <c r="T18" s="667"/>
      <c r="U18" s="668"/>
      <c r="V18" s="667"/>
      <c r="W18" s="668"/>
      <c r="X18" s="1265"/>
      <c r="Y18" s="3432"/>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32"/>
      <c r="Q19" s="1263" t="str">
        <f>B19</f>
        <v>办公集聚程度</v>
      </c>
      <c r="R19" s="667" t="s">
        <v>14</v>
      </c>
      <c r="S19" s="668">
        <f>F19</f>
        <v>100</v>
      </c>
      <c r="T19" s="667" t="s">
        <v>14</v>
      </c>
      <c r="U19" s="668">
        <f>H19</f>
        <v>100</v>
      </c>
      <c r="V19" s="667" t="s">
        <v>14</v>
      </c>
      <c r="W19" s="668">
        <f>J19</f>
        <v>100</v>
      </c>
      <c r="X19" s="1265"/>
      <c r="Y19" s="343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32"/>
      <c r="Q20" s="1263"/>
      <c r="R20" s="667"/>
      <c r="S20" s="668"/>
      <c r="T20" s="667"/>
      <c r="U20" s="668"/>
      <c r="V20" s="667"/>
      <c r="W20" s="668"/>
      <c r="X20" s="1265"/>
      <c r="Y20" s="3432"/>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32"/>
      <c r="Q21" s="1263" t="str">
        <f>B21</f>
        <v>交通便捷度</v>
      </c>
      <c r="R21" s="667" t="s">
        <v>14</v>
      </c>
      <c r="S21" s="668">
        <f>F21</f>
        <v>100</v>
      </c>
      <c r="T21" s="667" t="s">
        <v>14</v>
      </c>
      <c r="U21" s="668">
        <f>H21</f>
        <v>100</v>
      </c>
      <c r="V21" s="667" t="s">
        <v>14</v>
      </c>
      <c r="W21" s="668">
        <f>J21</f>
        <v>100</v>
      </c>
      <c r="X21" s="1265"/>
      <c r="Y21" s="343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32"/>
      <c r="Q22" s="1263"/>
      <c r="R22" s="667"/>
      <c r="S22" s="668"/>
      <c r="T22" s="667"/>
      <c r="U22" s="668"/>
      <c r="V22" s="667"/>
      <c r="W22" s="668"/>
      <c r="X22" s="1265"/>
      <c r="Y22" s="343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32"/>
      <c r="Q23" s="1263" t="str">
        <f t="shared" ref="Q23:Q37" si="8">B23</f>
        <v>区域土地利用方向</v>
      </c>
      <c r="R23" s="667" t="s">
        <v>14</v>
      </c>
      <c r="S23" s="668">
        <f>F23</f>
        <v>100</v>
      </c>
      <c r="T23" s="667" t="s">
        <v>14</v>
      </c>
      <c r="U23" s="668">
        <f>H23</f>
        <v>100</v>
      </c>
      <c r="V23" s="667" t="s">
        <v>14</v>
      </c>
      <c r="W23" s="668">
        <f>J23</f>
        <v>100</v>
      </c>
      <c r="X23" s="1265"/>
      <c r="Y23" s="343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32"/>
      <c r="Q24" s="1263"/>
      <c r="R24" s="667"/>
      <c r="S24" s="668"/>
      <c r="T24" s="667"/>
      <c r="U24" s="668"/>
      <c r="V24" s="667"/>
      <c r="W24" s="668"/>
      <c r="X24" s="1265"/>
      <c r="Y24" s="3432"/>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32"/>
      <c r="Q25" s="1263" t="str">
        <f t="shared" si="8"/>
        <v>自然及人文环境状况</v>
      </c>
      <c r="R25" s="667" t="s">
        <v>14</v>
      </c>
      <c r="S25" s="668">
        <f>F25</f>
        <v>100</v>
      </c>
      <c r="T25" s="667" t="s">
        <v>14</v>
      </c>
      <c r="U25" s="668">
        <f>H25</f>
        <v>100</v>
      </c>
      <c r="V25" s="667" t="s">
        <v>14</v>
      </c>
      <c r="W25" s="668">
        <f>J25</f>
        <v>100</v>
      </c>
      <c r="X25" s="1265"/>
      <c r="Y25" s="343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32"/>
      <c r="Q26" s="1263"/>
      <c r="R26" s="667"/>
      <c r="S26" s="668"/>
      <c r="T26" s="667"/>
      <c r="U26" s="668"/>
      <c r="V26" s="667"/>
      <c r="W26" s="668"/>
      <c r="X26" s="1265"/>
      <c r="Y26" s="3432"/>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32"/>
      <c r="Q27" s="530" t="str">
        <f t="shared" si="8"/>
        <v>公共配套设施</v>
      </c>
      <c r="R27" s="664" t="s">
        <v>14</v>
      </c>
      <c r="S27" s="665">
        <f>F27</f>
        <v>100</v>
      </c>
      <c r="T27" s="664" t="s">
        <v>14</v>
      </c>
      <c r="U27" s="665">
        <f>H27</f>
        <v>100</v>
      </c>
      <c r="V27" s="664" t="s">
        <v>14</v>
      </c>
      <c r="W27" s="665">
        <f>J27</f>
        <v>100</v>
      </c>
      <c r="X27" s="666"/>
      <c r="Y27" s="343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32"/>
      <c r="Q28" s="530"/>
      <c r="R28" s="664"/>
      <c r="S28" s="665"/>
      <c r="T28" s="664"/>
      <c r="U28" s="665"/>
      <c r="V28" s="664"/>
      <c r="W28" s="665"/>
      <c r="X28" s="666"/>
      <c r="Y28" s="3432"/>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32"/>
      <c r="Q29" s="530" t="str">
        <f t="shared" ref="Q29" si="9">B29</f>
        <v>基础设施水平</v>
      </c>
      <c r="R29" s="664" t="s">
        <v>14</v>
      </c>
      <c r="S29" s="665">
        <f>F29</f>
        <v>100</v>
      </c>
      <c r="T29" s="664" t="s">
        <v>14</v>
      </c>
      <c r="U29" s="665">
        <f>H29</f>
        <v>100</v>
      </c>
      <c r="V29" s="664" t="s">
        <v>14</v>
      </c>
      <c r="W29" s="665">
        <f>J29</f>
        <v>100</v>
      </c>
      <c r="X29" s="666"/>
      <c r="Y29" s="343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32"/>
      <c r="Q30" s="530"/>
      <c r="R30" s="664"/>
      <c r="S30" s="665"/>
      <c r="T30" s="664"/>
      <c r="U30" s="665"/>
      <c r="V30" s="664"/>
      <c r="W30" s="665"/>
      <c r="X30" s="666"/>
      <c r="Y30" s="343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3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32"/>
      <c r="Q32" s="1263" t="str">
        <f t="shared" si="8"/>
        <v>毗邻道路的类型与等级</v>
      </c>
      <c r="R32" s="667" t="s">
        <v>14</v>
      </c>
      <c r="S32" s="668">
        <f t="shared" si="10"/>
        <v>100</v>
      </c>
      <c r="T32" s="667" t="s">
        <v>14</v>
      </c>
      <c r="U32" s="668">
        <f t="shared" si="11"/>
        <v>100</v>
      </c>
      <c r="V32" s="667" t="s">
        <v>14</v>
      </c>
      <c r="W32" s="668">
        <f t="shared" si="12"/>
        <v>100</v>
      </c>
      <c r="X32" s="1265"/>
      <c r="Y32" s="343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32"/>
      <c r="Q33" s="1263"/>
      <c r="R33" s="667"/>
      <c r="S33" s="668"/>
      <c r="T33" s="667"/>
      <c r="U33" s="668"/>
      <c r="V33" s="667"/>
      <c r="W33" s="668"/>
      <c r="X33" s="1265"/>
      <c r="Y33" s="343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32"/>
      <c r="Q34" s="1263" t="str">
        <f t="shared" si="8"/>
        <v>土地级别</v>
      </c>
      <c r="R34" s="667" t="s">
        <v>14</v>
      </c>
      <c r="S34" s="668">
        <f t="shared" si="10"/>
        <v>100</v>
      </c>
      <c r="T34" s="667" t="s">
        <v>14</v>
      </c>
      <c r="U34" s="668">
        <f t="shared" si="11"/>
        <v>100</v>
      </c>
      <c r="V34" s="667" t="s">
        <v>14</v>
      </c>
      <c r="W34" s="668">
        <f t="shared" si="12"/>
        <v>100</v>
      </c>
      <c r="X34" s="1265"/>
      <c r="Y34" s="343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32"/>
      <c r="Q35" s="1263">
        <f t="shared" si="8"/>
        <v>111</v>
      </c>
      <c r="R35" s="667" t="s">
        <v>14</v>
      </c>
      <c r="S35" s="668">
        <f t="shared" si="10"/>
        <v>100</v>
      </c>
      <c r="T35" s="667" t="s">
        <v>14</v>
      </c>
      <c r="U35" s="668">
        <f t="shared" si="11"/>
        <v>100</v>
      </c>
      <c r="V35" s="667" t="s">
        <v>14</v>
      </c>
      <c r="W35" s="668">
        <f t="shared" si="12"/>
        <v>100</v>
      </c>
      <c r="X35" s="1265"/>
      <c r="Y35" s="343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7" t="s">
        <v>1696</v>
      </c>
      <c r="Q36" s="1263">
        <f t="shared" si="8"/>
        <v>111</v>
      </c>
      <c r="R36" s="667" t="s">
        <v>14</v>
      </c>
      <c r="S36" s="668">
        <f t="shared" si="10"/>
        <v>100</v>
      </c>
      <c r="T36" s="667" t="s">
        <v>14</v>
      </c>
      <c r="U36" s="668">
        <f t="shared" si="11"/>
        <v>100</v>
      </c>
      <c r="V36" s="667" t="s">
        <v>14</v>
      </c>
      <c r="W36" s="668">
        <f t="shared" si="12"/>
        <v>100</v>
      </c>
      <c r="X36" s="1265"/>
      <c r="Y36" s="343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36"/>
      <c r="Q37" s="1263">
        <f t="shared" si="8"/>
        <v>111</v>
      </c>
      <c r="R37" s="669" t="s">
        <v>14</v>
      </c>
      <c r="S37" s="670">
        <f t="shared" si="10"/>
        <v>100</v>
      </c>
      <c r="T37" s="669" t="s">
        <v>14</v>
      </c>
      <c r="U37" s="670">
        <f t="shared" si="11"/>
        <v>100</v>
      </c>
      <c r="V37" s="669" t="s">
        <v>14</v>
      </c>
      <c r="W37" s="670">
        <f t="shared" si="12"/>
        <v>100</v>
      </c>
      <c r="X37" s="671"/>
      <c r="Y37" s="343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36"/>
      <c r="Q38" s="1263" t="str">
        <f>B38</f>
        <v>宗地面积</v>
      </c>
      <c r="R38" s="667" t="s">
        <v>14</v>
      </c>
      <c r="S38" s="668" t="e">
        <f t="shared" si="10"/>
        <v>#N/A</v>
      </c>
      <c r="T38" s="667" t="s">
        <v>14</v>
      </c>
      <c r="U38" s="668" t="e">
        <f t="shared" si="11"/>
        <v>#N/A</v>
      </c>
      <c r="V38" s="667" t="s">
        <v>14</v>
      </c>
      <c r="W38" s="668" t="e">
        <f t="shared" si="12"/>
        <v>#N/A</v>
      </c>
      <c r="X38" s="1265"/>
      <c r="Y38" s="343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36"/>
      <c r="Q39" s="1263" t="str">
        <f t="shared" ref="Q39:Q45" si="14">B39</f>
        <v>宗地形状</v>
      </c>
      <c r="R39" s="667" t="s">
        <v>14</v>
      </c>
      <c r="S39" s="668">
        <f t="shared" si="10"/>
        <v>100</v>
      </c>
      <c r="T39" s="667" t="s">
        <v>14</v>
      </c>
      <c r="U39" s="668">
        <f t="shared" si="11"/>
        <v>100</v>
      </c>
      <c r="V39" s="667" t="s">
        <v>14</v>
      </c>
      <c r="W39" s="668">
        <f t="shared" si="12"/>
        <v>100</v>
      </c>
      <c r="X39" s="1265"/>
      <c r="Y39" s="343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36"/>
      <c r="Q40" s="1263" t="str">
        <f t="shared" si="14"/>
        <v>临街宽度及深度</v>
      </c>
      <c r="R40" s="667" t="s">
        <v>14</v>
      </c>
      <c r="S40" s="668">
        <f t="shared" si="10"/>
        <v>100</v>
      </c>
      <c r="T40" s="667" t="s">
        <v>14</v>
      </c>
      <c r="U40" s="668">
        <f t="shared" si="11"/>
        <v>100</v>
      </c>
      <c r="V40" s="667" t="s">
        <v>14</v>
      </c>
      <c r="W40" s="668">
        <f t="shared" si="12"/>
        <v>100</v>
      </c>
      <c r="X40" s="1265"/>
      <c r="Y40" s="343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36"/>
      <c r="Q41" s="1263" t="str">
        <f t="shared" si="14"/>
        <v>宗地开发程度</v>
      </c>
      <c r="R41" s="664" t="s">
        <v>14</v>
      </c>
      <c r="S41" s="665">
        <f t="shared" si="10"/>
        <v>100</v>
      </c>
      <c r="T41" s="664" t="s">
        <v>14</v>
      </c>
      <c r="U41" s="665">
        <f t="shared" si="11"/>
        <v>100</v>
      </c>
      <c r="V41" s="664" t="s">
        <v>14</v>
      </c>
      <c r="W41" s="665">
        <f t="shared" si="12"/>
        <v>100</v>
      </c>
      <c r="X41" s="666"/>
      <c r="Y41" s="343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36" t="s">
        <v>1696</v>
      </c>
      <c r="Q42" s="1263" t="str">
        <f t="shared" si="14"/>
        <v>工程地质条件</v>
      </c>
      <c r="R42" s="667" t="s">
        <v>14</v>
      </c>
      <c r="S42" s="668">
        <f t="shared" si="10"/>
        <v>100</v>
      </c>
      <c r="T42" s="667" t="s">
        <v>14</v>
      </c>
      <c r="U42" s="668">
        <f t="shared" si="11"/>
        <v>100</v>
      </c>
      <c r="V42" s="667" t="s">
        <v>14</v>
      </c>
      <c r="W42" s="668">
        <f t="shared" si="12"/>
        <v>100</v>
      </c>
      <c r="X42" s="1265"/>
      <c r="Y42" s="343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36"/>
      <c r="Q43" s="1263">
        <f t="shared" si="14"/>
        <v>111</v>
      </c>
      <c r="R43" s="667" t="s">
        <v>14</v>
      </c>
      <c r="S43" s="668">
        <f t="shared" si="10"/>
        <v>100</v>
      </c>
      <c r="T43" s="667" t="s">
        <v>14</v>
      </c>
      <c r="U43" s="668">
        <f t="shared" si="11"/>
        <v>100</v>
      </c>
      <c r="V43" s="667" t="s">
        <v>14</v>
      </c>
      <c r="W43" s="668">
        <f t="shared" si="12"/>
        <v>100</v>
      </c>
      <c r="X43" s="1265"/>
      <c r="Y43" s="343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36"/>
      <c r="Q44" s="1263">
        <f t="shared" si="14"/>
        <v>111</v>
      </c>
      <c r="R44" s="667" t="s">
        <v>14</v>
      </c>
      <c r="S44" s="668">
        <f t="shared" si="10"/>
        <v>100</v>
      </c>
      <c r="T44" s="667" t="s">
        <v>14</v>
      </c>
      <c r="U44" s="668">
        <f t="shared" si="11"/>
        <v>100</v>
      </c>
      <c r="V44" s="667" t="s">
        <v>14</v>
      </c>
      <c r="W44" s="668">
        <f t="shared" si="12"/>
        <v>100</v>
      </c>
      <c r="X44" s="1265"/>
      <c r="Y44" s="343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36"/>
      <c r="Q45" s="1263">
        <f t="shared" si="14"/>
        <v>111</v>
      </c>
      <c r="R45" s="669" t="s">
        <v>14</v>
      </c>
      <c r="S45" s="670">
        <f t="shared" si="10"/>
        <v>100</v>
      </c>
      <c r="T45" s="669" t="s">
        <v>14</v>
      </c>
      <c r="U45" s="670">
        <f t="shared" si="11"/>
        <v>100</v>
      </c>
      <c r="V45" s="669" t="s">
        <v>14</v>
      </c>
      <c r="W45" s="670">
        <f t="shared" si="12"/>
        <v>100</v>
      </c>
      <c r="X45" s="671"/>
      <c r="Y45" s="343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30" t="str">
        <f>A46</f>
        <v>成交单价</v>
      </c>
      <c r="Q46" s="3430"/>
      <c r="R46" s="3425">
        <f>E46</f>
        <v>0</v>
      </c>
      <c r="S46" s="3425"/>
      <c r="T46" s="3425">
        <f>G46</f>
        <v>0</v>
      </c>
      <c r="U46" s="3425"/>
      <c r="V46" s="3425">
        <f>I46</f>
        <v>0</v>
      </c>
      <c r="W46" s="3425"/>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430" t="str">
        <f>A47</f>
        <v>比较价值（元/平方米）</v>
      </c>
      <c r="Q47" s="3430"/>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27" t="str">
        <f>A48</f>
        <v>估价对象XX用房的比较价值（楼面单价，元/平方米）</v>
      </c>
      <c r="Q48" s="3428"/>
      <c r="R48" s="3460" t="e">
        <f>ROUND(IF(D47="简单平均",AVERAGE(R47:W47),R47*F47+T47*H47+V47*J47),0)</f>
        <v>#DIV/0!</v>
      </c>
      <c r="S48" s="3460"/>
      <c r="T48" s="3460"/>
      <c r="U48" s="3460"/>
      <c r="V48" s="3460"/>
      <c r="W48" s="346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3" t="s">
        <v>1887</v>
      </c>
      <c r="H55" s="3461"/>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1138.31</v>
      </c>
      <c r="F56" s="833" t="e">
        <f t="shared" ref="F56:F64" si="15">ROUND(B56*E56/10000,0)</f>
        <v>#DIV/0!</v>
      </c>
      <c r="G56" s="3412"/>
      <c r="H56" s="343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1138.31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7"/>
      <c r="M4" s="2488"/>
      <c r="N4" s="2488"/>
      <c r="O4" s="2488"/>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06" t="s">
        <v>1673</v>
      </c>
      <c r="D5" s="3407"/>
      <c r="E5" s="3404" t="s">
        <v>1674</v>
      </c>
      <c r="F5" s="3405"/>
      <c r="G5" s="3406" t="s">
        <v>1675</v>
      </c>
      <c r="H5" s="3407"/>
      <c r="I5" s="3406" t="s">
        <v>1676</v>
      </c>
      <c r="J5" s="3407"/>
      <c r="K5" s="537"/>
      <c r="L5" s="2487"/>
      <c r="M5" s="2488"/>
      <c r="N5" s="2488"/>
      <c r="O5" s="2488"/>
      <c r="P5" s="3419"/>
      <c r="Q5" s="3420"/>
      <c r="R5" s="3402"/>
      <c r="S5" s="3403"/>
      <c r="T5" s="3402"/>
      <c r="U5" s="3403"/>
      <c r="V5" s="3425"/>
      <c r="W5" s="3425"/>
      <c r="X5" s="1265"/>
      <c r="Y5" s="3402"/>
      <c r="Z5" s="3403"/>
      <c r="AA5" s="3396"/>
      <c r="AB5" s="3396"/>
      <c r="AC5" s="3396"/>
    </row>
    <row r="6" spans="1:29" ht="15.75" thickBot="1">
      <c r="A6" s="350"/>
      <c r="B6" s="351"/>
      <c r="C6" s="3462" t="s">
        <v>1919</v>
      </c>
      <c r="D6" s="3463"/>
      <c r="E6" s="3464" t="s">
        <v>1919</v>
      </c>
      <c r="F6" s="3465"/>
      <c r="G6" s="3462" t="s">
        <v>1919</v>
      </c>
      <c r="H6" s="3463"/>
      <c r="I6" s="3462" t="s">
        <v>1919</v>
      </c>
      <c r="J6" s="3463"/>
      <c r="K6" s="537" t="s">
        <v>1678</v>
      </c>
      <c r="L6" s="2487"/>
      <c r="M6" s="2488"/>
      <c r="N6" s="2488"/>
      <c r="O6" s="2488"/>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46003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8" t="s">
        <v>1683</v>
      </c>
      <c r="Q8" s="3399"/>
      <c r="R8" s="664" t="s">
        <v>14</v>
      </c>
      <c r="S8" s="665">
        <f t="shared" si="0"/>
        <v>0</v>
      </c>
      <c r="T8" s="664" t="s">
        <v>14</v>
      </c>
      <c r="U8" s="665">
        <f t="shared" si="1"/>
        <v>0</v>
      </c>
      <c r="V8" s="664" t="s">
        <v>14</v>
      </c>
      <c r="W8" s="665">
        <f t="shared" si="2"/>
        <v>0</v>
      </c>
      <c r="X8" s="666"/>
      <c r="Y8" s="3398" t="s">
        <v>1683</v>
      </c>
      <c r="Z8" s="339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90"/>
      <c r="M10" s="2491"/>
      <c r="N10" s="2491"/>
      <c r="O10" s="2542"/>
      <c r="P10" s="3430"/>
      <c r="Q10" s="530" t="str">
        <f t="shared" si="6"/>
        <v>土地使用年限（年）</v>
      </c>
      <c r="R10" s="664" t="s">
        <v>14</v>
      </c>
      <c r="S10" s="665">
        <f t="shared" si="0"/>
        <v>114</v>
      </c>
      <c r="T10" s="664" t="s">
        <v>14</v>
      </c>
      <c r="U10" s="665">
        <f t="shared" si="1"/>
        <v>114</v>
      </c>
      <c r="V10" s="664" t="s">
        <v>14</v>
      </c>
      <c r="W10" s="665">
        <f t="shared" si="2"/>
        <v>114</v>
      </c>
      <c r="X10" s="666"/>
      <c r="Y10" s="3342"/>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30"/>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32"/>
      <c r="Q16" s="1263"/>
      <c r="R16" s="667"/>
      <c r="S16" s="668"/>
      <c r="T16" s="667"/>
      <c r="U16" s="668"/>
      <c r="V16" s="667"/>
      <c r="W16" s="668"/>
      <c r="X16" s="1265"/>
      <c r="Y16" s="343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32"/>
      <c r="Q18" s="1263"/>
      <c r="R18" s="667"/>
      <c r="S18" s="668"/>
      <c r="T18" s="667"/>
      <c r="U18" s="668"/>
      <c r="V18" s="667"/>
      <c r="W18" s="668"/>
      <c r="X18" s="1265"/>
      <c r="Y18" s="343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32"/>
      <c r="Q19" s="1263" t="str">
        <f t="shared" ref="Q19:Q33" si="8">B19</f>
        <v>区域土地利用方向</v>
      </c>
      <c r="R19" s="667" t="s">
        <v>14</v>
      </c>
      <c r="S19" s="668">
        <f>F19</f>
        <v>100</v>
      </c>
      <c r="T19" s="667" t="s">
        <v>14</v>
      </c>
      <c r="U19" s="668">
        <f>H19</f>
        <v>100</v>
      </c>
      <c r="V19" s="667" t="s">
        <v>14</v>
      </c>
      <c r="W19" s="668">
        <f>J19</f>
        <v>100</v>
      </c>
      <c r="X19" s="1265"/>
      <c r="Y19" s="343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32"/>
      <c r="Q20" s="1263"/>
      <c r="R20" s="667"/>
      <c r="S20" s="668"/>
      <c r="T20" s="667"/>
      <c r="U20" s="668"/>
      <c r="V20" s="667"/>
      <c r="W20" s="668"/>
      <c r="X20" s="1265"/>
      <c r="Y20" s="343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32"/>
      <c r="Q21" s="1263" t="str">
        <f t="shared" si="8"/>
        <v>环境状况</v>
      </c>
      <c r="R21" s="667" t="s">
        <v>14</v>
      </c>
      <c r="S21" s="668">
        <f>F21</f>
        <v>100</v>
      </c>
      <c r="T21" s="667" t="s">
        <v>14</v>
      </c>
      <c r="U21" s="668">
        <f>H21</f>
        <v>100</v>
      </c>
      <c r="V21" s="667" t="s">
        <v>14</v>
      </c>
      <c r="W21" s="668">
        <f>J21</f>
        <v>100</v>
      </c>
      <c r="X21" s="1265"/>
      <c r="Y21" s="343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32"/>
      <c r="Q22" s="1263"/>
      <c r="R22" s="667"/>
      <c r="S22" s="668"/>
      <c r="T22" s="667"/>
      <c r="U22" s="668"/>
      <c r="V22" s="667"/>
      <c r="W22" s="668"/>
      <c r="X22" s="1265"/>
      <c r="Y22" s="343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32"/>
      <c r="Q23" s="530" t="str">
        <f t="shared" si="8"/>
        <v>公共配套设施</v>
      </c>
      <c r="R23" s="664" t="s">
        <v>14</v>
      </c>
      <c r="S23" s="665">
        <f>F23</f>
        <v>100</v>
      </c>
      <c r="T23" s="664" t="s">
        <v>14</v>
      </c>
      <c r="U23" s="665">
        <f>H23</f>
        <v>100</v>
      </c>
      <c r="V23" s="664" t="s">
        <v>14</v>
      </c>
      <c r="W23" s="665">
        <f>J23</f>
        <v>100</v>
      </c>
      <c r="X23" s="666"/>
      <c r="Y23" s="343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32"/>
      <c r="Q24" s="530"/>
      <c r="R24" s="664"/>
      <c r="S24" s="665"/>
      <c r="T24" s="664"/>
      <c r="U24" s="665"/>
      <c r="V24" s="664"/>
      <c r="W24" s="665"/>
      <c r="X24" s="666"/>
      <c r="Y24" s="343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32"/>
      <c r="Q25" s="530" t="str">
        <f t="shared" ref="Q25" si="9">B25</f>
        <v>基础设施水平</v>
      </c>
      <c r="R25" s="664" t="s">
        <v>14</v>
      </c>
      <c r="S25" s="665">
        <f>F25</f>
        <v>100</v>
      </c>
      <c r="T25" s="664" t="s">
        <v>14</v>
      </c>
      <c r="U25" s="665">
        <f>H25</f>
        <v>100</v>
      </c>
      <c r="V25" s="664" t="s">
        <v>14</v>
      </c>
      <c r="W25" s="665">
        <f>J25</f>
        <v>100</v>
      </c>
      <c r="X25" s="666"/>
      <c r="Y25" s="343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32"/>
      <c r="Q26" s="530"/>
      <c r="R26" s="664"/>
      <c r="S26" s="665"/>
      <c r="T26" s="664"/>
      <c r="U26" s="665"/>
      <c r="V26" s="664"/>
      <c r="W26" s="665"/>
      <c r="X26" s="666"/>
      <c r="Y26" s="343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3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32"/>
      <c r="Q28" s="1263" t="str">
        <f t="shared" si="8"/>
        <v>毗邻道路的类型与等级</v>
      </c>
      <c r="R28" s="667" t="s">
        <v>14</v>
      </c>
      <c r="S28" s="668">
        <f t="shared" si="10"/>
        <v>100</v>
      </c>
      <c r="T28" s="667" t="s">
        <v>14</v>
      </c>
      <c r="U28" s="668">
        <f t="shared" si="11"/>
        <v>100</v>
      </c>
      <c r="V28" s="667" t="s">
        <v>14</v>
      </c>
      <c r="W28" s="668">
        <f t="shared" si="12"/>
        <v>100</v>
      </c>
      <c r="X28" s="1265"/>
      <c r="Y28" s="343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32"/>
      <c r="Q29" s="1263"/>
      <c r="R29" s="667"/>
      <c r="S29" s="668"/>
      <c r="T29" s="667"/>
      <c r="U29" s="668"/>
      <c r="V29" s="667"/>
      <c r="W29" s="668"/>
      <c r="X29" s="1265"/>
      <c r="Y29" s="343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32"/>
      <c r="Q30" s="1263" t="str">
        <f t="shared" si="8"/>
        <v>土地级别</v>
      </c>
      <c r="R30" s="667" t="s">
        <v>14</v>
      </c>
      <c r="S30" s="668">
        <f t="shared" si="10"/>
        <v>100</v>
      </c>
      <c r="T30" s="667" t="s">
        <v>14</v>
      </c>
      <c r="U30" s="668">
        <f t="shared" si="11"/>
        <v>100</v>
      </c>
      <c r="V30" s="667" t="s">
        <v>14</v>
      </c>
      <c r="W30" s="668">
        <f t="shared" si="12"/>
        <v>100</v>
      </c>
      <c r="X30" s="1265"/>
      <c r="Y30" s="343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32"/>
      <c r="Q31" s="1263">
        <f t="shared" si="8"/>
        <v>111</v>
      </c>
      <c r="R31" s="667" t="s">
        <v>14</v>
      </c>
      <c r="S31" s="668">
        <f t="shared" si="10"/>
        <v>100</v>
      </c>
      <c r="T31" s="667" t="s">
        <v>14</v>
      </c>
      <c r="U31" s="668">
        <f t="shared" si="11"/>
        <v>100</v>
      </c>
      <c r="V31" s="667" t="s">
        <v>14</v>
      </c>
      <c r="W31" s="668">
        <f t="shared" si="12"/>
        <v>100</v>
      </c>
      <c r="X31" s="1265"/>
      <c r="Y31" s="343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7" t="s">
        <v>1696</v>
      </c>
      <c r="Q32" s="1263">
        <f t="shared" si="8"/>
        <v>111</v>
      </c>
      <c r="R32" s="667" t="s">
        <v>14</v>
      </c>
      <c r="S32" s="668">
        <f t="shared" si="10"/>
        <v>100</v>
      </c>
      <c r="T32" s="667" t="s">
        <v>14</v>
      </c>
      <c r="U32" s="668">
        <f t="shared" si="11"/>
        <v>100</v>
      </c>
      <c r="V32" s="667" t="s">
        <v>14</v>
      </c>
      <c r="W32" s="668">
        <f t="shared" si="12"/>
        <v>100</v>
      </c>
      <c r="X32" s="1265"/>
      <c r="Y32" s="343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36"/>
      <c r="Q33" s="1263">
        <f t="shared" si="8"/>
        <v>111</v>
      </c>
      <c r="R33" s="669" t="s">
        <v>14</v>
      </c>
      <c r="S33" s="670">
        <f t="shared" si="10"/>
        <v>100</v>
      </c>
      <c r="T33" s="669" t="s">
        <v>14</v>
      </c>
      <c r="U33" s="670">
        <f t="shared" si="11"/>
        <v>100</v>
      </c>
      <c r="V33" s="669" t="s">
        <v>14</v>
      </c>
      <c r="W33" s="670">
        <f t="shared" si="12"/>
        <v>100</v>
      </c>
      <c r="X33" s="671"/>
      <c r="Y33" s="343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36"/>
      <c r="Q34" s="1263" t="str">
        <f>B34</f>
        <v>宗地面积</v>
      </c>
      <c r="R34" s="667" t="s">
        <v>14</v>
      </c>
      <c r="S34" s="668" t="e">
        <f t="shared" si="10"/>
        <v>#N/A</v>
      </c>
      <c r="T34" s="667" t="s">
        <v>14</v>
      </c>
      <c r="U34" s="668" t="e">
        <f t="shared" si="11"/>
        <v>#N/A</v>
      </c>
      <c r="V34" s="667" t="s">
        <v>14</v>
      </c>
      <c r="W34" s="668" t="e">
        <f t="shared" si="12"/>
        <v>#N/A</v>
      </c>
      <c r="X34" s="1265"/>
      <c r="Y34" s="343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36"/>
      <c r="Q35" s="1263" t="str">
        <f t="shared" ref="Q35:Q40" si="14">B35</f>
        <v>宗地形状</v>
      </c>
      <c r="R35" s="667" t="s">
        <v>14</v>
      </c>
      <c r="S35" s="668">
        <f t="shared" si="10"/>
        <v>100</v>
      </c>
      <c r="T35" s="667" t="s">
        <v>14</v>
      </c>
      <c r="U35" s="668">
        <f t="shared" si="11"/>
        <v>100</v>
      </c>
      <c r="V35" s="667" t="s">
        <v>14</v>
      </c>
      <c r="W35" s="668">
        <f t="shared" si="12"/>
        <v>100</v>
      </c>
      <c r="X35" s="1265"/>
      <c r="Y35" s="343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36"/>
      <c r="Q36" s="1263" t="str">
        <f t="shared" si="14"/>
        <v>宗地开发程度</v>
      </c>
      <c r="R36" s="664" t="s">
        <v>14</v>
      </c>
      <c r="S36" s="665">
        <f t="shared" si="10"/>
        <v>100</v>
      </c>
      <c r="T36" s="664" t="s">
        <v>14</v>
      </c>
      <c r="U36" s="665">
        <f t="shared" si="11"/>
        <v>100</v>
      </c>
      <c r="V36" s="664" t="s">
        <v>14</v>
      </c>
      <c r="W36" s="665">
        <f t="shared" si="12"/>
        <v>100</v>
      </c>
      <c r="X36" s="666"/>
      <c r="Y36" s="343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36" t="s">
        <v>1696</v>
      </c>
      <c r="Q37" s="1263" t="str">
        <f t="shared" si="14"/>
        <v>工程地质条件</v>
      </c>
      <c r="R37" s="667" t="s">
        <v>14</v>
      </c>
      <c r="S37" s="668">
        <f t="shared" si="10"/>
        <v>100</v>
      </c>
      <c r="T37" s="667" t="s">
        <v>14</v>
      </c>
      <c r="U37" s="668">
        <f t="shared" si="11"/>
        <v>100</v>
      </c>
      <c r="V37" s="667" t="s">
        <v>14</v>
      </c>
      <c r="W37" s="668">
        <f t="shared" si="12"/>
        <v>100</v>
      </c>
      <c r="X37" s="1265"/>
      <c r="Y37" s="343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36"/>
      <c r="Q38" s="1263">
        <f t="shared" si="14"/>
        <v>111</v>
      </c>
      <c r="R38" s="667" t="s">
        <v>14</v>
      </c>
      <c r="S38" s="668">
        <f t="shared" si="10"/>
        <v>100</v>
      </c>
      <c r="T38" s="667" t="s">
        <v>14</v>
      </c>
      <c r="U38" s="668">
        <f t="shared" si="11"/>
        <v>100</v>
      </c>
      <c r="V38" s="667" t="s">
        <v>14</v>
      </c>
      <c r="W38" s="668">
        <f t="shared" si="12"/>
        <v>100</v>
      </c>
      <c r="X38" s="1265"/>
      <c r="Y38" s="343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36"/>
      <c r="Q39" s="1263">
        <f t="shared" si="14"/>
        <v>111</v>
      </c>
      <c r="R39" s="667" t="s">
        <v>14</v>
      </c>
      <c r="S39" s="668">
        <f t="shared" si="10"/>
        <v>100</v>
      </c>
      <c r="T39" s="667" t="s">
        <v>14</v>
      </c>
      <c r="U39" s="668">
        <f t="shared" si="11"/>
        <v>100</v>
      </c>
      <c r="V39" s="667" t="s">
        <v>14</v>
      </c>
      <c r="W39" s="668">
        <f t="shared" si="12"/>
        <v>100</v>
      </c>
      <c r="X39" s="1265"/>
      <c r="Y39" s="343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36"/>
      <c r="Q40" s="1263">
        <f t="shared" si="14"/>
        <v>111</v>
      </c>
      <c r="R40" s="669" t="s">
        <v>14</v>
      </c>
      <c r="S40" s="670">
        <f t="shared" si="10"/>
        <v>100</v>
      </c>
      <c r="T40" s="669" t="s">
        <v>14</v>
      </c>
      <c r="U40" s="670">
        <f t="shared" si="11"/>
        <v>100</v>
      </c>
      <c r="V40" s="669" t="s">
        <v>14</v>
      </c>
      <c r="W40" s="670">
        <f t="shared" si="12"/>
        <v>100</v>
      </c>
      <c r="X40" s="671"/>
      <c r="Y40" s="343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30" t="str">
        <f>A41</f>
        <v>成交单价</v>
      </c>
      <c r="Q41" s="3430"/>
      <c r="R41" s="3425">
        <f>E41</f>
        <v>0</v>
      </c>
      <c r="S41" s="3425"/>
      <c r="T41" s="3425">
        <f>G41</f>
        <v>0</v>
      </c>
      <c r="U41" s="3425"/>
      <c r="V41" s="3425">
        <f>I41</f>
        <v>0</v>
      </c>
      <c r="W41" s="3425"/>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430" t="str">
        <f>A42</f>
        <v>比较价值（元/平方米）</v>
      </c>
      <c r="Q42" s="3430"/>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27" t="str">
        <f>A43</f>
        <v>估价对象XX用房的比较价值（楼面单价，元/平方米）</v>
      </c>
      <c r="Q43" s="3428"/>
      <c r="R43" s="3460" t="e">
        <f>ROUND(IF(D42="简单平均",AVERAGE(R42:W42),R42*F42+T42*H42+V42*J42),0)</f>
        <v>#DIV/0!</v>
      </c>
      <c r="S43" s="3460"/>
      <c r="T43" s="3460"/>
      <c r="U43" s="3460"/>
      <c r="V43" s="3460"/>
      <c r="W43" s="346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3" t="s">
        <v>1887</v>
      </c>
      <c r="H50" s="3461"/>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1138.31</v>
      </c>
      <c r="F51" s="611" t="e">
        <f t="shared" ref="F51:F60" si="15">ROUND(B51*E51/10000,0)</f>
        <v>#DIV/0!</v>
      </c>
      <c r="G51" s="3412"/>
      <c r="H51" s="343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Normal="100" workbookViewId="0">
      <selection activeCell="R22" sqref="R2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9" t="s">
        <v>2084</v>
      </c>
      <c r="D1" s="3470"/>
      <c r="E1" s="3470"/>
      <c r="F1" s="3470"/>
      <c r="G1" s="3470"/>
      <c r="H1" s="3470"/>
      <c r="I1" s="3470"/>
      <c r="J1" s="3470"/>
      <c r="K1" s="3470"/>
      <c r="L1" s="3470"/>
      <c r="M1" s="3470"/>
      <c r="N1" s="3470"/>
      <c r="O1" s="3470"/>
      <c r="P1" s="3470"/>
      <c r="Q1" s="3470"/>
      <c r="R1" s="3470"/>
      <c r="S1" s="3471"/>
      <c r="T1" s="929" t="s">
        <v>2085</v>
      </c>
    </row>
    <row r="2" spans="1:45" s="625" customFormat="1" ht="38.25">
      <c r="A2" s="930"/>
      <c r="B2" s="622" t="s">
        <v>2086</v>
      </c>
      <c r="C2" s="14" t="str">
        <f t="shared" ref="C2:L2" si="0">C3&amp;"(含)"&amp;"-"&amp;D3</f>
        <v>0(含)-300</v>
      </c>
      <c r="D2" s="623" t="str">
        <f t="shared" si="0"/>
        <v>300(含)-500</v>
      </c>
      <c r="E2" s="623" t="str">
        <f t="shared" si="0"/>
        <v>500(含)-1000</v>
      </c>
      <c r="F2" s="623" t="str">
        <f t="shared" si="0"/>
        <v>1000(含)-2000</v>
      </c>
      <c r="G2" s="623" t="str">
        <f t="shared" si="0"/>
        <v>2000(含)-5000</v>
      </c>
      <c r="H2" s="623" t="str">
        <f t="shared" si="0"/>
        <v>5000(含)-10000</v>
      </c>
      <c r="I2" s="623" t="str">
        <f t="shared" si="0"/>
        <v>10000(含)-20000</v>
      </c>
      <c r="J2" s="623" t="str">
        <f t="shared" si="0"/>
        <v>20000(含)-30000</v>
      </c>
      <c r="K2" s="623" t="str">
        <f t="shared" si="0"/>
        <v>30000(含)-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300</v>
      </c>
      <c r="E3" s="627">
        <f>'比较法-办公'!E104</f>
        <v>500</v>
      </c>
      <c r="F3" s="627">
        <f>'比较法-办公'!F104</f>
        <v>1000</v>
      </c>
      <c r="G3" s="627">
        <f>'比较法-办公'!G104</f>
        <v>2000</v>
      </c>
      <c r="H3" s="627">
        <f>'比较法-办公'!H104</f>
        <v>5000</v>
      </c>
      <c r="I3" s="627">
        <f>'比较法-办公'!I104</f>
        <v>10000</v>
      </c>
      <c r="J3" s="627">
        <f>'比较法-办公'!J104</f>
        <v>20000</v>
      </c>
      <c r="K3" s="627">
        <f>'比较法-办公'!K104</f>
        <v>30000</v>
      </c>
      <c r="L3" s="627"/>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f>'比较法-办公'!C105</f>
        <v>99</v>
      </c>
      <c r="D4" s="935">
        <f>'比较法-办公'!D105</f>
        <v>100</v>
      </c>
      <c r="E4" s="935">
        <f>'比较法-办公'!E105</f>
        <v>99</v>
      </c>
      <c r="F4" s="935">
        <f>'比较法-办公'!F105</f>
        <v>98</v>
      </c>
      <c r="G4" s="935">
        <f>'比较法-办公'!G105</f>
        <v>97</v>
      </c>
      <c r="H4" s="935">
        <f>'比较法-办公'!H105</f>
        <v>96</v>
      </c>
      <c r="I4" s="935">
        <f>'比较法-办公'!I105</f>
        <v>95</v>
      </c>
      <c r="J4" s="935">
        <f>'比较法-办公'!J105</f>
        <v>94</v>
      </c>
      <c r="K4" s="935">
        <f>'比较法-办公'!K105</f>
        <v>93</v>
      </c>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idden="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hidden="1"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idden="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hidden="1"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t="str">
        <f>'比较法-办公'!C89</f>
        <v>高层</v>
      </c>
      <c r="D17" s="953" t="str">
        <f>'比较法-办公'!D89</f>
        <v>中层、整栋</v>
      </c>
      <c r="E17" s="953" t="str">
        <f>'比较法-办公'!E89</f>
        <v>低层</v>
      </c>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f>'比较法-办公'!C90</f>
        <v>100</v>
      </c>
      <c r="D18" s="964">
        <f>'比较法-办公'!D90</f>
        <v>98</v>
      </c>
      <c r="E18" s="964">
        <f>'比较法-办公'!E90</f>
        <v>96</v>
      </c>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IF(D20="——",S22,S22-F20)</f>
        <v>2</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ROUND(B20*10000/B22,0)</f>
        <v>9</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2288.9899999999998</v>
      </c>
      <c r="C22" s="3466" t="s">
        <v>27</v>
      </c>
      <c r="D22" s="3467"/>
      <c r="E22" s="3467"/>
      <c r="F22" s="3467"/>
      <c r="G22" s="3467"/>
      <c r="H22" s="3467"/>
      <c r="I22" s="3467"/>
      <c r="J22" s="3467"/>
      <c r="K22" s="3467"/>
      <c r="L22" s="3467"/>
      <c r="M22" s="3467"/>
      <c r="N22" s="3467"/>
      <c r="O22" s="3467"/>
      <c r="P22" s="3467"/>
      <c r="Q22" s="3468"/>
      <c r="R22" s="21">
        <f>ROUND((R24*B24+R25*B25)/B22,2)</f>
        <v>5.27</v>
      </c>
      <c r="S22" s="21">
        <f>SUM(S24:S10000)</f>
        <v>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70" t="s">
        <v>3426</v>
      </c>
      <c r="B24" s="633">
        <v>1138.31</v>
      </c>
      <c r="C24" s="2571">
        <v>1</v>
      </c>
      <c r="D24" s="2572"/>
      <c r="E24" s="2571">
        <v>1</v>
      </c>
      <c r="F24" s="2572"/>
      <c r="G24" s="2571">
        <v>1</v>
      </c>
      <c r="H24" s="2572"/>
      <c r="I24" s="2571">
        <v>1</v>
      </c>
      <c r="J24" s="2572"/>
      <c r="K24" s="2571">
        <v>1</v>
      </c>
      <c r="L24" s="2572"/>
      <c r="M24" s="2571">
        <v>1</v>
      </c>
      <c r="N24" s="2572"/>
      <c r="O24" s="2571">
        <v>1</v>
      </c>
      <c r="P24" s="2572" t="s">
        <v>3441</v>
      </c>
      <c r="Q24" s="2571">
        <v>1</v>
      </c>
      <c r="R24" s="3180">
        <f>'比较法-办公'!C50</f>
        <v>5.27</v>
      </c>
      <c r="S24" s="634">
        <f t="shared" ref="S24:S54" si="11">ROUND(R24*B24/10000,0)</f>
        <v>1</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
        <v>3427</v>
      </c>
      <c r="B25" s="52">
        <v>1150.68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t="s">
        <v>3441</v>
      </c>
      <c r="Q25" s="21">
        <f>(SUMIF($17:$17,P25,$18:$18)-SUMIF($17:$17,$P$24,$18:$18)+100)/100</f>
        <v>1</v>
      </c>
      <c r="R25" s="21">
        <f>IF(B25="",0,ROUND($R$24*C25*E25*G25*I25*K25*M25*O25*Q25,2))</f>
        <v>5.27</v>
      </c>
      <c r="S25" s="308">
        <f t="shared" si="11"/>
        <v>1</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25.5">
      <c r="A2" s="193" t="s">
        <v>1934</v>
      </c>
      <c r="B2" s="196">
        <f>C30</f>
        <v>0</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Ⅵ-永丰产业基地</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0</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3410</v>
      </c>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0</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79"/>
      <c r="B4" s="3480"/>
      <c r="C4" s="3480"/>
      <c r="D4" s="3481"/>
      <c r="E4" s="3481"/>
      <c r="F4" s="3481"/>
      <c r="G4" s="3481"/>
      <c r="H4" s="3481"/>
      <c r="I4" s="3481"/>
      <c r="J4" s="348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0</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2722</v>
      </c>
      <c r="D5" s="1252">
        <f>ROUND(C6*C17+C20,0)</f>
        <v>2722</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0</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2880</v>
      </c>
      <c r="D6" s="1861"/>
      <c r="E6" s="1862"/>
      <c r="F6" s="1862"/>
      <c r="G6" s="1863"/>
      <c r="H6" s="1863"/>
      <c r="I6" s="1863"/>
      <c r="J6" s="1864"/>
      <c r="K6" s="1292"/>
      <c r="L6" s="1847" t="s">
        <v>1951</v>
      </c>
      <c r="M6" s="811">
        <f>SUMPRODUCT((区片价!B127:B189=I2)*(区片价!C3:G3=E2)*(区片价!C127:G189))</f>
        <v>2880</v>
      </c>
      <c r="N6" s="813">
        <f>SUMPRODUCT((因素修正幅度!B127:B189=I2)*(因素修正幅度!C3:G3=E2)*(因素修正幅度!C127:G189))</f>
        <v>0.05</v>
      </c>
      <c r="O6" s="1056"/>
      <c r="P6" s="1056"/>
      <c r="Q6" s="1056"/>
      <c r="R6" s="1129">
        <v>5</v>
      </c>
      <c r="S6" s="3064">
        <f>ROUND(SUMPRODUCT((B106:B110=R6)*(C105:N105=G2)*(C106:N110)),4)</f>
        <v>0.84799999999999998</v>
      </c>
      <c r="T6" s="3064">
        <f t="shared" si="0"/>
        <v>0</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76" t="s">
        <v>1960</v>
      </c>
      <c r="X8" s="347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78"/>
      <c r="X9" s="3065" t="s">
        <v>3265</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78"/>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f>ROUND(G18/I18,2)</f>
        <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83" t="s">
        <v>3253</v>
      </c>
      <c r="B20" s="159" t="s">
        <v>1994</v>
      </c>
      <c r="C20" s="3032">
        <f>ROUND(IF(F21="与级别开发程度一致",0,(G21-E21)/C21),0)</f>
        <v>-158</v>
      </c>
      <c r="D20" s="3047" t="s">
        <v>1998</v>
      </c>
      <c r="E20" s="3048"/>
      <c r="F20" s="3489" t="s">
        <v>1995</v>
      </c>
      <c r="G20" s="3490"/>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84"/>
      <c r="B21" s="2002" t="s">
        <v>1997</v>
      </c>
      <c r="C21" s="2003">
        <f>IF(E3="M4科研用地",SUMPRODUCT((修正!A2:A7=E3)*(修正!B1:M1=G2)*(修正!B2:M7)),SUMPRODUCT((修正!A2:A7=E2)*(修正!B1:M1=G2)*(修正!B2:M7)))</f>
        <v>2</v>
      </c>
      <c r="D21" s="179" t="str">
        <f>IF(OR(G2="八级",G2="九级",G2="十级",G2="十一级",G2="十二级"),"五通一平","七通一平")</f>
        <v>七通一平</v>
      </c>
      <c r="E21" s="1993">
        <f>SUMPRODUCT((修正!B1:M1=G2)*(修正!B17:M17))</f>
        <v>315</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2</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46003</v>
      </c>
      <c r="H23" s="3049"/>
      <c r="I23" s="3050" t="str">
        <f>IF(H23="季度增幅（自定义）",SUMIF(N25:N28,E2,O25:O28),"")</f>
        <v/>
      </c>
      <c r="J23" s="3142"/>
      <c r="K23" s="1061"/>
      <c r="L23" s="1897" t="s">
        <v>2004</v>
      </c>
      <c r="M23" s="1241">
        <f>ROUND(SUMIF(地价!B2:G2,E2,地价!B16:G16),0)</f>
        <v>318</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0.89319999999999999</v>
      </c>
      <c r="D24" s="1902" t="s">
        <v>2007</v>
      </c>
      <c r="E24" s="1248">
        <f>存贷款利率!E28/100</f>
        <v>4.3499999999999997E-2</v>
      </c>
      <c r="F24" s="1902" t="s">
        <v>1999</v>
      </c>
      <c r="G24" s="724">
        <f>SUMIF(M30:Q30,E2,M33:Q33)</f>
        <v>0.05</v>
      </c>
      <c r="H24" s="1902" t="s">
        <v>2008</v>
      </c>
      <c r="I24" s="725">
        <f>SUMIF('数据-取费表'!C6:C15,E2,'数据-取费表'!F6:F15)/COUNTIF('数据-取费表'!C6:C15,E2)</f>
        <v>34.619999999999997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3332</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3255</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6" t="s">
        <v>1936</v>
      </c>
      <c r="M30" s="3057" t="s">
        <v>1990</v>
      </c>
      <c r="N30" s="3057" t="s">
        <v>1991</v>
      </c>
      <c r="O30" s="3057" t="s">
        <v>1992</v>
      </c>
      <c r="P30" s="3057" t="s">
        <v>1993</v>
      </c>
      <c r="Q30" s="3060"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51" t="s">
        <v>3257</v>
      </c>
      <c r="G33" s="1941"/>
      <c r="H33" s="1941"/>
      <c r="I33" s="1941"/>
      <c r="J33" s="1942"/>
      <c r="K33" s="1056"/>
      <c r="L33" s="3054" t="s">
        <v>3260</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0</v>
      </c>
      <c r="D34" s="1945"/>
      <c r="E34" s="727">
        <f>ROUND(IF(B25="楼层修正",SUM(V2:V16)*M40,C34*D34/10000),0)</f>
        <v>0</v>
      </c>
      <c r="F34" s="1946" t="s">
        <v>2032</v>
      </c>
      <c r="G34" s="1947"/>
      <c r="H34" s="1947"/>
      <c r="I34" s="1947"/>
      <c r="J34" s="1948"/>
      <c r="K34" s="1056"/>
      <c r="L34" s="3054" t="s">
        <v>3261</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3258</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3262</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7"/>
      <c r="B37" s="1955" t="s">
        <v>2036</v>
      </c>
      <c r="C37" s="167">
        <f>ROUND(D5*C22*C23*C24*C28*F37,0)</f>
        <v>0</v>
      </c>
      <c r="D37" s="1940"/>
      <c r="E37" s="163">
        <f>ROUND(C37*D37/10000,0)</f>
        <v>0</v>
      </c>
      <c r="F37" s="163">
        <f>SUMIF(修正!A59:A70,G2,修正!B59:B70)</f>
        <v>0.6</v>
      </c>
      <c r="G37" s="163">
        <f>ROUND(IF(E2="工业",C37*$M$42,C37*$M$41),0)</f>
        <v>0</v>
      </c>
      <c r="H37" s="163">
        <f>D37</f>
        <v>0</v>
      </c>
      <c r="I37" s="163">
        <f>ROUND(G37*H37/10000,0)</f>
        <v>0</v>
      </c>
      <c r="J37" s="2755"/>
      <c r="K37" s="3062" t="s">
        <v>3263</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8"/>
      <c r="B38" s="1884" t="s">
        <v>2037</v>
      </c>
      <c r="C38" s="167">
        <f>ROUND(D5*C22*C23*C24*C28*F38,0)</f>
        <v>0</v>
      </c>
      <c r="D38" s="1940"/>
      <c r="E38" s="163">
        <f t="shared" ref="E38:E42" si="4">ROUND(C38*D38/10000,0)</f>
        <v>0</v>
      </c>
      <c r="F38" s="163">
        <f>SUMIF(修正!A59:A70,G2,修正!C59:C70)</f>
        <v>0.3</v>
      </c>
      <c r="G38" s="163">
        <f>ROUND(IF(E2="工业",C38*$M$42,C38*$M$41),0)</f>
        <v>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8"/>
      <c r="B39" s="1884" t="s">
        <v>3256</v>
      </c>
      <c r="C39" s="167">
        <f>ROUND(D5*C22*C23*C24*C28*F39,0)</f>
        <v>0</v>
      </c>
      <c r="D39" s="1940"/>
      <c r="E39" s="163">
        <f t="shared" si="4"/>
        <v>0</v>
      </c>
      <c r="F39" s="163">
        <f>SUMIF(修正!A59:A70,G2,修正!D59:D70)</f>
        <v>0.25</v>
      </c>
      <c r="G39" s="163">
        <f>ROUND(IF(E2="工业",C39*$M$42,C39*$M$41),0)</f>
        <v>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0</v>
      </c>
      <c r="D40" s="1940"/>
      <c r="E40" s="163">
        <f t="shared" si="4"/>
        <v>0</v>
      </c>
      <c r="F40" s="167">
        <f>SUMIF(修正!A59:A70,G2,修正!E59:E70)</f>
        <v>0.25</v>
      </c>
      <c r="G40" s="163">
        <f>ROUND(IF(E2="工业",C40*$M$42,C40*$M$41),0)</f>
        <v>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3264</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3266</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3266</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3266</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f>IF(E2="工业",SUMIF(L1:L12,G2,N1:N12),"——")</f>
        <v>0.05</v>
      </c>
      <c r="G83" s="1000"/>
      <c r="H83" s="1003">
        <f t="shared" ref="H83:H90" si="23">IFERROR(ROUNDDOWN($F$83*I83/2,4),"——")</f>
        <v>6.4999999999999997E-3</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f t="shared" si="23"/>
        <v>7.4999999999999997E-3</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3267</v>
      </c>
      <c r="B85" s="1262">
        <f>估价对象房地状况!G17</f>
        <v>0</v>
      </c>
      <c r="C85" s="1887"/>
      <c r="D85" s="1002">
        <f t="shared" si="22"/>
        <v>0</v>
      </c>
      <c r="E85" s="705"/>
      <c r="F85" s="1675"/>
      <c r="G85" s="1000"/>
      <c r="H85" s="1003">
        <f t="shared" si="23"/>
        <v>2.5000000000000001E-3</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f t="shared" si="23"/>
        <v>1.1999999999999999E-3</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f t="shared" si="23"/>
        <v>1.5E-3</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f t="shared" si="23"/>
        <v>3.0000000000000001E-3</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f t="shared" si="23"/>
        <v>1.5E-3</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f t="shared" si="23"/>
        <v>1.1999999999999999E-3</v>
      </c>
      <c r="I90" s="3070">
        <v>0.05</v>
      </c>
      <c r="J90" s="1001">
        <f t="shared" si="24"/>
        <v>0</v>
      </c>
      <c r="K90" s="1001">
        <f t="shared" si="25"/>
        <v>0</v>
      </c>
      <c r="L90" s="1001">
        <v>0</v>
      </c>
      <c r="M90" s="1001">
        <f t="shared" si="26"/>
        <v>0</v>
      </c>
      <c r="N90" s="1001">
        <f t="shared" si="26"/>
        <v>0</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3268</v>
      </c>
      <c r="B92" s="2310"/>
      <c r="C92" s="2310" t="s">
        <v>3277</v>
      </c>
      <c r="D92" s="2310" t="s">
        <v>3278</v>
      </c>
      <c r="E92" s="3053" t="s">
        <v>3279</v>
      </c>
      <c r="F92" s="3083" t="s">
        <v>3280</v>
      </c>
      <c r="G92" s="2310" t="s">
        <v>3281</v>
      </c>
      <c r="H92" s="3090" t="s">
        <v>3284</v>
      </c>
      <c r="I92" s="2310" t="s">
        <v>3285</v>
      </c>
      <c r="J92" s="2150" t="s">
        <v>3286</v>
      </c>
      <c r="K92" s="2150" t="s">
        <v>3287</v>
      </c>
      <c r="L92" s="2150" t="s">
        <v>3288</v>
      </c>
      <c r="M92" s="2150" t="s">
        <v>3289</v>
      </c>
      <c r="N92" s="2150" t="s">
        <v>3290</v>
      </c>
    </row>
    <row r="93" spans="1:37" ht="24">
      <c r="A93" s="3071" t="s">
        <v>3269</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3270</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3266</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3271</v>
      </c>
      <c r="B96" s="3087" t="s">
        <v>3282</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3272</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3273</v>
      </c>
      <c r="B98" s="3088" t="s">
        <v>3283</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3274</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3275</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3276</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85" t="s">
        <v>3291</v>
      </c>
      <c r="B103" s="3485"/>
      <c r="C103" s="3485"/>
      <c r="D103" s="3485"/>
      <c r="E103" s="3485"/>
      <c r="F103" s="3485"/>
      <c r="G103" s="3485"/>
      <c r="H103" s="3485"/>
      <c r="I103" s="3485"/>
      <c r="J103" s="3485"/>
      <c r="K103" s="1667"/>
      <c r="L103" s="1667"/>
      <c r="M103" s="1667"/>
      <c r="N103" s="1667"/>
    </row>
    <row r="104" spans="1:14">
      <c r="A104" s="3486" t="s">
        <v>3292</v>
      </c>
      <c r="B104" s="3486" t="s">
        <v>3293</v>
      </c>
      <c r="C104" s="3091" t="s">
        <v>3294</v>
      </c>
      <c r="D104" s="3092"/>
      <c r="E104" s="3092"/>
      <c r="F104" s="3092"/>
      <c r="G104" s="3092"/>
      <c r="H104" s="3092"/>
      <c r="I104" s="3092"/>
      <c r="J104" s="3093"/>
      <c r="K104" s="3094"/>
      <c r="L104" s="3094"/>
      <c r="M104" s="3094"/>
      <c r="N104" s="3094"/>
    </row>
    <row r="105" spans="1:14">
      <c r="A105" s="3486"/>
      <c r="B105" s="3486"/>
      <c r="C105" s="3095" t="s">
        <v>3295</v>
      </c>
      <c r="D105" s="3095" t="s">
        <v>3296</v>
      </c>
      <c r="E105" s="3095" t="s">
        <v>3297</v>
      </c>
      <c r="F105" s="3095" t="s">
        <v>3298</v>
      </c>
      <c r="G105" s="3095" t="s">
        <v>3299</v>
      </c>
      <c r="H105" s="3095" t="s">
        <v>3300</v>
      </c>
      <c r="I105" s="3095" t="s">
        <v>3301</v>
      </c>
      <c r="J105" s="3095" t="s">
        <v>3302</v>
      </c>
      <c r="K105" s="3095" t="s">
        <v>3303</v>
      </c>
      <c r="L105" s="3095" t="s">
        <v>3304</v>
      </c>
      <c r="M105" s="3095" t="s">
        <v>3305</v>
      </c>
      <c r="N105" s="3095" t="s">
        <v>3306</v>
      </c>
    </row>
    <row r="106" spans="1:14">
      <c r="A106" s="3472" t="s">
        <v>3307</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73"/>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73"/>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73"/>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73"/>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73"/>
      <c r="B111" s="3095" t="s">
        <v>3265</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74"/>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75" t="s">
        <v>3308</v>
      </c>
      <c r="B113" s="3475"/>
      <c r="C113" s="3475"/>
      <c r="D113" s="3475"/>
      <c r="E113" s="3475"/>
      <c r="F113" s="3475"/>
      <c r="G113" s="3475"/>
      <c r="H113" s="3475"/>
      <c r="I113" s="3475"/>
      <c r="J113" s="3475"/>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3309</v>
      </c>
      <c r="B116" s="3115">
        <f>G3</f>
        <v>0</v>
      </c>
      <c r="C116" s="3100" t="s">
        <v>3310</v>
      </c>
      <c r="D116" s="3101">
        <f>SUMPRODUCT((A118:A122=F116)*(B117:M117=H116)*B118:M122)</f>
        <v>0.66120000000000001</v>
      </c>
      <c r="E116" s="162" t="s">
        <v>3311</v>
      </c>
      <c r="F116" s="3102" t="str">
        <f>E2</f>
        <v>工业</v>
      </c>
      <c r="G116" s="162" t="s">
        <v>3312</v>
      </c>
      <c r="H116" s="3102" t="str">
        <f>G2</f>
        <v>六级</v>
      </c>
      <c r="I116" s="162"/>
      <c r="J116" s="3103"/>
      <c r="K116" s="3103"/>
      <c r="L116" s="3103"/>
      <c r="M116" s="3103"/>
      <c r="N116" s="3098"/>
    </row>
    <row r="117" spans="1:14">
      <c r="A117" s="3104"/>
      <c r="B117" s="3105" t="s">
        <v>3313</v>
      </c>
      <c r="C117" s="3105" t="s">
        <v>3314</v>
      </c>
      <c r="D117" s="3105" t="s">
        <v>3315</v>
      </c>
      <c r="E117" s="3106" t="s">
        <v>3316</v>
      </c>
      <c r="F117" s="3106" t="s">
        <v>3317</v>
      </c>
      <c r="G117" s="3106" t="s">
        <v>3318</v>
      </c>
      <c r="H117" s="3107" t="s">
        <v>3319</v>
      </c>
      <c r="I117" s="3107" t="s">
        <v>3320</v>
      </c>
      <c r="J117" s="3108" t="s">
        <v>3321</v>
      </c>
      <c r="K117" s="3108" t="s">
        <v>3322</v>
      </c>
      <c r="L117" s="3108" t="s">
        <v>3323</v>
      </c>
      <c r="M117" s="3109" t="s">
        <v>3324</v>
      </c>
      <c r="N117" s="3098"/>
    </row>
    <row r="118" spans="1:14">
      <c r="A118" s="3058" t="s">
        <v>3325</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3326</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3327</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3328</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58" zoomScale="90" zoomScaleNormal="90" workbookViewId="0">
      <selection activeCell="C31" sqref="A31:XFD31"/>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501" t="s">
        <v>2606</v>
      </c>
      <c r="B20" s="3491" t="s">
        <v>2627</v>
      </c>
      <c r="C20" s="3169" t="s">
        <v>2438</v>
      </c>
      <c r="D20" s="3169"/>
      <c r="E20" s="2845">
        <v>1</v>
      </c>
      <c r="F20" s="2846" t="s">
        <v>2439</v>
      </c>
      <c r="G20" s="2846"/>
    </row>
    <row r="21" spans="1:13" ht="19.5" customHeight="1">
      <c r="A21" s="3502"/>
      <c r="B21" s="3492"/>
      <c r="C21" s="2858" t="s">
        <v>2440</v>
      </c>
      <c r="D21" s="2858"/>
      <c r="E21" s="2849">
        <v>1</v>
      </c>
      <c r="F21" s="2846" t="s">
        <v>2441</v>
      </c>
      <c r="G21" s="2846"/>
    </row>
    <row r="22" spans="1:13" ht="19.5" customHeight="1">
      <c r="A22" s="3502"/>
      <c r="B22" s="3492"/>
      <c r="C22" s="2858" t="s">
        <v>2442</v>
      </c>
      <c r="D22" s="2858"/>
      <c r="E22" s="2849">
        <v>0.9</v>
      </c>
      <c r="F22" s="2846" t="s">
        <v>2443</v>
      </c>
      <c r="G22" s="2846"/>
    </row>
    <row r="23" spans="1:13" ht="19.5" customHeight="1">
      <c r="A23" s="3502"/>
      <c r="B23" s="3492"/>
      <c r="C23" s="2858" t="s">
        <v>2444</v>
      </c>
      <c r="D23" s="2858"/>
      <c r="E23" s="2849">
        <v>0.9</v>
      </c>
      <c r="F23" s="2846" t="s">
        <v>2445</v>
      </c>
      <c r="G23" s="2846"/>
    </row>
    <row r="24" spans="1:13" ht="19.5" customHeight="1">
      <c r="A24" s="3502"/>
      <c r="B24" s="3492"/>
      <c r="C24" s="2858" t="s">
        <v>2446</v>
      </c>
      <c r="D24" s="2858"/>
      <c r="E24" s="2849">
        <v>0.8</v>
      </c>
      <c r="F24" s="2846" t="s">
        <v>2447</v>
      </c>
      <c r="G24" s="2846"/>
    </row>
    <row r="25" spans="1:13" ht="19.5" customHeight="1">
      <c r="A25" s="3502"/>
      <c r="B25" s="3492"/>
      <c r="C25" s="2858" t="s">
        <v>2448</v>
      </c>
      <c r="D25" s="2858"/>
      <c r="E25" s="2849">
        <v>0.8</v>
      </c>
      <c r="F25" s="2846"/>
      <c r="G25" s="2846"/>
    </row>
    <row r="26" spans="1:13" ht="19.5" customHeight="1">
      <c r="A26" s="3502"/>
      <c r="B26" s="3492"/>
      <c r="C26" s="2858" t="s">
        <v>3406</v>
      </c>
      <c r="D26" s="2858"/>
      <c r="E26" s="2849">
        <v>0.43</v>
      </c>
      <c r="F26" s="2846"/>
      <c r="G26" s="2846"/>
    </row>
    <row r="27" spans="1:13" ht="19.5" customHeight="1" thickBot="1">
      <c r="A27" s="3503"/>
      <c r="B27" s="3493"/>
      <c r="C27" s="3165" t="s">
        <v>3407</v>
      </c>
      <c r="D27" s="3165"/>
      <c r="E27" s="2852">
        <f>E26*0.9</f>
        <v>0.38700000000000001</v>
      </c>
      <c r="F27" s="2846" t="s">
        <v>2449</v>
      </c>
      <c r="G27" s="2846"/>
    </row>
    <row r="28" spans="1:13" ht="19.5" customHeight="1" thickBot="1">
      <c r="A28" s="3164" t="s">
        <v>2628</v>
      </c>
      <c r="B28" s="3163" t="s">
        <v>2627</v>
      </c>
      <c r="C28" s="3166" t="s">
        <v>2629</v>
      </c>
      <c r="D28" s="3167"/>
      <c r="E28" s="3168">
        <v>1</v>
      </c>
      <c r="F28" s="2846" t="s">
        <v>2450</v>
      </c>
      <c r="G28" s="2846"/>
    </row>
    <row r="29" spans="1:13" ht="19.5" customHeight="1">
      <c r="A29" s="3494" t="s">
        <v>2630</v>
      </c>
      <c r="B29" s="3497" t="s">
        <v>2611</v>
      </c>
      <c r="C29" s="2843" t="s">
        <v>2451</v>
      </c>
      <c r="D29" s="2844"/>
      <c r="E29" s="2845">
        <v>1</v>
      </c>
      <c r="F29" s="2846" t="s">
        <v>2452</v>
      </c>
      <c r="G29" s="2846"/>
    </row>
    <row r="30" spans="1:13" ht="19.5" customHeight="1">
      <c r="A30" s="3495"/>
      <c r="B30" s="3498"/>
      <c r="C30" s="2847" t="s">
        <v>2453</v>
      </c>
      <c r="D30" s="2848"/>
      <c r="E30" s="2849">
        <v>1</v>
      </c>
      <c r="F30" s="2846" t="s">
        <v>2454</v>
      </c>
      <c r="G30" s="2846"/>
    </row>
    <row r="31" spans="1:13" ht="19.5" customHeight="1">
      <c r="A31" s="3495"/>
      <c r="B31" s="3498"/>
      <c r="C31" s="2847" t="s">
        <v>2455</v>
      </c>
      <c r="D31" s="2848"/>
      <c r="E31" s="2849">
        <v>0.8</v>
      </c>
      <c r="F31" s="2846" t="s">
        <v>2456</v>
      </c>
      <c r="G31" s="2846"/>
    </row>
    <row r="32" spans="1:13" ht="19.5" customHeight="1">
      <c r="A32" s="3495"/>
      <c r="B32" s="3498"/>
      <c r="C32" s="2847" t="s">
        <v>2457</v>
      </c>
      <c r="D32" s="2848"/>
      <c r="E32" s="2849">
        <v>0.8</v>
      </c>
      <c r="F32" s="2846" t="s">
        <v>2458</v>
      </c>
      <c r="G32" s="2846"/>
    </row>
    <row r="33" spans="1:7" ht="19.5" customHeight="1">
      <c r="A33" s="3495"/>
      <c r="B33" s="3498"/>
      <c r="C33" s="2847" t="s">
        <v>2459</v>
      </c>
      <c r="D33" s="2848"/>
      <c r="E33" s="2849">
        <v>0.8</v>
      </c>
      <c r="F33" s="2846" t="s">
        <v>2460</v>
      </c>
      <c r="G33" s="2846"/>
    </row>
    <row r="34" spans="1:7" ht="19.5" customHeight="1">
      <c r="A34" s="3495"/>
      <c r="B34" s="3498"/>
      <c r="C34" s="2847" t="s">
        <v>2461</v>
      </c>
      <c r="D34" s="2848"/>
      <c r="E34" s="2849">
        <v>0.7</v>
      </c>
      <c r="F34" s="2846" t="s">
        <v>2462</v>
      </c>
      <c r="G34" s="2846"/>
    </row>
    <row r="35" spans="1:7" ht="19.5" customHeight="1">
      <c r="A35" s="3495"/>
      <c r="B35" s="3498"/>
      <c r="C35" s="2847" t="s">
        <v>2463</v>
      </c>
      <c r="D35" s="2848"/>
      <c r="E35" s="2849">
        <v>0.8</v>
      </c>
      <c r="F35" s="2846" t="s">
        <v>2464</v>
      </c>
      <c r="G35" s="2846"/>
    </row>
    <row r="36" spans="1:7" ht="19.5" customHeight="1">
      <c r="A36" s="3495"/>
      <c r="B36" s="3498"/>
      <c r="C36" s="2847" t="s">
        <v>2465</v>
      </c>
      <c r="D36" s="2848"/>
      <c r="E36" s="2849">
        <v>0.6</v>
      </c>
      <c r="F36" s="2846" t="s">
        <v>2466</v>
      </c>
      <c r="G36" s="2846"/>
    </row>
    <row r="37" spans="1:7" ht="19.5" customHeight="1">
      <c r="A37" s="3495"/>
      <c r="B37" s="3498"/>
      <c r="C37" s="2847" t="s">
        <v>2467</v>
      </c>
      <c r="D37" s="2848"/>
      <c r="E37" s="2849">
        <v>0.2</v>
      </c>
      <c r="F37" s="2846" t="s">
        <v>2468</v>
      </c>
      <c r="G37" s="2846"/>
    </row>
    <row r="38" spans="1:7" ht="19.5" customHeight="1">
      <c r="A38" s="3495"/>
      <c r="B38" s="3498"/>
      <c r="C38" s="2847" t="s">
        <v>2469</v>
      </c>
      <c r="D38" s="2848"/>
      <c r="E38" s="2849">
        <v>0.2</v>
      </c>
      <c r="F38" s="2846" t="s">
        <v>2470</v>
      </c>
      <c r="G38" s="2846"/>
    </row>
    <row r="39" spans="1:7" ht="19.5" customHeight="1">
      <c r="A39" s="3495"/>
      <c r="B39" s="3499" t="s">
        <v>2631</v>
      </c>
      <c r="C39" s="2847" t="s">
        <v>2471</v>
      </c>
      <c r="D39" s="2848"/>
      <c r="E39" s="2849">
        <v>0.6</v>
      </c>
      <c r="F39" s="2846" t="s">
        <v>2472</v>
      </c>
      <c r="G39" s="2846"/>
    </row>
    <row r="40" spans="1:7" ht="19.5" customHeight="1">
      <c r="A40" s="3495"/>
      <c r="B40" s="3498"/>
      <c r="C40" s="2847" t="s">
        <v>2473</v>
      </c>
      <c r="D40" s="2848"/>
      <c r="E40" s="2849">
        <v>0.6</v>
      </c>
      <c r="F40" s="2846" t="s">
        <v>2474</v>
      </c>
      <c r="G40" s="2846"/>
    </row>
    <row r="41" spans="1:7" ht="19.5" customHeight="1" thickBot="1">
      <c r="A41" s="3496"/>
      <c r="B41" s="3500"/>
      <c r="C41" s="2850" t="s">
        <v>2475</v>
      </c>
      <c r="D41" s="2851"/>
      <c r="E41" s="2852">
        <v>0.6</v>
      </c>
      <c r="F41" s="2846" t="s">
        <v>2476</v>
      </c>
      <c r="G41" s="2846"/>
    </row>
    <row r="42" spans="1:7" ht="19.5" customHeight="1" thickBot="1">
      <c r="A42" s="2853" t="s">
        <v>2608</v>
      </c>
      <c r="B42" s="2854" t="s">
        <v>2608</v>
      </c>
      <c r="C42" s="2855" t="s">
        <v>2632</v>
      </c>
      <c r="D42" s="2856"/>
      <c r="E42" s="2857">
        <v>1</v>
      </c>
      <c r="F42" s="2846" t="s">
        <v>2477</v>
      </c>
      <c r="G42" s="2846"/>
    </row>
    <row r="43" spans="1:7" ht="19.5" customHeight="1">
      <c r="A43" s="3501" t="s">
        <v>2609</v>
      </c>
      <c r="B43" s="3497" t="s">
        <v>2633</v>
      </c>
      <c r="C43" s="2843" t="s">
        <v>2478</v>
      </c>
      <c r="D43" s="2844"/>
      <c r="E43" s="2845">
        <v>1</v>
      </c>
      <c r="F43" s="2846" t="s">
        <v>2479</v>
      </c>
      <c r="G43" s="2846"/>
    </row>
    <row r="44" spans="1:7" ht="19.5" customHeight="1">
      <c r="A44" s="3502"/>
      <c r="B44" s="3498"/>
      <c r="C44" s="2847" t="s">
        <v>2480</v>
      </c>
      <c r="D44" s="2848"/>
      <c r="E44" s="2849">
        <v>1</v>
      </c>
      <c r="F44" s="2846" t="s">
        <v>2481</v>
      </c>
      <c r="G44" s="2846"/>
    </row>
    <row r="45" spans="1:7" ht="19.5" customHeight="1">
      <c r="A45" s="3502"/>
      <c r="B45" s="3504"/>
      <c r="C45" s="2847" t="s">
        <v>2482</v>
      </c>
      <c r="D45" s="2848"/>
      <c r="E45" s="2849">
        <v>1.5</v>
      </c>
      <c r="F45" s="2846" t="s">
        <v>2483</v>
      </c>
      <c r="G45" s="2846"/>
    </row>
    <row r="46" spans="1:7" ht="19.5" customHeight="1">
      <c r="A46" s="3502"/>
      <c r="B46" s="2858" t="s">
        <v>2634</v>
      </c>
      <c r="C46" s="2847" t="s">
        <v>2635</v>
      </c>
      <c r="D46" s="2848"/>
      <c r="E46" s="2849">
        <v>2</v>
      </c>
      <c r="F46" s="2846" t="s">
        <v>2484</v>
      </c>
      <c r="G46" s="2846"/>
    </row>
    <row r="47" spans="1:7" ht="19.5" customHeight="1">
      <c r="A47" s="3502"/>
      <c r="B47" s="3499" t="s">
        <v>2636</v>
      </c>
      <c r="C47" s="2847" t="s">
        <v>2485</v>
      </c>
      <c r="D47" s="2848"/>
      <c r="E47" s="2849">
        <v>1</v>
      </c>
      <c r="F47" s="2846" t="s">
        <v>2486</v>
      </c>
      <c r="G47" s="2846"/>
    </row>
    <row r="48" spans="1:7" ht="19.5" customHeight="1">
      <c r="A48" s="3502"/>
      <c r="B48" s="3498"/>
      <c r="C48" s="2847" t="s">
        <v>2487</v>
      </c>
      <c r="D48" s="2848"/>
      <c r="E48" s="2849">
        <v>1</v>
      </c>
      <c r="F48" s="2846" t="s">
        <v>2488</v>
      </c>
      <c r="G48" s="2846"/>
    </row>
    <row r="49" spans="1:7" ht="19.5" customHeight="1">
      <c r="A49" s="3502"/>
      <c r="B49" s="3498"/>
      <c r="C49" s="2847" t="s">
        <v>2489</v>
      </c>
      <c r="D49" s="2848"/>
      <c r="E49" s="2849">
        <v>1</v>
      </c>
      <c r="F49" s="2846" t="s">
        <v>2490</v>
      </c>
      <c r="G49" s="2846"/>
    </row>
    <row r="50" spans="1:7" ht="19.5" customHeight="1">
      <c r="A50" s="3502"/>
      <c r="B50" s="3498"/>
      <c r="C50" s="2847" t="s">
        <v>2491</v>
      </c>
      <c r="D50" s="2848"/>
      <c r="E50" s="2849">
        <v>1</v>
      </c>
      <c r="F50" s="2846" t="s">
        <v>2492</v>
      </c>
      <c r="G50" s="2846"/>
    </row>
    <row r="51" spans="1:7" ht="19.5" customHeight="1">
      <c r="A51" s="3502"/>
      <c r="B51" s="3498"/>
      <c r="C51" s="2847" t="s">
        <v>2493</v>
      </c>
      <c r="D51" s="2848"/>
      <c r="E51" s="2849">
        <v>1</v>
      </c>
      <c r="F51" s="2846" t="s">
        <v>2494</v>
      </c>
      <c r="G51" s="2846"/>
    </row>
    <row r="52" spans="1:7" ht="19.5" customHeight="1">
      <c r="A52" s="3502"/>
      <c r="B52" s="3498"/>
      <c r="C52" s="2847" t="s">
        <v>2495</v>
      </c>
      <c r="D52" s="2848"/>
      <c r="E52" s="2849">
        <v>1</v>
      </c>
      <c r="F52" s="2846" t="s">
        <v>2496</v>
      </c>
      <c r="G52" s="2846"/>
    </row>
    <row r="53" spans="1:7" ht="19.5" customHeight="1" thickBot="1">
      <c r="A53" s="3503"/>
      <c r="B53" s="3500"/>
      <c r="C53" s="2850" t="s">
        <v>2497</v>
      </c>
      <c r="D53" s="2851"/>
      <c r="E53" s="2852">
        <v>1</v>
      </c>
      <c r="F53" s="2846" t="s">
        <v>2498</v>
      </c>
      <c r="G53" s="2846"/>
    </row>
    <row r="54" spans="1:7" ht="19.5" customHeight="1">
      <c r="A54" s="2859"/>
      <c r="B54" s="2859"/>
      <c r="C54" s="2859"/>
      <c r="D54" s="2859"/>
      <c r="E54" s="2859"/>
      <c r="F54" s="2859"/>
      <c r="G54" s="2859"/>
    </row>
    <row r="56" spans="1:7" ht="19.5" customHeight="1">
      <c r="A56" s="2860"/>
      <c r="B56" s="2832" t="s">
        <v>2637</v>
      </c>
      <c r="C56" s="2832" t="s">
        <v>2637</v>
      </c>
      <c r="D56" s="2832" t="s">
        <v>2637</v>
      </c>
      <c r="E56" s="2835" t="s">
        <v>2637</v>
      </c>
      <c r="F56" s="2835" t="s">
        <v>2638</v>
      </c>
      <c r="G56" s="2835" t="s">
        <v>2639</v>
      </c>
    </row>
    <row r="57" spans="1:7" ht="19.5" customHeight="1">
      <c r="A57" s="2861"/>
      <c r="B57" s="2835" t="s">
        <v>2606</v>
      </c>
      <c r="C57" s="2835" t="s">
        <v>2606</v>
      </c>
      <c r="D57" s="2835" t="s">
        <v>2606</v>
      </c>
      <c r="E57" s="2832" t="s">
        <v>2607</v>
      </c>
      <c r="F57" s="2832" t="s">
        <v>2609</v>
      </c>
      <c r="G57" s="2832" t="s">
        <v>2640</v>
      </c>
    </row>
    <row r="58" spans="1:7" ht="19.5" customHeight="1">
      <c r="A58" s="2862"/>
      <c r="B58" s="2832">
        <v>1</v>
      </c>
      <c r="C58" s="2832">
        <v>2</v>
      </c>
      <c r="D58" s="2832">
        <v>3</v>
      </c>
      <c r="E58" s="2863" t="s">
        <v>2641</v>
      </c>
      <c r="F58" s="2863" t="s">
        <v>2641</v>
      </c>
      <c r="G58" s="2863" t="s">
        <v>2641</v>
      </c>
    </row>
    <row r="59" spans="1:7" ht="19.5" customHeight="1">
      <c r="A59" s="2864" t="s">
        <v>2594</v>
      </c>
      <c r="B59" s="2832">
        <v>0.7</v>
      </c>
      <c r="C59" s="2832">
        <v>0.4</v>
      </c>
      <c r="D59" s="2832">
        <v>0.3</v>
      </c>
      <c r="E59" s="2863">
        <v>0.3</v>
      </c>
      <c r="F59" s="2832">
        <v>0.3</v>
      </c>
      <c r="G59" s="2832">
        <v>0.2</v>
      </c>
    </row>
    <row r="60" spans="1:7" ht="19.5" customHeight="1">
      <c r="A60" s="2864" t="s">
        <v>2595</v>
      </c>
      <c r="B60" s="2832">
        <v>0.7</v>
      </c>
      <c r="C60" s="2832">
        <v>0.4</v>
      </c>
      <c r="D60" s="2832">
        <v>0.3</v>
      </c>
      <c r="E60" s="2832">
        <v>0.3</v>
      </c>
      <c r="F60" s="2832">
        <v>0.3</v>
      </c>
      <c r="G60" s="2832">
        <v>0.2</v>
      </c>
    </row>
    <row r="61" spans="1:7" ht="19.5" customHeight="1">
      <c r="A61" s="2864" t="s">
        <v>2596</v>
      </c>
      <c r="B61" s="2832">
        <v>0.6</v>
      </c>
      <c r="C61" s="2832">
        <v>0.3</v>
      </c>
      <c r="D61" s="2832">
        <v>0.25</v>
      </c>
      <c r="E61" s="2832">
        <v>0.25</v>
      </c>
      <c r="F61" s="2832">
        <v>0.25</v>
      </c>
      <c r="G61" s="2832">
        <v>0.15</v>
      </c>
    </row>
    <row r="62" spans="1:7" ht="19.5" customHeight="1">
      <c r="A62" s="2864" t="s">
        <v>2597</v>
      </c>
      <c r="B62" s="2832">
        <v>0.6</v>
      </c>
      <c r="C62" s="2832">
        <v>0.3</v>
      </c>
      <c r="D62" s="2832">
        <v>0.25</v>
      </c>
      <c r="E62" s="2832">
        <v>0.25</v>
      </c>
      <c r="F62" s="2832">
        <v>0.25</v>
      </c>
      <c r="G62" s="2832">
        <v>0.15</v>
      </c>
    </row>
    <row r="63" spans="1:7" ht="19.5" customHeight="1">
      <c r="A63" s="2864" t="s">
        <v>2598</v>
      </c>
      <c r="B63" s="2832">
        <v>0.6</v>
      </c>
      <c r="C63" s="2832">
        <v>0.3</v>
      </c>
      <c r="D63" s="2832">
        <v>0.25</v>
      </c>
      <c r="E63" s="2832">
        <v>0.25</v>
      </c>
      <c r="F63" s="2832">
        <v>0.25</v>
      </c>
      <c r="G63" s="2832">
        <v>0.15</v>
      </c>
    </row>
    <row r="64" spans="1:7" ht="19.5" customHeight="1">
      <c r="A64" s="2864" t="s">
        <v>2599</v>
      </c>
      <c r="B64" s="2832">
        <v>0.6</v>
      </c>
      <c r="C64" s="2832">
        <v>0.3</v>
      </c>
      <c r="D64" s="2832">
        <v>0.25</v>
      </c>
      <c r="E64" s="2832">
        <v>0.25</v>
      </c>
      <c r="F64" s="2832">
        <v>0.25</v>
      </c>
      <c r="G64" s="2832">
        <v>0.15</v>
      </c>
    </row>
    <row r="65" spans="1:7" ht="19.5" customHeight="1">
      <c r="A65" s="2864" t="s">
        <v>2600</v>
      </c>
      <c r="B65" s="2832">
        <v>0.6</v>
      </c>
      <c r="C65" s="2832">
        <v>0.3</v>
      </c>
      <c r="D65" s="2832">
        <v>0.25</v>
      </c>
      <c r="E65" s="2832">
        <v>0.25</v>
      </c>
      <c r="F65" s="2832">
        <v>0.25</v>
      </c>
      <c r="G65" s="2832">
        <v>0.15</v>
      </c>
    </row>
    <row r="66" spans="1:7" ht="19.5" customHeight="1">
      <c r="A66" s="2864" t="s">
        <v>2601</v>
      </c>
      <c r="B66" s="2832">
        <v>0.5</v>
      </c>
      <c r="C66" s="2832">
        <v>0.2</v>
      </c>
      <c r="D66" s="2832">
        <v>0.2</v>
      </c>
      <c r="E66" s="2832">
        <v>0.2</v>
      </c>
      <c r="F66" s="2832">
        <v>0.2</v>
      </c>
      <c r="G66" s="2832">
        <v>0.1</v>
      </c>
    </row>
    <row r="67" spans="1:7" ht="19.5" customHeight="1">
      <c r="A67" s="2864" t="s">
        <v>2602</v>
      </c>
      <c r="B67" s="2832">
        <v>0.5</v>
      </c>
      <c r="C67" s="2832">
        <v>0.2</v>
      </c>
      <c r="D67" s="2832">
        <v>0.2</v>
      </c>
      <c r="E67" s="2832">
        <v>0.2</v>
      </c>
      <c r="F67" s="2832">
        <v>0.2</v>
      </c>
      <c r="G67" s="2832">
        <v>0.1</v>
      </c>
    </row>
    <row r="68" spans="1:7" ht="19.5" customHeight="1">
      <c r="A68" s="2864" t="s">
        <v>2603</v>
      </c>
      <c r="B68" s="2832">
        <v>0.5</v>
      </c>
      <c r="C68" s="2832">
        <v>0.2</v>
      </c>
      <c r="D68" s="2832">
        <v>0.2</v>
      </c>
      <c r="E68" s="2832">
        <v>0.2</v>
      </c>
      <c r="F68" s="2832">
        <v>0.2</v>
      </c>
      <c r="G68" s="2832">
        <v>0.1</v>
      </c>
    </row>
    <row r="69" spans="1:7" ht="19.5" customHeight="1">
      <c r="A69" s="2864" t="s">
        <v>2604</v>
      </c>
      <c r="B69" s="2832">
        <v>0.5</v>
      </c>
      <c r="C69" s="2832">
        <v>0.2</v>
      </c>
      <c r="D69" s="2832">
        <v>0.2</v>
      </c>
      <c r="E69" s="2832">
        <v>0.2</v>
      </c>
      <c r="F69" s="2832">
        <v>0.2</v>
      </c>
      <c r="G69" s="2832">
        <v>0.1</v>
      </c>
    </row>
    <row r="70" spans="1:7" ht="19.5" customHeight="1">
      <c r="A70" s="2864" t="s">
        <v>2605</v>
      </c>
      <c r="B70" s="2832">
        <v>0.5</v>
      </c>
      <c r="C70" s="2832">
        <v>0.2</v>
      </c>
      <c r="D70" s="2832">
        <v>0.2</v>
      </c>
      <c r="E70" s="2832">
        <v>0.2</v>
      </c>
      <c r="F70" s="2832">
        <v>0.2</v>
      </c>
      <c r="G70" s="2832">
        <v>0.1</v>
      </c>
    </row>
    <row r="72" spans="1:7" ht="19.5" customHeight="1">
      <c r="A72" s="2846"/>
      <c r="B72" s="2865"/>
      <c r="C72" s="2865"/>
      <c r="D72" s="2865" t="s">
        <v>2642</v>
      </c>
      <c r="E72" s="2865"/>
      <c r="F72" s="2865"/>
    </row>
    <row r="73" spans="1:7" ht="19.5" customHeight="1">
      <c r="A73" s="2858" t="s">
        <v>2643</v>
      </c>
      <c r="B73" s="2858" t="s">
        <v>2644</v>
      </c>
      <c r="C73" s="2858" t="s">
        <v>2645</v>
      </c>
      <c r="D73" s="2858" t="s">
        <v>2646</v>
      </c>
      <c r="E73" s="2858" t="s">
        <v>2647</v>
      </c>
      <c r="F73" s="2858" t="s">
        <v>2648</v>
      </c>
    </row>
    <row r="74" spans="1:7" ht="13.5">
      <c r="A74" s="2858"/>
      <c r="B74" s="2858"/>
      <c r="C74" s="2858" t="s">
        <v>2649</v>
      </c>
      <c r="D74" s="2858"/>
      <c r="E74" s="2858" t="s">
        <v>2620</v>
      </c>
      <c r="F74" s="2858" t="s">
        <v>2620</v>
      </c>
    </row>
    <row r="75" spans="1:7" ht="13.5">
      <c r="A75" s="2858">
        <v>1</v>
      </c>
      <c r="B75" s="3499" t="s">
        <v>2650</v>
      </c>
      <c r="C75" s="2832" t="s">
        <v>2651</v>
      </c>
      <c r="D75" s="2832" t="s">
        <v>2652</v>
      </c>
      <c r="E75" s="2858">
        <v>0.2</v>
      </c>
      <c r="F75" s="2858">
        <v>25</v>
      </c>
    </row>
    <row r="76" spans="1:7" ht="24">
      <c r="A76" s="2858">
        <v>2</v>
      </c>
      <c r="B76" s="3498"/>
      <c r="C76" s="2832" t="s">
        <v>2653</v>
      </c>
      <c r="D76" s="2832" t="s">
        <v>2654</v>
      </c>
      <c r="E76" s="2858">
        <v>0.2</v>
      </c>
      <c r="F76" s="2858">
        <v>25</v>
      </c>
    </row>
    <row r="77" spans="1:7" ht="24">
      <c r="A77" s="2858">
        <v>3</v>
      </c>
      <c r="B77" s="3498"/>
      <c r="C77" s="2832" t="s">
        <v>2655</v>
      </c>
      <c r="D77" s="2832" t="s">
        <v>2656</v>
      </c>
      <c r="E77" s="2858">
        <v>0.2</v>
      </c>
      <c r="F77" s="2858">
        <v>25</v>
      </c>
    </row>
    <row r="78" spans="1:7" ht="13.5">
      <c r="A78" s="2858">
        <v>4</v>
      </c>
      <c r="B78" s="3498"/>
      <c r="C78" s="2832" t="s">
        <v>2657</v>
      </c>
      <c r="D78" s="2832" t="s">
        <v>2658</v>
      </c>
      <c r="E78" s="2858">
        <v>0.15</v>
      </c>
      <c r="F78" s="2858">
        <v>20</v>
      </c>
    </row>
    <row r="79" spans="1:7" ht="24">
      <c r="A79" s="2858">
        <v>5</v>
      </c>
      <c r="B79" s="3498"/>
      <c r="C79" s="2832" t="s">
        <v>2659</v>
      </c>
      <c r="D79" s="2832" t="s">
        <v>2660</v>
      </c>
      <c r="E79" s="2858">
        <v>0.15</v>
      </c>
      <c r="F79" s="2858">
        <v>20</v>
      </c>
    </row>
    <row r="80" spans="1:7" ht="24">
      <c r="A80" s="2858">
        <v>6</v>
      </c>
      <c r="B80" s="3498"/>
      <c r="C80" s="2832" t="s">
        <v>2661</v>
      </c>
      <c r="D80" s="2832" t="s">
        <v>2662</v>
      </c>
      <c r="E80" s="2858">
        <v>0.15</v>
      </c>
      <c r="F80" s="2858">
        <v>20</v>
      </c>
    </row>
    <row r="81" spans="1:6" ht="24">
      <c r="A81" s="2858">
        <v>7</v>
      </c>
      <c r="B81" s="3498"/>
      <c r="C81" s="2832" t="s">
        <v>2663</v>
      </c>
      <c r="D81" s="2832" t="s">
        <v>2664</v>
      </c>
      <c r="E81" s="2858">
        <v>0.15</v>
      </c>
      <c r="F81" s="2858">
        <v>20</v>
      </c>
    </row>
    <row r="82" spans="1:6" ht="24">
      <c r="A82" s="2858">
        <v>8</v>
      </c>
      <c r="B82" s="3498"/>
      <c r="C82" s="2832" t="s">
        <v>2665</v>
      </c>
      <c r="D82" s="2832" t="s">
        <v>2666</v>
      </c>
      <c r="E82" s="2858">
        <v>0.1</v>
      </c>
      <c r="F82" s="2858">
        <v>15</v>
      </c>
    </row>
    <row r="83" spans="1:6" ht="24">
      <c r="A83" s="2858">
        <v>9</v>
      </c>
      <c r="B83" s="3498"/>
      <c r="C83" s="2832" t="s">
        <v>2667</v>
      </c>
      <c r="D83" s="2832" t="s">
        <v>2668</v>
      </c>
      <c r="E83" s="2858">
        <v>0.1</v>
      </c>
      <c r="F83" s="2858">
        <v>15</v>
      </c>
    </row>
    <row r="84" spans="1:6" ht="24">
      <c r="A84" s="2858">
        <v>10</v>
      </c>
      <c r="B84" s="3498"/>
      <c r="C84" s="2832" t="s">
        <v>2669</v>
      </c>
      <c r="D84" s="2832" t="s">
        <v>2670</v>
      </c>
      <c r="E84" s="2858">
        <v>0.1</v>
      </c>
      <c r="F84" s="2858">
        <v>15</v>
      </c>
    </row>
    <row r="85" spans="1:6" ht="24">
      <c r="A85" s="2858">
        <v>11</v>
      </c>
      <c r="B85" s="3498"/>
      <c r="C85" s="2832" t="s">
        <v>2671</v>
      </c>
      <c r="D85" s="2832" t="s">
        <v>2672</v>
      </c>
      <c r="E85" s="2858">
        <v>0.1</v>
      </c>
      <c r="F85" s="2858">
        <v>15</v>
      </c>
    </row>
    <row r="86" spans="1:6" ht="24">
      <c r="A86" s="2858">
        <v>12</v>
      </c>
      <c r="B86" s="3498"/>
      <c r="C86" s="2832" t="s">
        <v>2673</v>
      </c>
      <c r="D86" s="2832" t="s">
        <v>2674</v>
      </c>
      <c r="E86" s="2858">
        <v>0.1</v>
      </c>
      <c r="F86" s="2858">
        <v>15</v>
      </c>
    </row>
    <row r="87" spans="1:6" ht="13.5">
      <c r="A87" s="2858">
        <v>13</v>
      </c>
      <c r="B87" s="3498"/>
      <c r="C87" s="2832" t="s">
        <v>2675</v>
      </c>
      <c r="D87" s="2832" t="s">
        <v>2676</v>
      </c>
      <c r="E87" s="2858">
        <v>0.1</v>
      </c>
      <c r="F87" s="2858">
        <v>15</v>
      </c>
    </row>
    <row r="88" spans="1:6" ht="13.5">
      <c r="A88" s="2858">
        <v>14</v>
      </c>
      <c r="B88" s="3498"/>
      <c r="C88" s="2832" t="s">
        <v>2677</v>
      </c>
      <c r="D88" s="2832" t="s">
        <v>2678</v>
      </c>
      <c r="E88" s="2858">
        <v>0.1</v>
      </c>
      <c r="F88" s="2858">
        <v>15</v>
      </c>
    </row>
    <row r="89" spans="1:6" ht="13.5">
      <c r="A89" s="2858">
        <v>15</v>
      </c>
      <c r="B89" s="3498"/>
      <c r="C89" s="2832" t="s">
        <v>2679</v>
      </c>
      <c r="D89" s="2832" t="s">
        <v>2680</v>
      </c>
      <c r="E89" s="2858">
        <v>0.1</v>
      </c>
      <c r="F89" s="2858">
        <v>15</v>
      </c>
    </row>
    <row r="90" spans="1:6" ht="24">
      <c r="A90" s="2858">
        <v>16</v>
      </c>
      <c r="B90" s="3498"/>
      <c r="C90" s="2832" t="s">
        <v>2681</v>
      </c>
      <c r="D90" s="2832" t="s">
        <v>2682</v>
      </c>
      <c r="E90" s="2858">
        <v>0.1</v>
      </c>
      <c r="F90" s="2858">
        <v>15</v>
      </c>
    </row>
    <row r="91" spans="1:6" ht="24">
      <c r="A91" s="2858">
        <v>17</v>
      </c>
      <c r="B91" s="3504"/>
      <c r="C91" s="2832" t="s">
        <v>2683</v>
      </c>
      <c r="D91" s="2832" t="s">
        <v>2684</v>
      </c>
      <c r="E91" s="2858">
        <v>0.1</v>
      </c>
      <c r="F91" s="2858">
        <v>15</v>
      </c>
    </row>
    <row r="92" spans="1:6" ht="13.5">
      <c r="A92" s="2858">
        <v>18</v>
      </c>
      <c r="B92" s="3499" t="s">
        <v>2685</v>
      </c>
      <c r="C92" s="2832" t="s">
        <v>2686</v>
      </c>
      <c r="D92" s="2832" t="s">
        <v>2687</v>
      </c>
      <c r="E92" s="2858">
        <v>0.2</v>
      </c>
      <c r="F92" s="2858">
        <v>25</v>
      </c>
    </row>
    <row r="93" spans="1:6" ht="24">
      <c r="A93" s="2858">
        <v>19</v>
      </c>
      <c r="B93" s="3498"/>
      <c r="C93" s="2832" t="s">
        <v>2688</v>
      </c>
      <c r="D93" s="2832" t="s">
        <v>2689</v>
      </c>
      <c r="E93" s="2858">
        <v>0.2</v>
      </c>
      <c r="F93" s="2858">
        <v>25</v>
      </c>
    </row>
    <row r="94" spans="1:6" ht="13.5">
      <c r="A94" s="2858">
        <v>20</v>
      </c>
      <c r="B94" s="3498"/>
      <c r="C94" s="2832" t="s">
        <v>2690</v>
      </c>
      <c r="D94" s="2832" t="s">
        <v>2691</v>
      </c>
      <c r="E94" s="2858">
        <v>0.15</v>
      </c>
      <c r="F94" s="2858">
        <v>20</v>
      </c>
    </row>
    <row r="95" spans="1:6" ht="13.5">
      <c r="A95" s="2858">
        <v>21</v>
      </c>
      <c r="B95" s="3498"/>
      <c r="C95" s="2832" t="s">
        <v>2692</v>
      </c>
      <c r="D95" s="2832" t="s">
        <v>2693</v>
      </c>
      <c r="E95" s="2858">
        <v>0.15</v>
      </c>
      <c r="F95" s="2858">
        <v>20</v>
      </c>
    </row>
    <row r="96" spans="1:6" ht="13.5">
      <c r="A96" s="2858">
        <v>22</v>
      </c>
      <c r="B96" s="3498"/>
      <c r="C96" s="2832" t="s">
        <v>2694</v>
      </c>
      <c r="D96" s="2832" t="s">
        <v>2695</v>
      </c>
      <c r="E96" s="2858">
        <v>0.15</v>
      </c>
      <c r="F96" s="2858">
        <v>20</v>
      </c>
    </row>
    <row r="97" spans="1:6" ht="36">
      <c r="A97" s="2858">
        <v>23</v>
      </c>
      <c r="B97" s="3498"/>
      <c r="C97" s="2832" t="s">
        <v>2696</v>
      </c>
      <c r="D97" s="2832" t="s">
        <v>2697</v>
      </c>
      <c r="E97" s="2858">
        <v>0.15</v>
      </c>
      <c r="F97" s="2858">
        <v>20</v>
      </c>
    </row>
    <row r="98" spans="1:6" ht="13.5">
      <c r="A98" s="2858">
        <v>24</v>
      </c>
      <c r="B98" s="3498"/>
      <c r="C98" s="2832" t="s">
        <v>2698</v>
      </c>
      <c r="D98" s="2832" t="s">
        <v>2699</v>
      </c>
      <c r="E98" s="2858">
        <v>0.1</v>
      </c>
      <c r="F98" s="2858">
        <v>15</v>
      </c>
    </row>
    <row r="99" spans="1:6" ht="13.5">
      <c r="A99" s="2858">
        <v>25</v>
      </c>
      <c r="B99" s="3498"/>
      <c r="C99" s="2832" t="s">
        <v>2700</v>
      </c>
      <c r="D99" s="2832" t="s">
        <v>2701</v>
      </c>
      <c r="E99" s="2858">
        <v>0.1</v>
      </c>
      <c r="F99" s="2858">
        <v>15</v>
      </c>
    </row>
    <row r="100" spans="1:6" ht="24">
      <c r="A100" s="2858">
        <v>26</v>
      </c>
      <c r="B100" s="3498"/>
      <c r="C100" s="2832" t="s">
        <v>2702</v>
      </c>
      <c r="D100" s="2832" t="s">
        <v>2703</v>
      </c>
      <c r="E100" s="2858">
        <v>0.1</v>
      </c>
      <c r="F100" s="2858">
        <v>15</v>
      </c>
    </row>
    <row r="101" spans="1:6" ht="24">
      <c r="A101" s="2858">
        <v>27</v>
      </c>
      <c r="B101" s="3498"/>
      <c r="C101" s="2832" t="s">
        <v>2704</v>
      </c>
      <c r="D101" s="2832" t="s">
        <v>2705</v>
      </c>
      <c r="E101" s="2858">
        <v>0.1</v>
      </c>
      <c r="F101" s="2858">
        <v>15</v>
      </c>
    </row>
    <row r="102" spans="1:6" ht="13.5">
      <c r="A102" s="2858">
        <v>28</v>
      </c>
      <c r="B102" s="3498"/>
      <c r="C102" s="2832" t="s">
        <v>2706</v>
      </c>
      <c r="D102" s="2832" t="s">
        <v>2707</v>
      </c>
      <c r="E102" s="2858">
        <v>0.1</v>
      </c>
      <c r="F102" s="2858">
        <v>15</v>
      </c>
    </row>
    <row r="103" spans="1:6" ht="13.5">
      <c r="A103" s="2858">
        <v>29</v>
      </c>
      <c r="B103" s="3498"/>
      <c r="C103" s="2832" t="s">
        <v>2708</v>
      </c>
      <c r="D103" s="2832" t="s">
        <v>2709</v>
      </c>
      <c r="E103" s="2858">
        <v>0.1</v>
      </c>
      <c r="F103" s="2858">
        <v>15</v>
      </c>
    </row>
    <row r="104" spans="1:6" ht="13.5">
      <c r="A104" s="2858">
        <v>30</v>
      </c>
      <c r="B104" s="3498"/>
      <c r="C104" s="2832" t="s">
        <v>2710</v>
      </c>
      <c r="D104" s="2832" t="s">
        <v>2711</v>
      </c>
      <c r="E104" s="2858">
        <v>0.1</v>
      </c>
      <c r="F104" s="2858">
        <v>15</v>
      </c>
    </row>
    <row r="105" spans="1:6" ht="24">
      <c r="A105" s="2858">
        <v>31</v>
      </c>
      <c r="B105" s="3498"/>
      <c r="C105" s="2832" t="s">
        <v>2712</v>
      </c>
      <c r="D105" s="2832" t="s">
        <v>2713</v>
      </c>
      <c r="E105" s="2858">
        <v>0.1</v>
      </c>
      <c r="F105" s="2858">
        <v>15</v>
      </c>
    </row>
    <row r="106" spans="1:6" ht="24">
      <c r="A106" s="2858">
        <v>32</v>
      </c>
      <c r="B106" s="3498"/>
      <c r="C106" s="2832" t="s">
        <v>2714</v>
      </c>
      <c r="D106" s="2832" t="s">
        <v>2715</v>
      </c>
      <c r="E106" s="2858">
        <v>0.1</v>
      </c>
      <c r="F106" s="2858">
        <v>15</v>
      </c>
    </row>
    <row r="107" spans="1:6" ht="24">
      <c r="A107" s="2858">
        <v>33</v>
      </c>
      <c r="B107" s="3498"/>
      <c r="C107" s="2832" t="s">
        <v>2716</v>
      </c>
      <c r="D107" s="2832" t="s">
        <v>2717</v>
      </c>
      <c r="E107" s="2858">
        <v>0.1</v>
      </c>
      <c r="F107" s="2858">
        <v>15</v>
      </c>
    </row>
    <row r="108" spans="1:6" ht="24">
      <c r="A108" s="2858">
        <v>34</v>
      </c>
      <c r="B108" s="3504"/>
      <c r="C108" s="2832" t="s">
        <v>2718</v>
      </c>
      <c r="D108" s="2832" t="s">
        <v>2719</v>
      </c>
      <c r="E108" s="2858">
        <v>0.1</v>
      </c>
      <c r="F108" s="2858">
        <v>15</v>
      </c>
    </row>
    <row r="109" spans="1:6" ht="24">
      <c r="A109" s="2858">
        <v>35</v>
      </c>
      <c r="B109" s="3499" t="s">
        <v>2720</v>
      </c>
      <c r="C109" s="2858" t="s">
        <v>2721</v>
      </c>
      <c r="D109" s="2832" t="s">
        <v>2722</v>
      </c>
      <c r="E109" s="2858">
        <v>0.15</v>
      </c>
      <c r="F109" s="2858">
        <v>20</v>
      </c>
    </row>
    <row r="110" spans="1:6" ht="13.5">
      <c r="A110" s="2858">
        <v>36</v>
      </c>
      <c r="B110" s="3498"/>
      <c r="C110" s="2858" t="s">
        <v>2723</v>
      </c>
      <c r="D110" s="2832" t="s">
        <v>2724</v>
      </c>
      <c r="E110" s="2858">
        <v>0.15</v>
      </c>
      <c r="F110" s="2858">
        <v>20</v>
      </c>
    </row>
    <row r="111" spans="1:6" ht="13.5">
      <c r="A111" s="2858">
        <v>37</v>
      </c>
      <c r="B111" s="3498"/>
      <c r="C111" s="2858" t="s">
        <v>2725</v>
      </c>
      <c r="D111" s="2832" t="s">
        <v>2726</v>
      </c>
      <c r="E111" s="2858">
        <v>0.15</v>
      </c>
      <c r="F111" s="2858">
        <v>20</v>
      </c>
    </row>
    <row r="112" spans="1:6" ht="13.5">
      <c r="A112" s="2858">
        <v>38</v>
      </c>
      <c r="B112" s="3498"/>
      <c r="C112" s="2858" t="s">
        <v>2727</v>
      </c>
      <c r="D112" s="2832" t="s">
        <v>2728</v>
      </c>
      <c r="E112" s="2858">
        <v>0.1</v>
      </c>
      <c r="F112" s="2858">
        <v>15</v>
      </c>
    </row>
    <row r="113" spans="1:6" ht="24">
      <c r="A113" s="2858">
        <v>39</v>
      </c>
      <c r="B113" s="3498"/>
      <c r="C113" s="2858" t="s">
        <v>2729</v>
      </c>
      <c r="D113" s="2832" t="s">
        <v>2730</v>
      </c>
      <c r="E113" s="2858">
        <v>0.1</v>
      </c>
      <c r="F113" s="2858">
        <v>15</v>
      </c>
    </row>
    <row r="114" spans="1:6" ht="24">
      <c r="A114" s="2858">
        <v>40</v>
      </c>
      <c r="B114" s="3504"/>
      <c r="C114" s="2858" t="s">
        <v>2731</v>
      </c>
      <c r="D114" s="2832" t="s">
        <v>2732</v>
      </c>
      <c r="E114" s="2858">
        <v>0.1</v>
      </c>
      <c r="F114" s="2858">
        <v>15</v>
      </c>
    </row>
    <row r="115" spans="1:6" ht="13.5">
      <c r="A115" s="2858">
        <v>41</v>
      </c>
      <c r="B115" s="3492" t="s">
        <v>2733</v>
      </c>
      <c r="C115" s="2858" t="s">
        <v>2734</v>
      </c>
      <c r="D115" s="2832" t="s">
        <v>2735</v>
      </c>
      <c r="E115" s="2858">
        <v>0.1</v>
      </c>
      <c r="F115" s="2858">
        <v>15</v>
      </c>
    </row>
    <row r="116" spans="1:6" ht="13.5">
      <c r="A116" s="2858">
        <v>42</v>
      </c>
      <c r="B116" s="3492"/>
      <c r="C116" s="2858" t="s">
        <v>2736</v>
      </c>
      <c r="D116" s="2832" t="s">
        <v>2737</v>
      </c>
      <c r="E116" s="2858">
        <v>0.1</v>
      </c>
      <c r="F116" s="2858">
        <v>15</v>
      </c>
    </row>
    <row r="117" spans="1:6" ht="24">
      <c r="A117" s="2858">
        <v>43</v>
      </c>
      <c r="B117" s="3492"/>
      <c r="C117" s="2858" t="s">
        <v>2738</v>
      </c>
      <c r="D117" s="2832" t="s">
        <v>2739</v>
      </c>
      <c r="E117" s="2858">
        <v>0.1</v>
      </c>
      <c r="F117" s="2858">
        <v>15</v>
      </c>
    </row>
    <row r="118" spans="1:6" ht="13.5">
      <c r="A118" s="2858">
        <v>44</v>
      </c>
      <c r="B118" s="3499" t="s">
        <v>2740</v>
      </c>
      <c r="C118" s="2858" t="s">
        <v>2741</v>
      </c>
      <c r="D118" s="2832" t="s">
        <v>2742</v>
      </c>
      <c r="E118" s="2858">
        <v>0.1</v>
      </c>
      <c r="F118" s="2858">
        <v>15</v>
      </c>
    </row>
    <row r="119" spans="1:6" ht="24">
      <c r="A119" s="2858">
        <v>45</v>
      </c>
      <c r="B119" s="3504"/>
      <c r="C119" s="2832" t="s">
        <v>2743</v>
      </c>
      <c r="D119" s="2832" t="s">
        <v>2744</v>
      </c>
      <c r="E119" s="2858">
        <v>0.1</v>
      </c>
      <c r="F119" s="2858">
        <v>15</v>
      </c>
    </row>
    <row r="120" spans="1:6" ht="24">
      <c r="A120" s="2858">
        <v>46</v>
      </c>
      <c r="B120" s="3499" t="s">
        <v>2745</v>
      </c>
      <c r="C120" s="2858" t="s">
        <v>2746</v>
      </c>
      <c r="D120" s="2832" t="s">
        <v>2747</v>
      </c>
      <c r="E120" s="2858">
        <v>0.1</v>
      </c>
      <c r="F120" s="2858">
        <v>15</v>
      </c>
    </row>
    <row r="121" spans="1:6" ht="24">
      <c r="A121" s="2858">
        <v>47</v>
      </c>
      <c r="B121" s="3504"/>
      <c r="C121" s="2858" t="s">
        <v>2748</v>
      </c>
      <c r="D121" s="2832" t="s">
        <v>2749</v>
      </c>
      <c r="E121" s="2858">
        <v>0.1</v>
      </c>
      <c r="F121" s="2858">
        <v>15</v>
      </c>
    </row>
    <row r="122" spans="1:6" ht="13.5">
      <c r="A122" s="2858">
        <v>48</v>
      </c>
      <c r="B122" s="3499" t="s">
        <v>2750</v>
      </c>
      <c r="C122" s="2858" t="s">
        <v>2751</v>
      </c>
      <c r="D122" s="2832" t="s">
        <v>2752</v>
      </c>
      <c r="E122" s="2858">
        <v>0.1</v>
      </c>
      <c r="F122" s="2858">
        <v>15</v>
      </c>
    </row>
    <row r="123" spans="1:6" ht="13.5">
      <c r="A123" s="2858">
        <v>49</v>
      </c>
      <c r="B123" s="3504"/>
      <c r="C123" s="2858" t="s">
        <v>2753</v>
      </c>
      <c r="D123" s="2832" t="s">
        <v>2754</v>
      </c>
      <c r="E123" s="2858">
        <v>0.1</v>
      </c>
      <c r="F123" s="2858">
        <v>15</v>
      </c>
    </row>
    <row r="124" spans="1:6" ht="24">
      <c r="A124" s="2858">
        <v>50</v>
      </c>
      <c r="B124" s="3492" t="s">
        <v>2755</v>
      </c>
      <c r="C124" s="2858" t="s">
        <v>2756</v>
      </c>
      <c r="D124" s="2832" t="s">
        <v>2757</v>
      </c>
      <c r="E124" s="2858">
        <v>0.1</v>
      </c>
      <c r="F124" s="2858">
        <v>15</v>
      </c>
    </row>
    <row r="125" spans="1:6" ht="24">
      <c r="A125" s="2858">
        <v>51</v>
      </c>
      <c r="B125" s="3492"/>
      <c r="C125" s="2858" t="s">
        <v>2758</v>
      </c>
      <c r="D125" s="2832" t="s">
        <v>2759</v>
      </c>
      <c r="E125" s="2858">
        <v>0.1</v>
      </c>
      <c r="F125" s="2858">
        <v>15</v>
      </c>
    </row>
    <row r="126" spans="1:6" ht="24">
      <c r="A126" s="2858">
        <v>52</v>
      </c>
      <c r="B126" s="3492" t="s">
        <v>2760</v>
      </c>
      <c r="C126" s="2858" t="s">
        <v>2761</v>
      </c>
      <c r="D126" s="2832" t="s">
        <v>2762</v>
      </c>
      <c r="E126" s="2858">
        <v>0.1</v>
      </c>
      <c r="F126" s="2858">
        <v>15</v>
      </c>
    </row>
    <row r="127" spans="1:6" ht="24">
      <c r="A127" s="2858">
        <v>53</v>
      </c>
      <c r="B127" s="3492"/>
      <c r="C127" s="2858" t="s">
        <v>2763</v>
      </c>
      <c r="D127" s="2832" t="s">
        <v>2764</v>
      </c>
      <c r="E127" s="2858">
        <v>0.1</v>
      </c>
      <c r="F127" s="2858">
        <v>15</v>
      </c>
    </row>
    <row r="128" spans="1:6" ht="13.5">
      <c r="A128" s="2858">
        <v>54</v>
      </c>
      <c r="B128" s="2858" t="s">
        <v>2765</v>
      </c>
      <c r="C128" s="2858" t="s">
        <v>2766</v>
      </c>
      <c r="D128" s="2832" t="s">
        <v>2767</v>
      </c>
      <c r="E128" s="2858">
        <v>0.1</v>
      </c>
      <c r="F128" s="2858">
        <v>15</v>
      </c>
    </row>
    <row r="129" spans="1:6" ht="13.5">
      <c r="A129" s="2858">
        <v>55</v>
      </c>
      <c r="B129" s="3492" t="s">
        <v>2768</v>
      </c>
      <c r="C129" s="2858" t="s">
        <v>2769</v>
      </c>
      <c r="D129" s="2832" t="s">
        <v>2770</v>
      </c>
      <c r="E129" s="2858">
        <v>0.1</v>
      </c>
      <c r="F129" s="2858">
        <v>15</v>
      </c>
    </row>
    <row r="130" spans="1:6" ht="13.5">
      <c r="A130" s="2858">
        <v>56</v>
      </c>
      <c r="B130" s="3492"/>
      <c r="C130" s="2858" t="s">
        <v>2771</v>
      </c>
      <c r="D130" s="2832" t="s">
        <v>2772</v>
      </c>
      <c r="E130" s="2858">
        <v>0.1</v>
      </c>
      <c r="F130" s="2858">
        <v>15</v>
      </c>
    </row>
    <row r="131" spans="1:6" ht="24">
      <c r="A131" s="2858">
        <v>57</v>
      </c>
      <c r="B131" s="3492"/>
      <c r="C131" s="2858" t="s">
        <v>2773</v>
      </c>
      <c r="D131" s="2832" t="s">
        <v>2774</v>
      </c>
      <c r="E131" s="2858">
        <v>0.1</v>
      </c>
      <c r="F131" s="2858">
        <v>15</v>
      </c>
    </row>
    <row r="132" spans="1:6" ht="24">
      <c r="A132" s="2858">
        <v>58</v>
      </c>
      <c r="B132" s="3492" t="s">
        <v>2775</v>
      </c>
      <c r="C132" s="2858" t="s">
        <v>2776</v>
      </c>
      <c r="D132" s="2832" t="s">
        <v>2777</v>
      </c>
      <c r="E132" s="2858">
        <v>0.1</v>
      </c>
      <c r="F132" s="2858">
        <v>15</v>
      </c>
    </row>
    <row r="133" spans="1:6" ht="13.5">
      <c r="A133" s="2858">
        <v>59</v>
      </c>
      <c r="B133" s="3492"/>
      <c r="C133" s="2858" t="s">
        <v>2778</v>
      </c>
      <c r="D133" s="2832" t="s">
        <v>2779</v>
      </c>
      <c r="E133" s="2858">
        <v>0.1</v>
      </c>
      <c r="F133" s="2858">
        <v>15</v>
      </c>
    </row>
    <row r="134" spans="1:6" ht="13.5">
      <c r="A134" s="2858">
        <v>60</v>
      </c>
      <c r="B134" s="3499" t="s">
        <v>2780</v>
      </c>
      <c r="C134" s="2858" t="s">
        <v>2781</v>
      </c>
      <c r="D134" s="2832" t="s">
        <v>2782</v>
      </c>
      <c r="E134" s="2858">
        <v>0.1</v>
      </c>
      <c r="F134" s="2858">
        <v>15</v>
      </c>
    </row>
    <row r="135" spans="1:6" ht="13.5">
      <c r="A135" s="2858">
        <v>61</v>
      </c>
      <c r="B135" s="3504"/>
      <c r="C135" s="2858" t="s">
        <v>2783</v>
      </c>
      <c r="D135" s="2832" t="s">
        <v>2784</v>
      </c>
      <c r="E135" s="2858">
        <v>0.1</v>
      </c>
      <c r="F135" s="2858">
        <v>15</v>
      </c>
    </row>
    <row r="136" spans="1:6" ht="24">
      <c r="A136" s="2858">
        <v>62</v>
      </c>
      <c r="B136" s="2858" t="s">
        <v>2785</v>
      </c>
      <c r="C136" s="2858" t="s">
        <v>2786</v>
      </c>
      <c r="D136" s="2832" t="s">
        <v>2787</v>
      </c>
      <c r="E136" s="2858">
        <v>0.1</v>
      </c>
      <c r="F136" s="2858">
        <v>15</v>
      </c>
    </row>
    <row r="137" spans="1:6" ht="13.5">
      <c r="A137" s="2858">
        <v>63</v>
      </c>
      <c r="B137" s="3492" t="s">
        <v>2788</v>
      </c>
      <c r="C137" s="2858" t="s">
        <v>2789</v>
      </c>
      <c r="D137" s="2832" t="s">
        <v>2790</v>
      </c>
      <c r="E137" s="2858">
        <v>0.1</v>
      </c>
      <c r="F137" s="2858">
        <v>15</v>
      </c>
    </row>
    <row r="138" spans="1:6" ht="13.5">
      <c r="A138" s="2858">
        <v>64</v>
      </c>
      <c r="B138" s="3492"/>
      <c r="C138" s="2858" t="s">
        <v>2791</v>
      </c>
      <c r="D138" s="2832" t="s">
        <v>2792</v>
      </c>
      <c r="E138" s="2858">
        <v>0.1</v>
      </c>
      <c r="F138" s="2858">
        <v>15</v>
      </c>
    </row>
    <row r="139" spans="1:6" ht="13.5">
      <c r="A139" s="2858">
        <v>65</v>
      </c>
      <c r="B139" s="2858" t="s">
        <v>2793</v>
      </c>
      <c r="C139" s="2858" t="s">
        <v>2794</v>
      </c>
      <c r="D139" s="2832" t="s">
        <v>2795</v>
      </c>
      <c r="E139" s="2858">
        <v>0.1</v>
      </c>
      <c r="F139" s="2858">
        <v>15</v>
      </c>
    </row>
    <row r="140" spans="1:6" ht="13.5">
      <c r="A140" s="2858"/>
      <c r="B140" s="2858"/>
      <c r="C140" s="2858"/>
      <c r="D140" s="2858"/>
      <c r="E140" s="2858" t="s">
        <v>2796</v>
      </c>
      <c r="F140" s="2858"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6"/>
  <sheetViews>
    <sheetView topLeftCell="A25" workbookViewId="0">
      <selection activeCell="P40" sqref="P40"/>
    </sheetView>
  </sheetViews>
  <sheetFormatPr defaultRowHeight="13.5"/>
  <sheetData>
    <row r="2" spans="1:1">
      <c r="A2" s="1405" t="s">
        <v>3509</v>
      </c>
    </row>
    <row r="24" spans="14:14">
      <c r="N24" s="1405" t="s">
        <v>3512</v>
      </c>
    </row>
    <row r="29" spans="14:14">
      <c r="N29" s="1405" t="s">
        <v>3901</v>
      </c>
    </row>
    <row r="46" spans="1:4">
      <c r="A46" s="1405" t="s">
        <v>3510</v>
      </c>
      <c r="D46" s="1405" t="s">
        <v>3511</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427"/>
  <sheetViews>
    <sheetView topLeftCell="B1" workbookViewId="0">
      <pane ySplit="2" topLeftCell="A24" activePane="bottomLeft" state="frozen"/>
      <selection pane="bottomLeft" activeCell="B343" sqref="A343:XFD343"/>
    </sheetView>
  </sheetViews>
  <sheetFormatPr defaultColWidth="8.875" defaultRowHeight="13.5"/>
  <cols>
    <col min="1" max="2" width="8.875" style="3528"/>
    <col min="3" max="3" width="10.875" style="3528" customWidth="1"/>
    <col min="4" max="4" width="10.375" style="3528" customWidth="1"/>
    <col min="5" max="5" width="9.125" style="3528" customWidth="1"/>
    <col min="6" max="6" width="8.875" style="3528"/>
    <col min="7" max="7" width="16.375" style="3528" customWidth="1"/>
    <col min="8" max="8" width="32.375" style="3528" customWidth="1"/>
    <col min="9" max="9" width="64.5" style="3528" customWidth="1"/>
    <col min="10" max="10" width="12.375" style="3528" customWidth="1"/>
    <col min="11" max="16383" width="8.875" style="3528"/>
    <col min="16384" max="16384" width="8.875" style="3552"/>
  </cols>
  <sheetData>
    <row r="1" spans="1:10" ht="20.25">
      <c r="A1" s="3526" t="s">
        <v>3523</v>
      </c>
      <c r="B1" s="3526"/>
      <c r="C1" s="3526"/>
      <c r="D1" s="3526"/>
      <c r="E1" s="3526"/>
      <c r="F1" s="3526"/>
      <c r="G1" s="3526"/>
      <c r="H1" s="3526"/>
      <c r="I1" s="3526"/>
      <c r="J1" s="3527"/>
    </row>
    <row r="2" spans="1:10">
      <c r="A2" s="3529" t="s">
        <v>3524</v>
      </c>
      <c r="B2" s="3529" t="s">
        <v>3525</v>
      </c>
      <c r="C2" s="3529" t="s">
        <v>3526</v>
      </c>
      <c r="D2" s="3529" t="s">
        <v>3527</v>
      </c>
      <c r="E2" s="3529" t="s">
        <v>3528</v>
      </c>
      <c r="F2" s="3529" t="s">
        <v>3529</v>
      </c>
      <c r="G2" s="3529"/>
      <c r="H2" s="3530" t="s">
        <v>3530</v>
      </c>
      <c r="I2" s="3530" t="s">
        <v>3531</v>
      </c>
      <c r="J2" s="3531" t="s">
        <v>3529</v>
      </c>
    </row>
    <row r="3" spans="1:10" ht="27">
      <c r="A3" s="3532" t="s">
        <v>3532</v>
      </c>
      <c r="B3" s="3533"/>
      <c r="C3" s="3534" t="s">
        <v>3533</v>
      </c>
      <c r="D3" s="3535">
        <v>127.66</v>
      </c>
      <c r="E3" s="3532" t="s">
        <v>3534</v>
      </c>
      <c r="F3" s="3532" t="s">
        <v>673</v>
      </c>
      <c r="G3" s="3536" t="s">
        <v>3535</v>
      </c>
      <c r="H3" s="3532" t="s">
        <v>3536</v>
      </c>
      <c r="I3" s="3537" t="s">
        <v>3537</v>
      </c>
      <c r="J3" s="3527"/>
    </row>
    <row r="4" spans="1:10" ht="38.25">
      <c r="A4" s="3532" t="s">
        <v>3532</v>
      </c>
      <c r="B4" s="3533"/>
      <c r="C4" s="3534" t="s">
        <v>3538</v>
      </c>
      <c r="D4" s="3535">
        <v>55.54</v>
      </c>
      <c r="E4" s="3532" t="s">
        <v>3534</v>
      </c>
      <c r="F4" s="3532" t="s">
        <v>673</v>
      </c>
      <c r="G4" s="3536" t="s">
        <v>3539</v>
      </c>
      <c r="H4" s="3532" t="s">
        <v>3540</v>
      </c>
      <c r="I4" s="3537" t="s">
        <v>3541</v>
      </c>
      <c r="J4" s="3527"/>
    </row>
    <row r="5" spans="1:10" ht="38.25">
      <c r="A5" s="3532" t="s">
        <v>3532</v>
      </c>
      <c r="B5" s="3533"/>
      <c r="C5" s="3534" t="s">
        <v>3542</v>
      </c>
      <c r="D5" s="3535">
        <v>70.430000000000007</v>
      </c>
      <c r="E5" s="3532" t="s">
        <v>3534</v>
      </c>
      <c r="F5" s="3532" t="s">
        <v>673</v>
      </c>
      <c r="G5" s="3536" t="s">
        <v>3539</v>
      </c>
      <c r="H5" s="3532" t="s">
        <v>3540</v>
      </c>
      <c r="I5" s="3537" t="s">
        <v>3541</v>
      </c>
      <c r="J5" s="3527"/>
    </row>
    <row r="6" spans="1:10" ht="25.5">
      <c r="A6" s="3532" t="s">
        <v>3532</v>
      </c>
      <c r="B6" s="3533"/>
      <c r="C6" s="3534" t="s">
        <v>3543</v>
      </c>
      <c r="D6" s="3535">
        <v>86.32</v>
      </c>
      <c r="E6" s="3532" t="s">
        <v>3534</v>
      </c>
      <c r="F6" s="3532" t="s">
        <v>673</v>
      </c>
      <c r="G6" s="3538" t="s">
        <v>3544</v>
      </c>
      <c r="H6" s="3532" t="s">
        <v>3545</v>
      </c>
      <c r="I6" s="3537" t="s">
        <v>3537</v>
      </c>
      <c r="J6" s="3527"/>
    </row>
    <row r="7" spans="1:10" ht="25.5">
      <c r="A7" s="3532" t="s">
        <v>3532</v>
      </c>
      <c r="B7" s="3533"/>
      <c r="C7" s="3534" t="s">
        <v>3546</v>
      </c>
      <c r="D7" s="3535">
        <v>140.63999999999999</v>
      </c>
      <c r="E7" s="3532" t="s">
        <v>3534</v>
      </c>
      <c r="F7" s="3532" t="s">
        <v>673</v>
      </c>
      <c r="G7" s="3538" t="s">
        <v>3544</v>
      </c>
      <c r="H7" s="3532" t="s">
        <v>3545</v>
      </c>
      <c r="I7" s="3537" t="s">
        <v>3537</v>
      </c>
      <c r="J7" s="3527"/>
    </row>
    <row r="8" spans="1:10" ht="25.5">
      <c r="A8" s="3532" t="s">
        <v>3532</v>
      </c>
      <c r="B8" s="3533"/>
      <c r="C8" s="3534" t="s">
        <v>3547</v>
      </c>
      <c r="D8" s="3535">
        <v>204.02</v>
      </c>
      <c r="E8" s="3532" t="s">
        <v>3534</v>
      </c>
      <c r="F8" s="3532" t="s">
        <v>673</v>
      </c>
      <c r="G8" s="3538" t="s">
        <v>3544</v>
      </c>
      <c r="H8" s="3537" t="s">
        <v>3548</v>
      </c>
      <c r="I8" s="3537" t="s">
        <v>3549</v>
      </c>
      <c r="J8" s="3527"/>
    </row>
    <row r="9" spans="1:10" ht="25.5">
      <c r="A9" s="3532" t="s">
        <v>3532</v>
      </c>
      <c r="B9" s="3533"/>
      <c r="C9" s="3534" t="s">
        <v>3550</v>
      </c>
      <c r="D9" s="3535">
        <v>141.54</v>
      </c>
      <c r="E9" s="3532" t="s">
        <v>3534</v>
      </c>
      <c r="F9" s="3532" t="s">
        <v>673</v>
      </c>
      <c r="G9" s="3538" t="s">
        <v>3544</v>
      </c>
      <c r="H9" s="3537" t="s">
        <v>3548</v>
      </c>
      <c r="I9" s="3537" t="s">
        <v>3549</v>
      </c>
      <c r="J9" s="3527"/>
    </row>
    <row r="10" spans="1:10" ht="25.5">
      <c r="A10" s="3532" t="s">
        <v>3532</v>
      </c>
      <c r="B10" s="3533"/>
      <c r="C10" s="3534" t="s">
        <v>3551</v>
      </c>
      <c r="D10" s="3535">
        <v>141.54</v>
      </c>
      <c r="E10" s="3532" t="s">
        <v>3534</v>
      </c>
      <c r="F10" s="3532" t="s">
        <v>673</v>
      </c>
      <c r="G10" s="3538" t="s">
        <v>3544</v>
      </c>
      <c r="H10" s="3537" t="s">
        <v>3548</v>
      </c>
      <c r="I10" s="3537" t="s">
        <v>3549</v>
      </c>
      <c r="J10" s="3527"/>
    </row>
    <row r="11" spans="1:10" ht="25.5">
      <c r="A11" s="3532" t="s">
        <v>3532</v>
      </c>
      <c r="B11" s="3533"/>
      <c r="C11" s="3534" t="s">
        <v>3552</v>
      </c>
      <c r="D11" s="3535">
        <v>135.28</v>
      </c>
      <c r="E11" s="3532" t="s">
        <v>3534</v>
      </c>
      <c r="F11" s="3532" t="s">
        <v>673</v>
      </c>
      <c r="G11" s="3538" t="s">
        <v>3544</v>
      </c>
      <c r="H11" s="3537" t="s">
        <v>3548</v>
      </c>
      <c r="I11" s="3537" t="s">
        <v>3549</v>
      </c>
      <c r="J11" s="3527"/>
    </row>
    <row r="12" spans="1:10" ht="25.5">
      <c r="A12" s="3532" t="s">
        <v>3532</v>
      </c>
      <c r="B12" s="3533"/>
      <c r="C12" s="3534" t="s">
        <v>3553</v>
      </c>
      <c r="D12" s="3535">
        <v>203.98</v>
      </c>
      <c r="E12" s="3532" t="s">
        <v>3534</v>
      </c>
      <c r="F12" s="3532" t="s">
        <v>673</v>
      </c>
      <c r="G12" s="3538" t="s">
        <v>3544</v>
      </c>
      <c r="H12" s="3537" t="s">
        <v>3548</v>
      </c>
      <c r="I12" s="3537" t="s">
        <v>3549</v>
      </c>
      <c r="J12" s="3527"/>
    </row>
    <row r="13" spans="1:10" ht="51">
      <c r="A13" s="3532" t="s">
        <v>3554</v>
      </c>
      <c r="B13" s="3532" t="s">
        <v>3555</v>
      </c>
      <c r="C13" s="3539" t="s">
        <v>3546</v>
      </c>
      <c r="D13" s="3540">
        <v>193.6</v>
      </c>
      <c r="E13" s="3532" t="s">
        <v>3534</v>
      </c>
      <c r="F13" s="3532" t="s">
        <v>673</v>
      </c>
      <c r="G13" s="3536" t="s">
        <v>3556</v>
      </c>
      <c r="H13" s="3532" t="s">
        <v>3557</v>
      </c>
      <c r="I13" s="3537" t="s">
        <v>3558</v>
      </c>
      <c r="J13" s="3527"/>
    </row>
    <row r="14" spans="1:10" ht="27">
      <c r="A14" s="3532" t="s">
        <v>3554</v>
      </c>
      <c r="B14" s="3532" t="s">
        <v>3555</v>
      </c>
      <c r="C14" s="3539" t="s">
        <v>3559</v>
      </c>
      <c r="D14" s="3540">
        <v>165.67</v>
      </c>
      <c r="E14" s="3532" t="s">
        <v>3534</v>
      </c>
      <c r="F14" s="3532" t="s">
        <v>673</v>
      </c>
      <c r="G14" s="3536" t="s">
        <v>3560</v>
      </c>
      <c r="H14" s="3532" t="s">
        <v>3561</v>
      </c>
      <c r="I14" s="3537" t="s">
        <v>3537</v>
      </c>
      <c r="J14" s="3527"/>
    </row>
    <row r="15" spans="1:10" ht="27">
      <c r="A15" s="3532" t="s">
        <v>3554</v>
      </c>
      <c r="B15" s="3532" t="s">
        <v>3555</v>
      </c>
      <c r="C15" s="3539" t="s">
        <v>3562</v>
      </c>
      <c r="D15" s="3540">
        <v>110.54</v>
      </c>
      <c r="E15" s="3532" t="s">
        <v>3534</v>
      </c>
      <c r="F15" s="3532" t="s">
        <v>673</v>
      </c>
      <c r="G15" s="3536" t="s">
        <v>3563</v>
      </c>
      <c r="H15" s="3532" t="s">
        <v>3564</v>
      </c>
      <c r="I15" s="3537" t="s">
        <v>3537</v>
      </c>
      <c r="J15" s="3527"/>
    </row>
    <row r="16" spans="1:10" ht="27">
      <c r="A16" s="3532" t="s">
        <v>3554</v>
      </c>
      <c r="B16" s="3532" t="s">
        <v>3555</v>
      </c>
      <c r="C16" s="3539" t="s">
        <v>3565</v>
      </c>
      <c r="D16" s="3540">
        <v>56.23</v>
      </c>
      <c r="E16" s="3532" t="s">
        <v>3534</v>
      </c>
      <c r="F16" s="3532" t="s">
        <v>673</v>
      </c>
      <c r="G16" s="3536" t="s">
        <v>3566</v>
      </c>
      <c r="H16" s="3532"/>
      <c r="I16" s="3541"/>
      <c r="J16" s="3527"/>
    </row>
    <row r="17" spans="1:10" ht="25.5">
      <c r="A17" s="3532" t="s">
        <v>3554</v>
      </c>
      <c r="B17" s="3532" t="s">
        <v>3555</v>
      </c>
      <c r="C17" s="3539" t="s">
        <v>3567</v>
      </c>
      <c r="D17" s="3540">
        <v>53.16</v>
      </c>
      <c r="E17" s="3532" t="s">
        <v>3534</v>
      </c>
      <c r="F17" s="3532" t="s">
        <v>673</v>
      </c>
      <c r="G17" s="3538" t="s">
        <v>3568</v>
      </c>
      <c r="H17" s="3537" t="s">
        <v>3569</v>
      </c>
      <c r="I17" s="3537" t="s">
        <v>3537</v>
      </c>
      <c r="J17" s="3527"/>
    </row>
    <row r="18" spans="1:10" ht="25.5">
      <c r="A18" s="3532" t="s">
        <v>3554</v>
      </c>
      <c r="B18" s="3532" t="s">
        <v>3555</v>
      </c>
      <c r="C18" s="3539" t="s">
        <v>3547</v>
      </c>
      <c r="D18" s="3540">
        <v>139.78</v>
      </c>
      <c r="E18" s="3532" t="s">
        <v>3534</v>
      </c>
      <c r="F18" s="3532" t="s">
        <v>673</v>
      </c>
      <c r="G18" s="3538" t="s">
        <v>3570</v>
      </c>
      <c r="H18" s="3537" t="s">
        <v>3571</v>
      </c>
      <c r="I18" s="3537" t="s">
        <v>3572</v>
      </c>
      <c r="J18" s="3527"/>
    </row>
    <row r="19" spans="1:10" ht="25.5">
      <c r="A19" s="3532" t="s">
        <v>3554</v>
      </c>
      <c r="B19" s="3532" t="s">
        <v>3555</v>
      </c>
      <c r="C19" s="3539" t="s">
        <v>3550</v>
      </c>
      <c r="D19" s="3540">
        <v>115.64</v>
      </c>
      <c r="E19" s="3532" t="s">
        <v>3534</v>
      </c>
      <c r="F19" s="3532" t="s">
        <v>673</v>
      </c>
      <c r="G19" s="3538" t="s">
        <v>3570</v>
      </c>
      <c r="H19" s="3537" t="s">
        <v>3571</v>
      </c>
      <c r="I19" s="3537" t="s">
        <v>3572</v>
      </c>
      <c r="J19" s="3527"/>
    </row>
    <row r="20" spans="1:10" ht="25.5">
      <c r="A20" s="3532" t="s">
        <v>3554</v>
      </c>
      <c r="B20" s="3532" t="s">
        <v>3555</v>
      </c>
      <c r="C20" s="3539" t="s">
        <v>3551</v>
      </c>
      <c r="D20" s="3540">
        <v>120.66</v>
      </c>
      <c r="E20" s="3532" t="s">
        <v>3534</v>
      </c>
      <c r="F20" s="3532" t="s">
        <v>673</v>
      </c>
      <c r="G20" s="3538" t="s">
        <v>3570</v>
      </c>
      <c r="H20" s="3537" t="s">
        <v>3571</v>
      </c>
      <c r="I20" s="3537" t="s">
        <v>3572</v>
      </c>
      <c r="J20" s="3527"/>
    </row>
    <row r="21" spans="1:10" ht="25.5">
      <c r="A21" s="3532" t="s">
        <v>3554</v>
      </c>
      <c r="B21" s="3532" t="s">
        <v>3555</v>
      </c>
      <c r="C21" s="3539" t="s">
        <v>3552</v>
      </c>
      <c r="D21" s="3540">
        <v>147.16</v>
      </c>
      <c r="E21" s="3532" t="s">
        <v>3534</v>
      </c>
      <c r="F21" s="3532" t="s">
        <v>673</v>
      </c>
      <c r="G21" s="3538" t="s">
        <v>3570</v>
      </c>
      <c r="H21" s="3537" t="s">
        <v>3571</v>
      </c>
      <c r="I21" s="3537" t="s">
        <v>3572</v>
      </c>
      <c r="J21" s="3527"/>
    </row>
    <row r="22" spans="1:10" ht="25.5">
      <c r="A22" s="3532" t="s">
        <v>3554</v>
      </c>
      <c r="B22" s="3532" t="s">
        <v>3555</v>
      </c>
      <c r="C22" s="3539" t="s">
        <v>3553</v>
      </c>
      <c r="D22" s="3540">
        <v>48.26</v>
      </c>
      <c r="E22" s="3532" t="s">
        <v>3534</v>
      </c>
      <c r="F22" s="3532" t="s">
        <v>673</v>
      </c>
      <c r="G22" s="3538" t="s">
        <v>3570</v>
      </c>
      <c r="H22" s="3537" t="s">
        <v>3571</v>
      </c>
      <c r="I22" s="3537" t="s">
        <v>3572</v>
      </c>
      <c r="J22" s="3527"/>
    </row>
    <row r="23" spans="1:10" ht="25.5">
      <c r="A23" s="3532" t="s">
        <v>3554</v>
      </c>
      <c r="B23" s="3532" t="s">
        <v>3555</v>
      </c>
      <c r="C23" s="3539" t="s">
        <v>3573</v>
      </c>
      <c r="D23" s="3540">
        <v>283.54000000000002</v>
      </c>
      <c r="E23" s="3532" t="s">
        <v>3534</v>
      </c>
      <c r="F23" s="3532" t="s">
        <v>673</v>
      </c>
      <c r="G23" s="3538" t="s">
        <v>3570</v>
      </c>
      <c r="H23" s="3537" t="s">
        <v>3571</v>
      </c>
      <c r="I23" s="3537" t="s">
        <v>3572</v>
      </c>
      <c r="J23" s="3527"/>
    </row>
    <row r="24" spans="1:10" ht="25.5">
      <c r="A24" s="3532" t="s">
        <v>3554</v>
      </c>
      <c r="B24" s="3532" t="s">
        <v>3555</v>
      </c>
      <c r="C24" s="3539" t="s">
        <v>3574</v>
      </c>
      <c r="D24" s="3540">
        <v>232.75</v>
      </c>
      <c r="E24" s="3532" t="s">
        <v>3534</v>
      </c>
      <c r="F24" s="3532" t="s">
        <v>673</v>
      </c>
      <c r="G24" s="3538" t="s">
        <v>3570</v>
      </c>
      <c r="H24" s="3537" t="s">
        <v>3571</v>
      </c>
      <c r="I24" s="3537" t="s">
        <v>3572</v>
      </c>
      <c r="J24" s="3527"/>
    </row>
    <row r="25" spans="1:10" ht="25.5">
      <c r="A25" s="3532" t="s">
        <v>3554</v>
      </c>
      <c r="B25" s="3532" t="s">
        <v>3555</v>
      </c>
      <c r="C25" s="3539" t="s">
        <v>3575</v>
      </c>
      <c r="D25" s="3540">
        <v>158.69999999999999</v>
      </c>
      <c r="E25" s="3532" t="s">
        <v>3534</v>
      </c>
      <c r="F25" s="3532" t="s">
        <v>673</v>
      </c>
      <c r="G25" s="3538" t="s">
        <v>3570</v>
      </c>
      <c r="H25" s="3537" t="s">
        <v>3571</v>
      </c>
      <c r="I25" s="3537" t="s">
        <v>3572</v>
      </c>
      <c r="J25" s="3527"/>
    </row>
    <row r="26" spans="1:10" ht="25.5">
      <c r="A26" s="3532" t="s">
        <v>3554</v>
      </c>
      <c r="B26" s="3532" t="s">
        <v>3555</v>
      </c>
      <c r="C26" s="3534" t="s">
        <v>3576</v>
      </c>
      <c r="D26" s="3535">
        <v>229.11</v>
      </c>
      <c r="E26" s="3532" t="s">
        <v>3534</v>
      </c>
      <c r="F26" s="3532" t="s">
        <v>21</v>
      </c>
      <c r="G26" s="3538" t="s">
        <v>3577</v>
      </c>
      <c r="H26" s="3537" t="s">
        <v>3578</v>
      </c>
      <c r="I26" s="3537" t="s">
        <v>3579</v>
      </c>
      <c r="J26" s="3527"/>
    </row>
    <row r="27" spans="1:10" ht="25.5">
      <c r="A27" s="3532" t="s">
        <v>3554</v>
      </c>
      <c r="B27" s="3532" t="s">
        <v>3555</v>
      </c>
      <c r="C27" s="3534" t="s">
        <v>3580</v>
      </c>
      <c r="D27" s="3535">
        <v>112.7</v>
      </c>
      <c r="E27" s="3532" t="s">
        <v>3534</v>
      </c>
      <c r="F27" s="3532" t="s">
        <v>21</v>
      </c>
      <c r="G27" s="3538" t="s">
        <v>3577</v>
      </c>
      <c r="H27" s="3537" t="s">
        <v>3578</v>
      </c>
      <c r="I27" s="3537" t="s">
        <v>3579</v>
      </c>
      <c r="J27" s="3527"/>
    </row>
    <row r="28" spans="1:10" ht="25.5">
      <c r="A28" s="3532" t="s">
        <v>3554</v>
      </c>
      <c r="B28" s="3532" t="s">
        <v>3555</v>
      </c>
      <c r="C28" s="3534" t="s">
        <v>3581</v>
      </c>
      <c r="D28" s="3535">
        <v>117.06</v>
      </c>
      <c r="E28" s="3532" t="s">
        <v>3534</v>
      </c>
      <c r="F28" s="3532" t="s">
        <v>21</v>
      </c>
      <c r="G28" s="3538" t="s">
        <v>3577</v>
      </c>
      <c r="H28" s="3537" t="s">
        <v>3578</v>
      </c>
      <c r="I28" s="3537" t="s">
        <v>3579</v>
      </c>
      <c r="J28" s="3527"/>
    </row>
    <row r="29" spans="1:10" ht="25.5">
      <c r="A29" s="3532" t="s">
        <v>3554</v>
      </c>
      <c r="B29" s="3532" t="s">
        <v>3555</v>
      </c>
      <c r="C29" s="3534" t="s">
        <v>3582</v>
      </c>
      <c r="D29" s="3535">
        <v>117.06</v>
      </c>
      <c r="E29" s="3532" t="s">
        <v>3534</v>
      </c>
      <c r="F29" s="3532" t="s">
        <v>21</v>
      </c>
      <c r="G29" s="3538" t="s">
        <v>3577</v>
      </c>
      <c r="H29" s="3537" t="s">
        <v>3578</v>
      </c>
      <c r="I29" s="3537" t="s">
        <v>3579</v>
      </c>
      <c r="J29" s="3527"/>
    </row>
    <row r="30" spans="1:10" ht="25.5">
      <c r="A30" s="3532" t="s">
        <v>3554</v>
      </c>
      <c r="B30" s="3532" t="s">
        <v>3555</v>
      </c>
      <c r="C30" s="3534" t="s">
        <v>3583</v>
      </c>
      <c r="D30" s="3535">
        <v>148.97999999999999</v>
      </c>
      <c r="E30" s="3532" t="s">
        <v>3534</v>
      </c>
      <c r="F30" s="3532" t="s">
        <v>21</v>
      </c>
      <c r="G30" s="3538" t="s">
        <v>3577</v>
      </c>
      <c r="H30" s="3537" t="s">
        <v>3578</v>
      </c>
      <c r="I30" s="3537" t="s">
        <v>3579</v>
      </c>
      <c r="J30" s="3527"/>
    </row>
    <row r="31" spans="1:10" ht="25.5">
      <c r="A31" s="3532" t="s">
        <v>3554</v>
      </c>
      <c r="B31" s="3532" t="s">
        <v>3555</v>
      </c>
      <c r="C31" s="3534" t="s">
        <v>3584</v>
      </c>
      <c r="D31" s="3535">
        <v>342.27</v>
      </c>
      <c r="E31" s="3532" t="s">
        <v>3534</v>
      </c>
      <c r="F31" s="3532" t="s">
        <v>21</v>
      </c>
      <c r="G31" s="3538" t="s">
        <v>3577</v>
      </c>
      <c r="H31" s="3537" t="s">
        <v>3578</v>
      </c>
      <c r="I31" s="3537" t="s">
        <v>3579</v>
      </c>
      <c r="J31" s="3527"/>
    </row>
    <row r="32" spans="1:10" ht="25.5">
      <c r="A32" s="3532" t="s">
        <v>3554</v>
      </c>
      <c r="B32" s="3532" t="s">
        <v>3555</v>
      </c>
      <c r="C32" s="3534" t="s">
        <v>3585</v>
      </c>
      <c r="D32" s="3535">
        <v>822.7</v>
      </c>
      <c r="E32" s="3532" t="s">
        <v>3534</v>
      </c>
      <c r="F32" s="3532" t="s">
        <v>21</v>
      </c>
      <c r="G32" s="3538" t="s">
        <v>3586</v>
      </c>
      <c r="H32" s="3537" t="s">
        <v>3587</v>
      </c>
      <c r="I32" s="3537" t="s">
        <v>3588</v>
      </c>
      <c r="J32" s="3527"/>
    </row>
    <row r="33" spans="1:10" ht="27">
      <c r="A33" s="3532" t="s">
        <v>3554</v>
      </c>
      <c r="B33" s="3532" t="s">
        <v>3555</v>
      </c>
      <c r="C33" s="3534" t="s">
        <v>3589</v>
      </c>
      <c r="D33" s="3535">
        <v>93.63</v>
      </c>
      <c r="E33" s="3532" t="s">
        <v>3534</v>
      </c>
      <c r="F33" s="3532" t="s">
        <v>21</v>
      </c>
      <c r="G33" s="3542" t="s">
        <v>3590</v>
      </c>
      <c r="H33" s="3537" t="s">
        <v>3578</v>
      </c>
      <c r="I33" s="3537" t="s">
        <v>3591</v>
      </c>
      <c r="J33" s="3527"/>
    </row>
    <row r="34" spans="1:10" ht="27">
      <c r="A34" s="3532" t="s">
        <v>3554</v>
      </c>
      <c r="B34" s="3532" t="s">
        <v>3555</v>
      </c>
      <c r="C34" s="3534" t="s">
        <v>3592</v>
      </c>
      <c r="D34" s="3535">
        <v>203.65</v>
      </c>
      <c r="E34" s="3532" t="s">
        <v>3534</v>
      </c>
      <c r="F34" s="3532" t="s">
        <v>21</v>
      </c>
      <c r="G34" s="3542" t="s">
        <v>3593</v>
      </c>
      <c r="H34" s="3537" t="s">
        <v>3578</v>
      </c>
      <c r="I34" s="3537" t="s">
        <v>3591</v>
      </c>
      <c r="J34" s="3527"/>
    </row>
    <row r="35" spans="1:10" ht="25.5">
      <c r="A35" s="3532" t="s">
        <v>3554</v>
      </c>
      <c r="B35" s="3532" t="s">
        <v>3555</v>
      </c>
      <c r="C35" s="3534" t="s">
        <v>3594</v>
      </c>
      <c r="D35" s="3535">
        <v>156.6</v>
      </c>
      <c r="E35" s="3532" t="s">
        <v>3534</v>
      </c>
      <c r="F35" s="3532" t="s">
        <v>21</v>
      </c>
      <c r="G35" s="3538" t="s">
        <v>3577</v>
      </c>
      <c r="H35" s="3537" t="s">
        <v>3578</v>
      </c>
      <c r="I35" s="3537" t="s">
        <v>3579</v>
      </c>
      <c r="J35" s="3527"/>
    </row>
    <row r="36" spans="1:10" ht="25.5">
      <c r="A36" s="3532" t="s">
        <v>3554</v>
      </c>
      <c r="B36" s="3532" t="s">
        <v>3555</v>
      </c>
      <c r="C36" s="3534" t="s">
        <v>3595</v>
      </c>
      <c r="D36" s="3535">
        <v>108.54</v>
      </c>
      <c r="E36" s="3532" t="s">
        <v>3534</v>
      </c>
      <c r="F36" s="3532" t="s">
        <v>21</v>
      </c>
      <c r="G36" s="3538" t="s">
        <v>3577</v>
      </c>
      <c r="H36" s="3537" t="s">
        <v>3578</v>
      </c>
      <c r="I36" s="3537" t="s">
        <v>3579</v>
      </c>
      <c r="J36" s="3527"/>
    </row>
    <row r="37" spans="1:10" ht="25.5">
      <c r="A37" s="3532" t="s">
        <v>3554</v>
      </c>
      <c r="B37" s="3532" t="s">
        <v>3555</v>
      </c>
      <c r="C37" s="3534" t="s">
        <v>3596</v>
      </c>
      <c r="D37" s="3535">
        <v>121.64</v>
      </c>
      <c r="E37" s="3532" t="s">
        <v>3534</v>
      </c>
      <c r="F37" s="3532" t="s">
        <v>21</v>
      </c>
      <c r="G37" s="3538" t="s">
        <v>3577</v>
      </c>
      <c r="H37" s="3537" t="s">
        <v>3578</v>
      </c>
      <c r="I37" s="3537" t="s">
        <v>3579</v>
      </c>
      <c r="J37" s="3527"/>
    </row>
    <row r="38" spans="1:10" ht="25.5">
      <c r="A38" s="3532" t="s">
        <v>3554</v>
      </c>
      <c r="B38" s="3532" t="s">
        <v>3555</v>
      </c>
      <c r="C38" s="3534" t="s">
        <v>3597</v>
      </c>
      <c r="D38" s="3535">
        <v>117.06</v>
      </c>
      <c r="E38" s="3532" t="s">
        <v>3534</v>
      </c>
      <c r="F38" s="3532" t="s">
        <v>21</v>
      </c>
      <c r="G38" s="3538" t="s">
        <v>3577</v>
      </c>
      <c r="H38" s="3537" t="s">
        <v>3578</v>
      </c>
      <c r="I38" s="3537" t="s">
        <v>3579</v>
      </c>
      <c r="J38" s="3527"/>
    </row>
    <row r="39" spans="1:10" ht="25.5">
      <c r="A39" s="3532" t="s">
        <v>3554</v>
      </c>
      <c r="B39" s="3532" t="s">
        <v>3555</v>
      </c>
      <c r="C39" s="3534" t="s">
        <v>3598</v>
      </c>
      <c r="D39" s="3535">
        <v>156.6</v>
      </c>
      <c r="E39" s="3532" t="s">
        <v>3534</v>
      </c>
      <c r="F39" s="3532" t="s">
        <v>21</v>
      </c>
      <c r="G39" s="3538" t="s">
        <v>3577</v>
      </c>
      <c r="H39" s="3537" t="s">
        <v>3578</v>
      </c>
      <c r="I39" s="3537" t="s">
        <v>3579</v>
      </c>
      <c r="J39" s="3527"/>
    </row>
    <row r="40" spans="1:10" ht="25.5">
      <c r="A40" s="3532" t="s">
        <v>3554</v>
      </c>
      <c r="B40" s="3532" t="s">
        <v>3555</v>
      </c>
      <c r="C40" s="3534" t="s">
        <v>3599</v>
      </c>
      <c r="D40" s="3535">
        <v>73.28</v>
      </c>
      <c r="E40" s="3532" t="s">
        <v>3534</v>
      </c>
      <c r="F40" s="3532" t="s">
        <v>21</v>
      </c>
      <c r="G40" s="3538" t="s">
        <v>3577</v>
      </c>
      <c r="H40" s="3537" t="s">
        <v>3578</v>
      </c>
      <c r="I40" s="3537" t="s">
        <v>3579</v>
      </c>
      <c r="J40" s="3527"/>
    </row>
    <row r="41" spans="1:10" ht="25.5">
      <c r="A41" s="3532" t="s">
        <v>3554</v>
      </c>
      <c r="B41" s="3532" t="s">
        <v>3555</v>
      </c>
      <c r="C41" s="3534" t="s">
        <v>3600</v>
      </c>
      <c r="D41" s="3535">
        <v>164.59</v>
      </c>
      <c r="E41" s="3532" t="s">
        <v>3534</v>
      </c>
      <c r="F41" s="3532" t="s">
        <v>21</v>
      </c>
      <c r="G41" s="3538" t="s">
        <v>3577</v>
      </c>
      <c r="H41" s="3537" t="s">
        <v>3578</v>
      </c>
      <c r="I41" s="3537" t="s">
        <v>3579</v>
      </c>
      <c r="J41" s="3527"/>
    </row>
    <row r="42" spans="1:10" ht="25.5">
      <c r="A42" s="3532" t="s">
        <v>3554</v>
      </c>
      <c r="B42" s="3532" t="s">
        <v>3555</v>
      </c>
      <c r="C42" s="3534" t="s">
        <v>3601</v>
      </c>
      <c r="D42" s="3535">
        <v>117.26</v>
      </c>
      <c r="E42" s="3532" t="s">
        <v>3534</v>
      </c>
      <c r="F42" s="3532" t="s">
        <v>21</v>
      </c>
      <c r="G42" s="3538" t="s">
        <v>3577</v>
      </c>
      <c r="H42" s="3537" t="s">
        <v>3578</v>
      </c>
      <c r="I42" s="3537" t="s">
        <v>3579</v>
      </c>
      <c r="J42" s="3527"/>
    </row>
    <row r="43" spans="1:10" ht="25.5">
      <c r="A43" s="3532" t="s">
        <v>3554</v>
      </c>
      <c r="B43" s="3532" t="s">
        <v>3555</v>
      </c>
      <c r="C43" s="3534" t="s">
        <v>3602</v>
      </c>
      <c r="D43" s="3535">
        <v>156.80000000000001</v>
      </c>
      <c r="E43" s="3532" t="s">
        <v>3534</v>
      </c>
      <c r="F43" s="3532" t="s">
        <v>21</v>
      </c>
      <c r="G43" s="3538" t="s">
        <v>3577</v>
      </c>
      <c r="H43" s="3537" t="s">
        <v>3578</v>
      </c>
      <c r="I43" s="3537" t="s">
        <v>3579</v>
      </c>
      <c r="J43" s="3527"/>
    </row>
    <row r="44" spans="1:10" ht="25.5">
      <c r="A44" s="3532" t="s">
        <v>3554</v>
      </c>
      <c r="B44" s="3532" t="s">
        <v>3555</v>
      </c>
      <c r="C44" s="3534" t="s">
        <v>3603</v>
      </c>
      <c r="D44" s="3535">
        <v>72.33</v>
      </c>
      <c r="E44" s="3532" t="s">
        <v>3534</v>
      </c>
      <c r="F44" s="3532" t="s">
        <v>21</v>
      </c>
      <c r="G44" s="3538" t="s">
        <v>3577</v>
      </c>
      <c r="H44" s="3537" t="s">
        <v>3578</v>
      </c>
      <c r="I44" s="3537" t="s">
        <v>3579</v>
      </c>
      <c r="J44" s="3527"/>
    </row>
    <row r="45" spans="1:10" ht="25.5">
      <c r="A45" s="3532" t="s">
        <v>3554</v>
      </c>
      <c r="B45" s="3532" t="s">
        <v>3555</v>
      </c>
      <c r="C45" s="3534" t="s">
        <v>3604</v>
      </c>
      <c r="D45" s="3535">
        <v>164.62</v>
      </c>
      <c r="E45" s="3532" t="s">
        <v>3534</v>
      </c>
      <c r="F45" s="3532" t="s">
        <v>21</v>
      </c>
      <c r="G45" s="3538" t="s">
        <v>3577</v>
      </c>
      <c r="H45" s="3537" t="s">
        <v>3578</v>
      </c>
      <c r="I45" s="3537" t="s">
        <v>3579</v>
      </c>
      <c r="J45" s="3527"/>
    </row>
    <row r="46" spans="1:10" ht="25.5">
      <c r="A46" s="3532" t="s">
        <v>3554</v>
      </c>
      <c r="B46" s="3532" t="s">
        <v>3555</v>
      </c>
      <c r="C46" s="3534" t="s">
        <v>3605</v>
      </c>
      <c r="D46" s="3535">
        <v>113.1</v>
      </c>
      <c r="E46" s="3532" t="s">
        <v>3534</v>
      </c>
      <c r="F46" s="3532" t="s">
        <v>21</v>
      </c>
      <c r="G46" s="3538" t="s">
        <v>3577</v>
      </c>
      <c r="H46" s="3537" t="s">
        <v>3578</v>
      </c>
      <c r="I46" s="3537" t="s">
        <v>3579</v>
      </c>
      <c r="J46" s="3527"/>
    </row>
    <row r="47" spans="1:10" ht="25.5">
      <c r="A47" s="3532" t="s">
        <v>3554</v>
      </c>
      <c r="B47" s="3532" t="s">
        <v>3555</v>
      </c>
      <c r="C47" s="3534" t="s">
        <v>3606</v>
      </c>
      <c r="D47" s="3535">
        <v>117.26</v>
      </c>
      <c r="E47" s="3532" t="s">
        <v>3534</v>
      </c>
      <c r="F47" s="3532" t="s">
        <v>21</v>
      </c>
      <c r="G47" s="3538" t="s">
        <v>3577</v>
      </c>
      <c r="H47" s="3537" t="s">
        <v>3578</v>
      </c>
      <c r="I47" s="3537" t="s">
        <v>3579</v>
      </c>
      <c r="J47" s="3527"/>
    </row>
    <row r="48" spans="1:10" ht="25.5">
      <c r="A48" s="3532" t="s">
        <v>3554</v>
      </c>
      <c r="B48" s="3532" t="s">
        <v>3555</v>
      </c>
      <c r="C48" s="3534" t="s">
        <v>3607</v>
      </c>
      <c r="D48" s="3535">
        <v>117.6</v>
      </c>
      <c r="E48" s="3532" t="s">
        <v>3534</v>
      </c>
      <c r="F48" s="3532" t="s">
        <v>21</v>
      </c>
      <c r="G48" s="3538" t="s">
        <v>3577</v>
      </c>
      <c r="H48" s="3537" t="s">
        <v>3578</v>
      </c>
      <c r="I48" s="3537" t="s">
        <v>3579</v>
      </c>
      <c r="J48" s="3527"/>
    </row>
    <row r="49" spans="1:10" ht="25.5">
      <c r="A49" s="3532" t="s">
        <v>3554</v>
      </c>
      <c r="B49" s="3532" t="s">
        <v>3555</v>
      </c>
      <c r="C49" s="3534" t="s">
        <v>3608</v>
      </c>
      <c r="D49" s="3535">
        <v>164.62</v>
      </c>
      <c r="E49" s="3532" t="s">
        <v>3534</v>
      </c>
      <c r="F49" s="3532" t="s">
        <v>21</v>
      </c>
      <c r="G49" s="3538" t="s">
        <v>3577</v>
      </c>
      <c r="H49" s="3537" t="s">
        <v>3578</v>
      </c>
      <c r="I49" s="3537" t="s">
        <v>3579</v>
      </c>
      <c r="J49" s="3527"/>
    </row>
    <row r="50" spans="1:10" ht="25.5">
      <c r="A50" s="3532" t="s">
        <v>3554</v>
      </c>
      <c r="B50" s="3532" t="s">
        <v>3555</v>
      </c>
      <c r="C50" s="3534" t="s">
        <v>3609</v>
      </c>
      <c r="D50" s="3535">
        <v>262.47000000000003</v>
      </c>
      <c r="E50" s="3532" t="s">
        <v>3534</v>
      </c>
      <c r="F50" s="3532" t="s">
        <v>21</v>
      </c>
      <c r="G50" s="3538" t="s">
        <v>3577</v>
      </c>
      <c r="H50" s="3537" t="s">
        <v>3578</v>
      </c>
      <c r="I50" s="3537" t="s">
        <v>3579</v>
      </c>
      <c r="J50" s="3527"/>
    </row>
    <row r="51" spans="1:10" ht="25.5">
      <c r="A51" s="3532" t="s">
        <v>3554</v>
      </c>
      <c r="B51" s="3532" t="s">
        <v>3555</v>
      </c>
      <c r="C51" s="3534" t="s">
        <v>3610</v>
      </c>
      <c r="D51" s="3535">
        <v>113.05</v>
      </c>
      <c r="E51" s="3532" t="s">
        <v>3534</v>
      </c>
      <c r="F51" s="3532" t="s">
        <v>21</v>
      </c>
      <c r="G51" s="3538" t="s">
        <v>3577</v>
      </c>
      <c r="H51" s="3537" t="s">
        <v>3578</v>
      </c>
      <c r="I51" s="3537" t="s">
        <v>3579</v>
      </c>
      <c r="J51" s="3527"/>
    </row>
    <row r="52" spans="1:10" ht="25.5">
      <c r="A52" s="3532" t="s">
        <v>3554</v>
      </c>
      <c r="B52" s="3532" t="s">
        <v>3555</v>
      </c>
      <c r="C52" s="3534" t="s">
        <v>3611</v>
      </c>
      <c r="D52" s="3535">
        <v>117.06</v>
      </c>
      <c r="E52" s="3532" t="s">
        <v>3534</v>
      </c>
      <c r="F52" s="3532" t="s">
        <v>21</v>
      </c>
      <c r="G52" s="3538" t="s">
        <v>3577</v>
      </c>
      <c r="H52" s="3537" t="s">
        <v>3578</v>
      </c>
      <c r="I52" s="3537" t="s">
        <v>3579</v>
      </c>
      <c r="J52" s="3527"/>
    </row>
    <row r="53" spans="1:10" ht="25.5">
      <c r="A53" s="3532" t="s">
        <v>3554</v>
      </c>
      <c r="B53" s="3532" t="s">
        <v>3555</v>
      </c>
      <c r="C53" s="3534" t="s">
        <v>3612</v>
      </c>
      <c r="D53" s="3535">
        <v>117.39</v>
      </c>
      <c r="E53" s="3532" t="s">
        <v>3534</v>
      </c>
      <c r="F53" s="3532" t="s">
        <v>21</v>
      </c>
      <c r="G53" s="3538" t="s">
        <v>3577</v>
      </c>
      <c r="H53" s="3537" t="s">
        <v>3578</v>
      </c>
      <c r="I53" s="3537" t="s">
        <v>3579</v>
      </c>
      <c r="J53" s="3527"/>
    </row>
    <row r="54" spans="1:10" ht="25.5">
      <c r="A54" s="3532" t="s">
        <v>3554</v>
      </c>
      <c r="B54" s="3532" t="s">
        <v>3555</v>
      </c>
      <c r="C54" s="3534" t="s">
        <v>3613</v>
      </c>
      <c r="D54" s="3535">
        <v>262.47000000000003</v>
      </c>
      <c r="E54" s="3532" t="s">
        <v>3534</v>
      </c>
      <c r="F54" s="3532" t="s">
        <v>21</v>
      </c>
      <c r="G54" s="3538" t="s">
        <v>3577</v>
      </c>
      <c r="H54" s="3537" t="s">
        <v>3578</v>
      </c>
      <c r="I54" s="3537" t="s">
        <v>3579</v>
      </c>
      <c r="J54" s="3527"/>
    </row>
    <row r="55" spans="1:10" ht="25.5">
      <c r="A55" s="3532" t="s">
        <v>3554</v>
      </c>
      <c r="B55" s="3532" t="s">
        <v>3555</v>
      </c>
      <c r="C55" s="3534" t="s">
        <v>3614</v>
      </c>
      <c r="D55" s="3535">
        <v>164.62</v>
      </c>
      <c r="E55" s="3532" t="s">
        <v>3534</v>
      </c>
      <c r="F55" s="3532" t="s">
        <v>21</v>
      </c>
      <c r="G55" s="3538" t="s">
        <v>3577</v>
      </c>
      <c r="H55" s="3537" t="s">
        <v>3578</v>
      </c>
      <c r="I55" s="3537" t="s">
        <v>3579</v>
      </c>
      <c r="J55" s="3527"/>
    </row>
    <row r="56" spans="1:10" ht="25.5">
      <c r="A56" s="3532" t="s">
        <v>3554</v>
      </c>
      <c r="B56" s="3532" t="s">
        <v>3555</v>
      </c>
      <c r="C56" s="3534" t="s">
        <v>3615</v>
      </c>
      <c r="D56" s="3535">
        <v>113.1</v>
      </c>
      <c r="E56" s="3532" t="s">
        <v>3534</v>
      </c>
      <c r="F56" s="3532" t="s">
        <v>21</v>
      </c>
      <c r="G56" s="3538" t="s">
        <v>3577</v>
      </c>
      <c r="H56" s="3537" t="s">
        <v>3578</v>
      </c>
      <c r="I56" s="3537" t="s">
        <v>3579</v>
      </c>
      <c r="J56" s="3527"/>
    </row>
    <row r="57" spans="1:10" ht="25.5">
      <c r="A57" s="3532" t="s">
        <v>3554</v>
      </c>
      <c r="B57" s="3532" t="s">
        <v>3555</v>
      </c>
      <c r="C57" s="3534" t="s">
        <v>3616</v>
      </c>
      <c r="D57" s="3535">
        <v>117.26</v>
      </c>
      <c r="E57" s="3532" t="s">
        <v>3534</v>
      </c>
      <c r="F57" s="3532" t="s">
        <v>21</v>
      </c>
      <c r="G57" s="3538" t="s">
        <v>3577</v>
      </c>
      <c r="H57" s="3537" t="s">
        <v>3578</v>
      </c>
      <c r="I57" s="3537" t="s">
        <v>3579</v>
      </c>
      <c r="J57" s="3527"/>
    </row>
    <row r="58" spans="1:10" ht="25.5">
      <c r="A58" s="3532" t="s">
        <v>3554</v>
      </c>
      <c r="B58" s="3532" t="s">
        <v>3555</v>
      </c>
      <c r="C58" s="3534" t="s">
        <v>3617</v>
      </c>
      <c r="D58" s="3535">
        <v>117.6</v>
      </c>
      <c r="E58" s="3532" t="s">
        <v>3534</v>
      </c>
      <c r="F58" s="3532" t="s">
        <v>21</v>
      </c>
      <c r="G58" s="3538" t="s">
        <v>3577</v>
      </c>
      <c r="H58" s="3537" t="s">
        <v>3578</v>
      </c>
      <c r="I58" s="3537" t="s">
        <v>3579</v>
      </c>
      <c r="J58" s="3527"/>
    </row>
    <row r="59" spans="1:10" ht="25.5">
      <c r="A59" s="3532" t="s">
        <v>3554</v>
      </c>
      <c r="B59" s="3532" t="s">
        <v>3555</v>
      </c>
      <c r="C59" s="3534" t="s">
        <v>3618</v>
      </c>
      <c r="D59" s="3535">
        <v>164.62</v>
      </c>
      <c r="E59" s="3532" t="s">
        <v>3534</v>
      </c>
      <c r="F59" s="3532" t="s">
        <v>21</v>
      </c>
      <c r="G59" s="3538" t="s">
        <v>3577</v>
      </c>
      <c r="H59" s="3537" t="s">
        <v>3578</v>
      </c>
      <c r="I59" s="3537" t="s">
        <v>3579</v>
      </c>
      <c r="J59" s="3527"/>
    </row>
    <row r="60" spans="1:10" ht="25.5">
      <c r="A60" s="3532" t="s">
        <v>3554</v>
      </c>
      <c r="B60" s="3532" t="s">
        <v>3555</v>
      </c>
      <c r="C60" s="3534" t="s">
        <v>3619</v>
      </c>
      <c r="D60" s="3535">
        <v>262.47000000000003</v>
      </c>
      <c r="E60" s="3532" t="s">
        <v>3534</v>
      </c>
      <c r="F60" s="3532" t="s">
        <v>21</v>
      </c>
      <c r="G60" s="3538" t="s">
        <v>3577</v>
      </c>
      <c r="H60" s="3537" t="s">
        <v>3578</v>
      </c>
      <c r="I60" s="3537" t="s">
        <v>3579</v>
      </c>
      <c r="J60" s="3527"/>
    </row>
    <row r="61" spans="1:10" ht="25.5">
      <c r="A61" s="3532" t="s">
        <v>3554</v>
      </c>
      <c r="B61" s="3532" t="s">
        <v>3555</v>
      </c>
      <c r="C61" s="3534" t="s">
        <v>3620</v>
      </c>
      <c r="D61" s="3535">
        <v>113.05</v>
      </c>
      <c r="E61" s="3532" t="s">
        <v>3534</v>
      </c>
      <c r="F61" s="3532" t="s">
        <v>21</v>
      </c>
      <c r="G61" s="3538" t="s">
        <v>3577</v>
      </c>
      <c r="H61" s="3537" t="s">
        <v>3578</v>
      </c>
      <c r="I61" s="3537" t="s">
        <v>3579</v>
      </c>
      <c r="J61" s="3527"/>
    </row>
    <row r="62" spans="1:10" ht="25.5">
      <c r="A62" s="3532" t="s">
        <v>3554</v>
      </c>
      <c r="B62" s="3532" t="s">
        <v>3555</v>
      </c>
      <c r="C62" s="3534" t="s">
        <v>3621</v>
      </c>
      <c r="D62" s="3535">
        <v>117.06</v>
      </c>
      <c r="E62" s="3532" t="s">
        <v>3534</v>
      </c>
      <c r="F62" s="3532" t="s">
        <v>21</v>
      </c>
      <c r="G62" s="3538" t="s">
        <v>3577</v>
      </c>
      <c r="H62" s="3537" t="s">
        <v>3578</v>
      </c>
      <c r="I62" s="3537" t="s">
        <v>3579</v>
      </c>
      <c r="J62" s="3527"/>
    </row>
    <row r="63" spans="1:10" ht="25.5">
      <c r="A63" s="3532" t="s">
        <v>3554</v>
      </c>
      <c r="B63" s="3532" t="s">
        <v>3555</v>
      </c>
      <c r="C63" s="3534" t="s">
        <v>3622</v>
      </c>
      <c r="D63" s="3535">
        <v>117.39</v>
      </c>
      <c r="E63" s="3532" t="s">
        <v>3534</v>
      </c>
      <c r="F63" s="3532" t="s">
        <v>21</v>
      </c>
      <c r="G63" s="3538" t="s">
        <v>3577</v>
      </c>
      <c r="H63" s="3537" t="s">
        <v>3578</v>
      </c>
      <c r="I63" s="3537" t="s">
        <v>3579</v>
      </c>
      <c r="J63" s="3527"/>
    </row>
    <row r="64" spans="1:10" ht="25.5">
      <c r="A64" s="3532" t="s">
        <v>3554</v>
      </c>
      <c r="B64" s="3532" t="s">
        <v>3555</v>
      </c>
      <c r="C64" s="3534" t="s">
        <v>3623</v>
      </c>
      <c r="D64" s="3535">
        <v>262.47000000000003</v>
      </c>
      <c r="E64" s="3532" t="s">
        <v>3534</v>
      </c>
      <c r="F64" s="3532" t="s">
        <v>21</v>
      </c>
      <c r="G64" s="3538" t="s">
        <v>3577</v>
      </c>
      <c r="H64" s="3537" t="s">
        <v>3578</v>
      </c>
      <c r="I64" s="3537" t="s">
        <v>3579</v>
      </c>
      <c r="J64" s="3527"/>
    </row>
    <row r="65" spans="1:10" ht="25.5">
      <c r="A65" s="3532" t="s">
        <v>3554</v>
      </c>
      <c r="B65" s="3532" t="s">
        <v>3555</v>
      </c>
      <c r="C65" s="3534" t="s">
        <v>3624</v>
      </c>
      <c r="D65" s="3535">
        <v>164.41</v>
      </c>
      <c r="E65" s="3532" t="s">
        <v>3534</v>
      </c>
      <c r="F65" s="3532" t="s">
        <v>21</v>
      </c>
      <c r="G65" s="3538" t="s">
        <v>3577</v>
      </c>
      <c r="H65" s="3537" t="s">
        <v>3578</v>
      </c>
      <c r="I65" s="3537" t="s">
        <v>3579</v>
      </c>
      <c r="J65" s="3527"/>
    </row>
    <row r="66" spans="1:10" ht="25.5">
      <c r="A66" s="3532" t="s">
        <v>3554</v>
      </c>
      <c r="B66" s="3532" t="s">
        <v>3555</v>
      </c>
      <c r="C66" s="3534" t="s">
        <v>3625</v>
      </c>
      <c r="D66" s="3535">
        <v>113.05</v>
      </c>
      <c r="E66" s="3532" t="s">
        <v>3534</v>
      </c>
      <c r="F66" s="3532" t="s">
        <v>21</v>
      </c>
      <c r="G66" s="3538" t="s">
        <v>3577</v>
      </c>
      <c r="H66" s="3537" t="s">
        <v>3578</v>
      </c>
      <c r="I66" s="3537" t="s">
        <v>3579</v>
      </c>
      <c r="J66" s="3527"/>
    </row>
    <row r="67" spans="1:10" ht="25.5">
      <c r="A67" s="3532" t="s">
        <v>3554</v>
      </c>
      <c r="B67" s="3532" t="s">
        <v>3555</v>
      </c>
      <c r="C67" s="3534" t="s">
        <v>3626</v>
      </c>
      <c r="D67" s="3535">
        <v>117.06</v>
      </c>
      <c r="E67" s="3532" t="s">
        <v>3534</v>
      </c>
      <c r="F67" s="3532" t="s">
        <v>21</v>
      </c>
      <c r="G67" s="3538" t="s">
        <v>3577</v>
      </c>
      <c r="H67" s="3537" t="s">
        <v>3578</v>
      </c>
      <c r="I67" s="3537" t="s">
        <v>3579</v>
      </c>
      <c r="J67" s="3527"/>
    </row>
    <row r="68" spans="1:10" ht="25.5">
      <c r="A68" s="3532" t="s">
        <v>3554</v>
      </c>
      <c r="B68" s="3532" t="s">
        <v>3555</v>
      </c>
      <c r="C68" s="3534" t="s">
        <v>3627</v>
      </c>
      <c r="D68" s="3535">
        <v>117.39</v>
      </c>
      <c r="E68" s="3532" t="s">
        <v>3534</v>
      </c>
      <c r="F68" s="3532" t="s">
        <v>21</v>
      </c>
      <c r="G68" s="3538" t="s">
        <v>3577</v>
      </c>
      <c r="H68" s="3537" t="s">
        <v>3578</v>
      </c>
      <c r="I68" s="3537" t="s">
        <v>3579</v>
      </c>
      <c r="J68" s="3527"/>
    </row>
    <row r="69" spans="1:10" ht="25.5">
      <c r="A69" s="3532" t="s">
        <v>3554</v>
      </c>
      <c r="B69" s="3532" t="s">
        <v>3555</v>
      </c>
      <c r="C69" s="3534" t="s">
        <v>3628</v>
      </c>
      <c r="D69" s="3535">
        <v>164.41</v>
      </c>
      <c r="E69" s="3532" t="s">
        <v>3534</v>
      </c>
      <c r="F69" s="3532" t="s">
        <v>21</v>
      </c>
      <c r="G69" s="3538" t="s">
        <v>3577</v>
      </c>
      <c r="H69" s="3537" t="s">
        <v>3578</v>
      </c>
      <c r="I69" s="3537" t="s">
        <v>3579</v>
      </c>
      <c r="J69" s="3527"/>
    </row>
    <row r="70" spans="1:10" ht="25.5">
      <c r="A70" s="3532" t="s">
        <v>3554</v>
      </c>
      <c r="B70" s="3532" t="s">
        <v>3555</v>
      </c>
      <c r="C70" s="3534" t="s">
        <v>3629</v>
      </c>
      <c r="D70" s="3535">
        <v>262.52999999999997</v>
      </c>
      <c r="E70" s="3532" t="s">
        <v>3534</v>
      </c>
      <c r="F70" s="3532" t="s">
        <v>21</v>
      </c>
      <c r="G70" s="3538" t="s">
        <v>3577</v>
      </c>
      <c r="H70" s="3537" t="s">
        <v>3578</v>
      </c>
      <c r="I70" s="3537" t="s">
        <v>3579</v>
      </c>
      <c r="J70" s="3527"/>
    </row>
    <row r="71" spans="1:10" ht="25.5">
      <c r="A71" s="3532" t="s">
        <v>3554</v>
      </c>
      <c r="B71" s="3532" t="s">
        <v>3555</v>
      </c>
      <c r="C71" s="3534" t="s">
        <v>3630</v>
      </c>
      <c r="D71" s="3535">
        <v>113.1</v>
      </c>
      <c r="E71" s="3532" t="s">
        <v>3534</v>
      </c>
      <c r="F71" s="3532" t="s">
        <v>21</v>
      </c>
      <c r="G71" s="3538" t="s">
        <v>3577</v>
      </c>
      <c r="H71" s="3537" t="s">
        <v>3578</v>
      </c>
      <c r="I71" s="3537" t="s">
        <v>3579</v>
      </c>
      <c r="J71" s="3527"/>
    </row>
    <row r="72" spans="1:10" ht="25.5">
      <c r="A72" s="3532" t="s">
        <v>3554</v>
      </c>
      <c r="B72" s="3532" t="s">
        <v>3555</v>
      </c>
      <c r="C72" s="3534" t="s">
        <v>3631</v>
      </c>
      <c r="D72" s="3535">
        <v>117.26</v>
      </c>
      <c r="E72" s="3532" t="s">
        <v>3534</v>
      </c>
      <c r="F72" s="3532" t="s">
        <v>21</v>
      </c>
      <c r="G72" s="3538" t="s">
        <v>3577</v>
      </c>
      <c r="H72" s="3537" t="s">
        <v>3578</v>
      </c>
      <c r="I72" s="3537" t="s">
        <v>3579</v>
      </c>
      <c r="J72" s="3527"/>
    </row>
    <row r="73" spans="1:10" ht="25.5">
      <c r="A73" s="3532" t="s">
        <v>3554</v>
      </c>
      <c r="B73" s="3532" t="s">
        <v>3555</v>
      </c>
      <c r="C73" s="3534" t="s">
        <v>3632</v>
      </c>
      <c r="D73" s="3535">
        <v>117.6</v>
      </c>
      <c r="E73" s="3532" t="s">
        <v>3534</v>
      </c>
      <c r="F73" s="3532" t="s">
        <v>21</v>
      </c>
      <c r="G73" s="3538" t="s">
        <v>3577</v>
      </c>
      <c r="H73" s="3537" t="s">
        <v>3578</v>
      </c>
      <c r="I73" s="3537" t="s">
        <v>3579</v>
      </c>
      <c r="J73" s="3527"/>
    </row>
    <row r="74" spans="1:10" ht="25.5">
      <c r="A74" s="3532" t="s">
        <v>3554</v>
      </c>
      <c r="B74" s="3532" t="s">
        <v>3555</v>
      </c>
      <c r="C74" s="3534" t="s">
        <v>3633</v>
      </c>
      <c r="D74" s="3535">
        <v>262.52999999999997</v>
      </c>
      <c r="E74" s="3532" t="s">
        <v>3534</v>
      </c>
      <c r="F74" s="3532" t="s">
        <v>21</v>
      </c>
      <c r="G74" s="3538" t="s">
        <v>3577</v>
      </c>
      <c r="H74" s="3537" t="s">
        <v>3578</v>
      </c>
      <c r="I74" s="3537" t="s">
        <v>3579</v>
      </c>
      <c r="J74" s="3527"/>
    </row>
    <row r="75" spans="1:10" ht="25.5">
      <c r="A75" s="3532" t="s">
        <v>3554</v>
      </c>
      <c r="B75" s="3532" t="s">
        <v>3555</v>
      </c>
      <c r="C75" s="3534" t="s">
        <v>3634</v>
      </c>
      <c r="D75" s="3535">
        <v>164.41</v>
      </c>
      <c r="E75" s="3532" t="s">
        <v>3534</v>
      </c>
      <c r="F75" s="3532" t="s">
        <v>21</v>
      </c>
      <c r="G75" s="3538" t="s">
        <v>3577</v>
      </c>
      <c r="H75" s="3537" t="s">
        <v>3578</v>
      </c>
      <c r="I75" s="3537" t="s">
        <v>3579</v>
      </c>
      <c r="J75" s="3527"/>
    </row>
    <row r="76" spans="1:10" ht="25.5">
      <c r="A76" s="3532" t="s">
        <v>3554</v>
      </c>
      <c r="B76" s="3532" t="s">
        <v>3555</v>
      </c>
      <c r="C76" s="3534" t="s">
        <v>3635</v>
      </c>
      <c r="D76" s="3535">
        <v>113.05</v>
      </c>
      <c r="E76" s="3532" t="s">
        <v>3534</v>
      </c>
      <c r="F76" s="3532" t="s">
        <v>21</v>
      </c>
      <c r="G76" s="3538" t="s">
        <v>3577</v>
      </c>
      <c r="H76" s="3537" t="s">
        <v>3578</v>
      </c>
      <c r="I76" s="3537" t="s">
        <v>3579</v>
      </c>
      <c r="J76" s="3527"/>
    </row>
    <row r="77" spans="1:10" ht="25.5">
      <c r="A77" s="3532" t="s">
        <v>3554</v>
      </c>
      <c r="B77" s="3532" t="s">
        <v>3555</v>
      </c>
      <c r="C77" s="3534" t="s">
        <v>3636</v>
      </c>
      <c r="D77" s="3535">
        <v>117.06</v>
      </c>
      <c r="E77" s="3532" t="s">
        <v>3534</v>
      </c>
      <c r="F77" s="3532" t="s">
        <v>21</v>
      </c>
      <c r="G77" s="3538" t="s">
        <v>3577</v>
      </c>
      <c r="H77" s="3537" t="s">
        <v>3578</v>
      </c>
      <c r="I77" s="3537" t="s">
        <v>3579</v>
      </c>
      <c r="J77" s="3527"/>
    </row>
    <row r="78" spans="1:10" ht="25.5">
      <c r="A78" s="3532" t="s">
        <v>3554</v>
      </c>
      <c r="B78" s="3532" t="s">
        <v>3555</v>
      </c>
      <c r="C78" s="3534" t="s">
        <v>3637</v>
      </c>
      <c r="D78" s="3535">
        <v>117.39</v>
      </c>
      <c r="E78" s="3532" t="s">
        <v>3534</v>
      </c>
      <c r="F78" s="3532" t="s">
        <v>21</v>
      </c>
      <c r="G78" s="3538" t="s">
        <v>3577</v>
      </c>
      <c r="H78" s="3537" t="s">
        <v>3578</v>
      </c>
      <c r="I78" s="3537" t="s">
        <v>3579</v>
      </c>
      <c r="J78" s="3527"/>
    </row>
    <row r="79" spans="1:10" ht="25.5">
      <c r="A79" s="3532" t="s">
        <v>3554</v>
      </c>
      <c r="B79" s="3532" t="s">
        <v>3555</v>
      </c>
      <c r="C79" s="3534" t="s">
        <v>3638</v>
      </c>
      <c r="D79" s="3535">
        <v>164.41</v>
      </c>
      <c r="E79" s="3532" t="s">
        <v>3534</v>
      </c>
      <c r="F79" s="3532" t="s">
        <v>21</v>
      </c>
      <c r="G79" s="3538" t="s">
        <v>3577</v>
      </c>
      <c r="H79" s="3537" t="s">
        <v>3578</v>
      </c>
      <c r="I79" s="3537" t="s">
        <v>3579</v>
      </c>
      <c r="J79" s="3527"/>
    </row>
    <row r="80" spans="1:10" ht="25.5">
      <c r="A80" s="3532" t="s">
        <v>3554</v>
      </c>
      <c r="B80" s="3532" t="s">
        <v>3555</v>
      </c>
      <c r="C80" s="3534" t="s">
        <v>3639</v>
      </c>
      <c r="D80" s="3535">
        <v>262.52999999999997</v>
      </c>
      <c r="E80" s="3532" t="s">
        <v>3534</v>
      </c>
      <c r="F80" s="3532" t="s">
        <v>21</v>
      </c>
      <c r="G80" s="3538" t="s">
        <v>3577</v>
      </c>
      <c r="H80" s="3537" t="s">
        <v>3578</v>
      </c>
      <c r="I80" s="3537" t="s">
        <v>3579</v>
      </c>
      <c r="J80" s="3527"/>
    </row>
    <row r="81" spans="1:10" ht="25.5">
      <c r="A81" s="3532" t="s">
        <v>3554</v>
      </c>
      <c r="B81" s="3532" t="s">
        <v>3555</v>
      </c>
      <c r="C81" s="3534" t="s">
        <v>3640</v>
      </c>
      <c r="D81" s="3535">
        <v>113.1</v>
      </c>
      <c r="E81" s="3532" t="s">
        <v>3534</v>
      </c>
      <c r="F81" s="3532" t="s">
        <v>21</v>
      </c>
      <c r="G81" s="3538" t="s">
        <v>3577</v>
      </c>
      <c r="H81" s="3537" t="s">
        <v>3578</v>
      </c>
      <c r="I81" s="3537" t="s">
        <v>3579</v>
      </c>
      <c r="J81" s="3527"/>
    </row>
    <row r="82" spans="1:10" ht="25.5">
      <c r="A82" s="3532" t="s">
        <v>3554</v>
      </c>
      <c r="B82" s="3532" t="s">
        <v>3555</v>
      </c>
      <c r="C82" s="3534" t="s">
        <v>3641</v>
      </c>
      <c r="D82" s="3535">
        <v>117.26</v>
      </c>
      <c r="E82" s="3532" t="s">
        <v>3534</v>
      </c>
      <c r="F82" s="3532" t="s">
        <v>21</v>
      </c>
      <c r="G82" s="3538" t="s">
        <v>3577</v>
      </c>
      <c r="H82" s="3537" t="s">
        <v>3578</v>
      </c>
      <c r="I82" s="3537" t="s">
        <v>3579</v>
      </c>
      <c r="J82" s="3527"/>
    </row>
    <row r="83" spans="1:10" ht="25.5">
      <c r="A83" s="3532" t="s">
        <v>3554</v>
      </c>
      <c r="B83" s="3532" t="s">
        <v>3555</v>
      </c>
      <c r="C83" s="3534" t="s">
        <v>3642</v>
      </c>
      <c r="D83" s="3535">
        <v>117.6</v>
      </c>
      <c r="E83" s="3532" t="s">
        <v>3534</v>
      </c>
      <c r="F83" s="3532" t="s">
        <v>21</v>
      </c>
      <c r="G83" s="3538" t="s">
        <v>3577</v>
      </c>
      <c r="H83" s="3537" t="s">
        <v>3578</v>
      </c>
      <c r="I83" s="3537" t="s">
        <v>3579</v>
      </c>
      <c r="J83" s="3527"/>
    </row>
    <row r="84" spans="1:10" ht="25.5">
      <c r="A84" s="3532" t="s">
        <v>3554</v>
      </c>
      <c r="B84" s="3532" t="s">
        <v>3555</v>
      </c>
      <c r="C84" s="3534" t="s">
        <v>3643</v>
      </c>
      <c r="D84" s="3535">
        <v>262.52999999999997</v>
      </c>
      <c r="E84" s="3532" t="s">
        <v>3534</v>
      </c>
      <c r="F84" s="3532" t="s">
        <v>21</v>
      </c>
      <c r="G84" s="3538" t="s">
        <v>3577</v>
      </c>
      <c r="H84" s="3537" t="s">
        <v>3578</v>
      </c>
      <c r="I84" s="3537" t="s">
        <v>3579</v>
      </c>
      <c r="J84" s="3527"/>
    </row>
    <row r="85" spans="1:10" ht="25.5">
      <c r="A85" s="3532" t="s">
        <v>3554</v>
      </c>
      <c r="B85" s="3532" t="s">
        <v>3555</v>
      </c>
      <c r="C85" s="3534" t="s">
        <v>3644</v>
      </c>
      <c r="D85" s="3535">
        <v>164.62</v>
      </c>
      <c r="E85" s="3532" t="s">
        <v>3534</v>
      </c>
      <c r="F85" s="3532" t="s">
        <v>21</v>
      </c>
      <c r="G85" s="3538" t="s">
        <v>3577</v>
      </c>
      <c r="H85" s="3537" t="s">
        <v>3578</v>
      </c>
      <c r="I85" s="3537" t="s">
        <v>3579</v>
      </c>
      <c r="J85" s="3527"/>
    </row>
    <row r="86" spans="1:10" ht="25.5">
      <c r="A86" s="3532" t="s">
        <v>3554</v>
      </c>
      <c r="B86" s="3532" t="s">
        <v>3555</v>
      </c>
      <c r="C86" s="3534" t="s">
        <v>3645</v>
      </c>
      <c r="D86" s="3535">
        <v>113.1</v>
      </c>
      <c r="E86" s="3532" t="s">
        <v>3534</v>
      </c>
      <c r="F86" s="3532" t="s">
        <v>21</v>
      </c>
      <c r="G86" s="3538" t="s">
        <v>3577</v>
      </c>
      <c r="H86" s="3537" t="s">
        <v>3578</v>
      </c>
      <c r="I86" s="3537" t="s">
        <v>3579</v>
      </c>
      <c r="J86" s="3527"/>
    </row>
    <row r="87" spans="1:10" ht="25.5">
      <c r="A87" s="3532" t="s">
        <v>3554</v>
      </c>
      <c r="B87" s="3532" t="s">
        <v>3555</v>
      </c>
      <c r="C87" s="3534" t="s">
        <v>3646</v>
      </c>
      <c r="D87" s="3535">
        <v>117.26</v>
      </c>
      <c r="E87" s="3532" t="s">
        <v>3534</v>
      </c>
      <c r="F87" s="3532" t="s">
        <v>21</v>
      </c>
      <c r="G87" s="3538" t="s">
        <v>3577</v>
      </c>
      <c r="H87" s="3537" t="s">
        <v>3578</v>
      </c>
      <c r="I87" s="3537" t="s">
        <v>3579</v>
      </c>
      <c r="J87" s="3527"/>
    </row>
    <row r="88" spans="1:10" ht="25.5">
      <c r="A88" s="3532" t="s">
        <v>3554</v>
      </c>
      <c r="B88" s="3532" t="s">
        <v>3555</v>
      </c>
      <c r="C88" s="3534" t="s">
        <v>3647</v>
      </c>
      <c r="D88" s="3535">
        <v>114.9</v>
      </c>
      <c r="E88" s="3532" t="s">
        <v>3534</v>
      </c>
      <c r="F88" s="3532" t="s">
        <v>21</v>
      </c>
      <c r="G88" s="3538" t="s">
        <v>3577</v>
      </c>
      <c r="H88" s="3537" t="s">
        <v>3578</v>
      </c>
      <c r="I88" s="3537" t="s">
        <v>3579</v>
      </c>
      <c r="J88" s="3527"/>
    </row>
    <row r="89" spans="1:10" ht="25.5">
      <c r="A89" s="3532" t="s">
        <v>3554</v>
      </c>
      <c r="B89" s="3532" t="s">
        <v>3555</v>
      </c>
      <c r="C89" s="3534" t="s">
        <v>3648</v>
      </c>
      <c r="D89" s="3535">
        <v>157.96</v>
      </c>
      <c r="E89" s="3532" t="s">
        <v>3534</v>
      </c>
      <c r="F89" s="3532" t="s">
        <v>21</v>
      </c>
      <c r="G89" s="3538" t="s">
        <v>3577</v>
      </c>
      <c r="H89" s="3537" t="s">
        <v>3578</v>
      </c>
      <c r="I89" s="3537" t="s">
        <v>3579</v>
      </c>
      <c r="J89" s="3527"/>
    </row>
    <row r="90" spans="1:10" ht="25.5">
      <c r="A90" s="3532" t="s">
        <v>3554</v>
      </c>
      <c r="B90" s="3532" t="s">
        <v>3555</v>
      </c>
      <c r="C90" s="3534" t="s">
        <v>3649</v>
      </c>
      <c r="D90" s="3535">
        <v>262.47000000000003</v>
      </c>
      <c r="E90" s="3532" t="s">
        <v>3534</v>
      </c>
      <c r="F90" s="3532" t="s">
        <v>21</v>
      </c>
      <c r="G90" s="3538" t="s">
        <v>3577</v>
      </c>
      <c r="H90" s="3537" t="s">
        <v>3578</v>
      </c>
      <c r="I90" s="3537" t="s">
        <v>3579</v>
      </c>
      <c r="J90" s="3527"/>
    </row>
    <row r="91" spans="1:10" ht="25.5">
      <c r="A91" s="3532" t="s">
        <v>3554</v>
      </c>
      <c r="B91" s="3532" t="s">
        <v>3555</v>
      </c>
      <c r="C91" s="3534" t="s">
        <v>3650</v>
      </c>
      <c r="D91" s="3535">
        <v>113.05</v>
      </c>
      <c r="E91" s="3532" t="s">
        <v>3534</v>
      </c>
      <c r="F91" s="3532" t="s">
        <v>21</v>
      </c>
      <c r="G91" s="3538" t="s">
        <v>3577</v>
      </c>
      <c r="H91" s="3537" t="s">
        <v>3578</v>
      </c>
      <c r="I91" s="3537" t="s">
        <v>3579</v>
      </c>
      <c r="J91" s="3527"/>
    </row>
    <row r="92" spans="1:10" ht="25.5">
      <c r="A92" s="3532" t="s">
        <v>3554</v>
      </c>
      <c r="B92" s="3532" t="s">
        <v>3555</v>
      </c>
      <c r="C92" s="3534" t="s">
        <v>3651</v>
      </c>
      <c r="D92" s="3535">
        <v>117.06</v>
      </c>
      <c r="E92" s="3532" t="s">
        <v>3534</v>
      </c>
      <c r="F92" s="3532" t="s">
        <v>21</v>
      </c>
      <c r="G92" s="3538" t="s">
        <v>3577</v>
      </c>
      <c r="H92" s="3537" t="s">
        <v>3578</v>
      </c>
      <c r="I92" s="3537" t="s">
        <v>3579</v>
      </c>
      <c r="J92" s="3527"/>
    </row>
    <row r="93" spans="1:10" ht="25.5">
      <c r="A93" s="3532" t="s">
        <v>3554</v>
      </c>
      <c r="B93" s="3532" t="s">
        <v>3555</v>
      </c>
      <c r="C93" s="3534" t="s">
        <v>3652</v>
      </c>
      <c r="D93" s="3535">
        <v>117.39</v>
      </c>
      <c r="E93" s="3532" t="s">
        <v>3534</v>
      </c>
      <c r="F93" s="3532" t="s">
        <v>21</v>
      </c>
      <c r="G93" s="3538" t="s">
        <v>3577</v>
      </c>
      <c r="H93" s="3537" t="s">
        <v>3578</v>
      </c>
      <c r="I93" s="3537" t="s">
        <v>3579</v>
      </c>
      <c r="J93" s="3527"/>
    </row>
    <row r="94" spans="1:10" ht="25.5">
      <c r="A94" s="3532" t="s">
        <v>3554</v>
      </c>
      <c r="B94" s="3532" t="s">
        <v>3555</v>
      </c>
      <c r="C94" s="3534" t="s">
        <v>3653</v>
      </c>
      <c r="D94" s="3535">
        <v>262.47000000000003</v>
      </c>
      <c r="E94" s="3532" t="s">
        <v>3534</v>
      </c>
      <c r="F94" s="3532" t="s">
        <v>21</v>
      </c>
      <c r="G94" s="3538" t="s">
        <v>3577</v>
      </c>
      <c r="H94" s="3537" t="s">
        <v>3578</v>
      </c>
      <c r="I94" s="3537" t="s">
        <v>3579</v>
      </c>
      <c r="J94" s="3527"/>
    </row>
    <row r="95" spans="1:10" ht="25.5">
      <c r="A95" s="3532" t="s">
        <v>3554</v>
      </c>
      <c r="B95" s="3532" t="s">
        <v>3555</v>
      </c>
      <c r="C95" s="3534" t="s">
        <v>3654</v>
      </c>
      <c r="D95" s="3535">
        <v>164.41</v>
      </c>
      <c r="E95" s="3532" t="s">
        <v>3534</v>
      </c>
      <c r="F95" s="3532" t="s">
        <v>21</v>
      </c>
      <c r="G95" s="3538" t="s">
        <v>3577</v>
      </c>
      <c r="H95" s="3537" t="s">
        <v>3578</v>
      </c>
      <c r="I95" s="3537" t="s">
        <v>3579</v>
      </c>
      <c r="J95" s="3527"/>
    </row>
    <row r="96" spans="1:10" ht="25.5">
      <c r="A96" s="3532" t="s">
        <v>3554</v>
      </c>
      <c r="B96" s="3532" t="s">
        <v>3555</v>
      </c>
      <c r="C96" s="3534" t="s">
        <v>3655</v>
      </c>
      <c r="D96" s="3535">
        <v>113.05</v>
      </c>
      <c r="E96" s="3532" t="s">
        <v>3534</v>
      </c>
      <c r="F96" s="3532" t="s">
        <v>21</v>
      </c>
      <c r="G96" s="3538" t="s">
        <v>3577</v>
      </c>
      <c r="H96" s="3537" t="s">
        <v>3578</v>
      </c>
      <c r="I96" s="3537" t="s">
        <v>3579</v>
      </c>
      <c r="J96" s="3527"/>
    </row>
    <row r="97" spans="1:10" ht="25.5">
      <c r="A97" s="3532" t="s">
        <v>3554</v>
      </c>
      <c r="B97" s="3532" t="s">
        <v>3555</v>
      </c>
      <c r="C97" s="3534" t="s">
        <v>3656</v>
      </c>
      <c r="D97" s="3535">
        <v>117.06</v>
      </c>
      <c r="E97" s="3532" t="s">
        <v>3534</v>
      </c>
      <c r="F97" s="3532" t="s">
        <v>21</v>
      </c>
      <c r="G97" s="3538" t="s">
        <v>3577</v>
      </c>
      <c r="H97" s="3537" t="s">
        <v>3578</v>
      </c>
      <c r="I97" s="3537" t="s">
        <v>3579</v>
      </c>
      <c r="J97" s="3527"/>
    </row>
    <row r="98" spans="1:10" ht="25.5">
      <c r="A98" s="3532" t="s">
        <v>3554</v>
      </c>
      <c r="B98" s="3532" t="s">
        <v>3555</v>
      </c>
      <c r="C98" s="3534" t="s">
        <v>3657</v>
      </c>
      <c r="D98" s="3535">
        <v>117.39</v>
      </c>
      <c r="E98" s="3532" t="s">
        <v>3534</v>
      </c>
      <c r="F98" s="3532" t="s">
        <v>21</v>
      </c>
      <c r="G98" s="3538" t="s">
        <v>3577</v>
      </c>
      <c r="H98" s="3537" t="s">
        <v>3578</v>
      </c>
      <c r="I98" s="3537" t="s">
        <v>3579</v>
      </c>
      <c r="J98" s="3527"/>
    </row>
    <row r="99" spans="1:10" ht="25.5">
      <c r="A99" s="3532" t="s">
        <v>3554</v>
      </c>
      <c r="B99" s="3532" t="s">
        <v>3555</v>
      </c>
      <c r="C99" s="3534" t="s">
        <v>3658</v>
      </c>
      <c r="D99" s="3535">
        <v>164.41</v>
      </c>
      <c r="E99" s="3532" t="s">
        <v>3534</v>
      </c>
      <c r="F99" s="3532" t="s">
        <v>21</v>
      </c>
      <c r="G99" s="3538" t="s">
        <v>3577</v>
      </c>
      <c r="H99" s="3537" t="s">
        <v>3578</v>
      </c>
      <c r="I99" s="3537" t="s">
        <v>3579</v>
      </c>
      <c r="J99" s="3527"/>
    </row>
    <row r="100" spans="1:10" ht="25.5">
      <c r="A100" s="3532" t="s">
        <v>3554</v>
      </c>
      <c r="B100" s="3532" t="s">
        <v>3555</v>
      </c>
      <c r="C100" s="3534" t="s">
        <v>3659</v>
      </c>
      <c r="D100" s="3535">
        <v>262.52999999999997</v>
      </c>
      <c r="E100" s="3532" t="s">
        <v>3534</v>
      </c>
      <c r="F100" s="3532" t="s">
        <v>21</v>
      </c>
      <c r="G100" s="3538" t="s">
        <v>3577</v>
      </c>
      <c r="H100" s="3537" t="s">
        <v>3578</v>
      </c>
      <c r="I100" s="3537" t="s">
        <v>3579</v>
      </c>
      <c r="J100" s="3527"/>
    </row>
    <row r="101" spans="1:10" ht="25.5">
      <c r="A101" s="3532" t="s">
        <v>3554</v>
      </c>
      <c r="B101" s="3532" t="s">
        <v>3555</v>
      </c>
      <c r="C101" s="3534" t="s">
        <v>3660</v>
      </c>
      <c r="D101" s="3535">
        <v>113.1</v>
      </c>
      <c r="E101" s="3532" t="s">
        <v>3534</v>
      </c>
      <c r="F101" s="3532" t="s">
        <v>21</v>
      </c>
      <c r="G101" s="3538" t="s">
        <v>3577</v>
      </c>
      <c r="H101" s="3537" t="s">
        <v>3578</v>
      </c>
      <c r="I101" s="3537" t="s">
        <v>3579</v>
      </c>
      <c r="J101" s="3527"/>
    </row>
    <row r="102" spans="1:10" ht="25.5">
      <c r="A102" s="3532" t="s">
        <v>3554</v>
      </c>
      <c r="B102" s="3532" t="s">
        <v>3555</v>
      </c>
      <c r="C102" s="3534" t="s">
        <v>3661</v>
      </c>
      <c r="D102" s="3535">
        <v>117.26</v>
      </c>
      <c r="E102" s="3532" t="s">
        <v>3534</v>
      </c>
      <c r="F102" s="3532" t="s">
        <v>21</v>
      </c>
      <c r="G102" s="3538" t="s">
        <v>3577</v>
      </c>
      <c r="H102" s="3537" t="s">
        <v>3578</v>
      </c>
      <c r="I102" s="3537" t="s">
        <v>3579</v>
      </c>
      <c r="J102" s="3527"/>
    </row>
    <row r="103" spans="1:10" ht="25.5">
      <c r="A103" s="3532" t="s">
        <v>3554</v>
      </c>
      <c r="B103" s="3532" t="s">
        <v>3555</v>
      </c>
      <c r="C103" s="3534" t="s">
        <v>3662</v>
      </c>
      <c r="D103" s="3535">
        <v>117.6</v>
      </c>
      <c r="E103" s="3532" t="s">
        <v>3534</v>
      </c>
      <c r="F103" s="3532" t="s">
        <v>21</v>
      </c>
      <c r="G103" s="3538" t="s">
        <v>3577</v>
      </c>
      <c r="H103" s="3537" t="s">
        <v>3578</v>
      </c>
      <c r="I103" s="3537" t="s">
        <v>3579</v>
      </c>
      <c r="J103" s="3527"/>
    </row>
    <row r="104" spans="1:10" ht="25.5">
      <c r="A104" s="3532" t="s">
        <v>3554</v>
      </c>
      <c r="B104" s="3532" t="s">
        <v>3555</v>
      </c>
      <c r="C104" s="3534" t="s">
        <v>3663</v>
      </c>
      <c r="D104" s="3535">
        <v>262.52999999999997</v>
      </c>
      <c r="E104" s="3532" t="s">
        <v>3534</v>
      </c>
      <c r="F104" s="3532" t="s">
        <v>21</v>
      </c>
      <c r="G104" s="3538" t="s">
        <v>3577</v>
      </c>
      <c r="H104" s="3537" t="s">
        <v>3578</v>
      </c>
      <c r="I104" s="3537" t="s">
        <v>3579</v>
      </c>
      <c r="J104" s="3527"/>
    </row>
    <row r="105" spans="1:10" ht="27">
      <c r="A105" s="3532" t="s">
        <v>3554</v>
      </c>
      <c r="B105" s="3532" t="s">
        <v>3664</v>
      </c>
      <c r="C105" s="3539" t="s">
        <v>3562</v>
      </c>
      <c r="D105" s="3540">
        <v>110.53</v>
      </c>
      <c r="E105" s="3532" t="s">
        <v>3534</v>
      </c>
      <c r="F105" s="3532" t="s">
        <v>673</v>
      </c>
      <c r="G105" s="3536" t="s">
        <v>3665</v>
      </c>
      <c r="H105" s="3532" t="s">
        <v>3666</v>
      </c>
      <c r="I105" s="3537" t="s">
        <v>3537</v>
      </c>
      <c r="J105" s="3527"/>
    </row>
    <row r="106" spans="1:10" ht="27">
      <c r="A106" s="3532" t="s">
        <v>3554</v>
      </c>
      <c r="B106" s="3532" t="s">
        <v>3664</v>
      </c>
      <c r="C106" s="3539" t="s">
        <v>3565</v>
      </c>
      <c r="D106" s="3540">
        <v>165.65</v>
      </c>
      <c r="E106" s="3532" t="s">
        <v>3534</v>
      </c>
      <c r="F106" s="3532" t="s">
        <v>673</v>
      </c>
      <c r="G106" s="3536" t="s">
        <v>3667</v>
      </c>
      <c r="H106" s="3532" t="s">
        <v>3668</v>
      </c>
      <c r="I106" s="3541" t="s">
        <v>3669</v>
      </c>
      <c r="J106" s="3527"/>
    </row>
    <row r="107" spans="1:10" ht="27">
      <c r="A107" s="3532" t="s">
        <v>3554</v>
      </c>
      <c r="B107" s="3532" t="s">
        <v>3664</v>
      </c>
      <c r="C107" s="3539" t="s">
        <v>3567</v>
      </c>
      <c r="D107" s="3540">
        <v>193.57</v>
      </c>
      <c r="E107" s="3532" t="s">
        <v>3534</v>
      </c>
      <c r="F107" s="3532" t="s">
        <v>673</v>
      </c>
      <c r="G107" s="3536" t="s">
        <v>3667</v>
      </c>
      <c r="H107" s="3532" t="s">
        <v>3668</v>
      </c>
      <c r="I107" s="3541" t="s">
        <v>3669</v>
      </c>
      <c r="J107" s="3527"/>
    </row>
    <row r="108" spans="1:10" ht="27">
      <c r="A108" s="3532" t="s">
        <v>3554</v>
      </c>
      <c r="B108" s="3532" t="s">
        <v>3664</v>
      </c>
      <c r="C108" s="3539" t="s">
        <v>3547</v>
      </c>
      <c r="D108" s="3540">
        <v>147.16</v>
      </c>
      <c r="E108" s="3532" t="s">
        <v>3534</v>
      </c>
      <c r="F108" s="3532" t="s">
        <v>673</v>
      </c>
      <c r="G108" s="3536" t="s">
        <v>3670</v>
      </c>
      <c r="H108" s="3532" t="s">
        <v>3671</v>
      </c>
      <c r="I108" s="3537" t="s">
        <v>3672</v>
      </c>
      <c r="J108" s="3527"/>
    </row>
    <row r="109" spans="1:10" ht="27">
      <c r="A109" s="3532" t="s">
        <v>3554</v>
      </c>
      <c r="B109" s="3532" t="s">
        <v>3664</v>
      </c>
      <c r="C109" s="3539" t="s">
        <v>3550</v>
      </c>
      <c r="D109" s="3540">
        <v>120.66</v>
      </c>
      <c r="E109" s="3532" t="s">
        <v>3534</v>
      </c>
      <c r="F109" s="3532" t="s">
        <v>673</v>
      </c>
      <c r="G109" s="3536" t="s">
        <v>3670</v>
      </c>
      <c r="H109" s="3532" t="s">
        <v>3671</v>
      </c>
      <c r="I109" s="3537" t="s">
        <v>3672</v>
      </c>
      <c r="J109" s="3527"/>
    </row>
    <row r="110" spans="1:10" ht="27">
      <c r="A110" s="3532" t="s">
        <v>3554</v>
      </c>
      <c r="B110" s="3532" t="s">
        <v>3664</v>
      </c>
      <c r="C110" s="3539" t="s">
        <v>3551</v>
      </c>
      <c r="D110" s="3540">
        <v>115.64</v>
      </c>
      <c r="E110" s="3532" t="s">
        <v>3534</v>
      </c>
      <c r="F110" s="3532" t="s">
        <v>673</v>
      </c>
      <c r="G110" s="3536" t="s">
        <v>3670</v>
      </c>
      <c r="H110" s="3532" t="s">
        <v>3671</v>
      </c>
      <c r="I110" s="3537" t="s">
        <v>3672</v>
      </c>
      <c r="J110" s="3527"/>
    </row>
    <row r="111" spans="1:10" ht="27">
      <c r="A111" s="3532" t="s">
        <v>3554</v>
      </c>
      <c r="B111" s="3532" t="s">
        <v>3664</v>
      </c>
      <c r="C111" s="3539" t="s">
        <v>3552</v>
      </c>
      <c r="D111" s="3540">
        <v>139.78</v>
      </c>
      <c r="E111" s="3532" t="s">
        <v>3534</v>
      </c>
      <c r="F111" s="3532" t="s">
        <v>673</v>
      </c>
      <c r="G111" s="3536" t="s">
        <v>3670</v>
      </c>
      <c r="H111" s="3532" t="s">
        <v>3671</v>
      </c>
      <c r="I111" s="3537" t="s">
        <v>3672</v>
      </c>
      <c r="J111" s="3527"/>
    </row>
    <row r="112" spans="1:10" ht="27">
      <c r="A112" s="3532" t="s">
        <v>3554</v>
      </c>
      <c r="B112" s="3532" t="s">
        <v>3664</v>
      </c>
      <c r="C112" s="3539" t="s">
        <v>3553</v>
      </c>
      <c r="D112" s="3540">
        <v>48.26</v>
      </c>
      <c r="E112" s="3532" t="s">
        <v>3534</v>
      </c>
      <c r="F112" s="3532" t="s">
        <v>673</v>
      </c>
      <c r="G112" s="3536" t="s">
        <v>3670</v>
      </c>
      <c r="H112" s="3532" t="s">
        <v>3671</v>
      </c>
      <c r="I112" s="3537" t="s">
        <v>3672</v>
      </c>
      <c r="J112" s="3527"/>
    </row>
    <row r="113" spans="1:10" ht="27">
      <c r="A113" s="3532" t="s">
        <v>3554</v>
      </c>
      <c r="B113" s="3532" t="s">
        <v>3664</v>
      </c>
      <c r="C113" s="3539" t="s">
        <v>3573</v>
      </c>
      <c r="D113" s="3540">
        <v>283.52999999999997</v>
      </c>
      <c r="E113" s="3532" t="s">
        <v>3534</v>
      </c>
      <c r="F113" s="3532" t="s">
        <v>673</v>
      </c>
      <c r="G113" s="3536" t="s">
        <v>3670</v>
      </c>
      <c r="H113" s="3532" t="s">
        <v>3671</v>
      </c>
      <c r="I113" s="3537" t="s">
        <v>3672</v>
      </c>
      <c r="J113" s="3527"/>
    </row>
    <row r="114" spans="1:10" ht="27">
      <c r="A114" s="3532" t="s">
        <v>3554</v>
      </c>
      <c r="B114" s="3532" t="s">
        <v>3664</v>
      </c>
      <c r="C114" s="3539" t="s">
        <v>3574</v>
      </c>
      <c r="D114" s="3540">
        <v>232.75</v>
      </c>
      <c r="E114" s="3532" t="s">
        <v>3534</v>
      </c>
      <c r="F114" s="3532" t="s">
        <v>673</v>
      </c>
      <c r="G114" s="3536" t="s">
        <v>3670</v>
      </c>
      <c r="H114" s="3532" t="s">
        <v>3671</v>
      </c>
      <c r="I114" s="3537" t="s">
        <v>3672</v>
      </c>
      <c r="J114" s="3527"/>
    </row>
    <row r="115" spans="1:10" ht="40.5">
      <c r="A115" s="3532" t="s">
        <v>3554</v>
      </c>
      <c r="B115" s="3532" t="s">
        <v>3664</v>
      </c>
      <c r="C115" s="3539" t="s">
        <v>3575</v>
      </c>
      <c r="D115" s="3540">
        <v>158.69999999999999</v>
      </c>
      <c r="E115" s="3532" t="s">
        <v>3534</v>
      </c>
      <c r="F115" s="3532" t="s">
        <v>673</v>
      </c>
      <c r="G115" s="3536" t="s">
        <v>3673</v>
      </c>
      <c r="H115" s="3532" t="s">
        <v>3674</v>
      </c>
      <c r="I115" s="3537" t="s">
        <v>3675</v>
      </c>
      <c r="J115" s="3527"/>
    </row>
    <row r="116" spans="1:10" ht="14.25">
      <c r="A116" s="3532" t="s">
        <v>3554</v>
      </c>
      <c r="B116" s="3532" t="s">
        <v>3664</v>
      </c>
      <c r="C116" s="3534" t="s">
        <v>3585</v>
      </c>
      <c r="D116" s="3535">
        <v>822.02</v>
      </c>
      <c r="E116" s="3532" t="s">
        <v>3534</v>
      </c>
      <c r="F116" s="3532" t="s">
        <v>21</v>
      </c>
      <c r="G116" s="3532"/>
      <c r="H116" s="3532"/>
      <c r="I116" s="3541"/>
      <c r="J116" s="3527"/>
    </row>
    <row r="117" spans="1:10" ht="14.25">
      <c r="A117" s="3532" t="s">
        <v>3554</v>
      </c>
      <c r="B117" s="3532" t="s">
        <v>3664</v>
      </c>
      <c r="C117" s="3534" t="s">
        <v>3589</v>
      </c>
      <c r="D117" s="3535">
        <v>93.81</v>
      </c>
      <c r="E117" s="3532" t="s">
        <v>3534</v>
      </c>
      <c r="F117" s="3532" t="s">
        <v>21</v>
      </c>
      <c r="G117" s="3532"/>
      <c r="H117" s="3532"/>
      <c r="I117" s="3541"/>
      <c r="J117" s="3527"/>
    </row>
    <row r="118" spans="1:10" ht="14.25">
      <c r="A118" s="3532" t="s">
        <v>3554</v>
      </c>
      <c r="B118" s="3532" t="s">
        <v>3664</v>
      </c>
      <c r="C118" s="3534" t="s">
        <v>3592</v>
      </c>
      <c r="D118" s="3535">
        <v>203.64</v>
      </c>
      <c r="E118" s="3532" t="s">
        <v>3534</v>
      </c>
      <c r="F118" s="3532" t="s">
        <v>21</v>
      </c>
      <c r="G118" s="3532"/>
      <c r="H118" s="3532"/>
      <c r="I118" s="3541"/>
      <c r="J118" s="3527"/>
    </row>
    <row r="119" spans="1:10" ht="25.5">
      <c r="A119" s="3532" t="s">
        <v>3554</v>
      </c>
      <c r="B119" s="3532" t="s">
        <v>3676</v>
      </c>
      <c r="C119" s="3539" t="s">
        <v>3533</v>
      </c>
      <c r="D119" s="3540">
        <v>127.24</v>
      </c>
      <c r="E119" s="3532" t="s">
        <v>3534</v>
      </c>
      <c r="F119" s="3532" t="s">
        <v>673</v>
      </c>
      <c r="G119" s="3538" t="s">
        <v>3677</v>
      </c>
      <c r="H119" s="3537" t="s">
        <v>3678</v>
      </c>
      <c r="I119" s="3537" t="s">
        <v>3537</v>
      </c>
      <c r="J119" s="3527"/>
    </row>
    <row r="120" spans="1:10" ht="25.5">
      <c r="A120" s="3532" t="s">
        <v>3554</v>
      </c>
      <c r="B120" s="3532" t="s">
        <v>3676</v>
      </c>
      <c r="C120" s="3539" t="s">
        <v>3538</v>
      </c>
      <c r="D120" s="3540">
        <v>174.31</v>
      </c>
      <c r="E120" s="3532" t="s">
        <v>3534</v>
      </c>
      <c r="F120" s="3532" t="s">
        <v>673</v>
      </c>
      <c r="G120" s="3538" t="s">
        <v>3679</v>
      </c>
      <c r="H120" s="3537" t="s">
        <v>3680</v>
      </c>
      <c r="I120" s="3537" t="s">
        <v>3537</v>
      </c>
      <c r="J120" s="3527"/>
    </row>
    <row r="121" spans="1:10" ht="27">
      <c r="A121" s="3532" t="s">
        <v>3554</v>
      </c>
      <c r="B121" s="3532" t="s">
        <v>3676</v>
      </c>
      <c r="C121" s="3539" t="s">
        <v>3542</v>
      </c>
      <c r="D121" s="3540">
        <v>177.12</v>
      </c>
      <c r="E121" s="3532" t="s">
        <v>3534</v>
      </c>
      <c r="F121" s="3532" t="s">
        <v>673</v>
      </c>
      <c r="G121" s="3536" t="s">
        <v>3681</v>
      </c>
      <c r="H121" s="3532" t="s">
        <v>3682</v>
      </c>
      <c r="I121" s="3537" t="s">
        <v>3537</v>
      </c>
      <c r="J121" s="3527"/>
    </row>
    <row r="122" spans="1:10" ht="27">
      <c r="A122" s="3532" t="s">
        <v>3554</v>
      </c>
      <c r="B122" s="3532" t="s">
        <v>3676</v>
      </c>
      <c r="C122" s="3539" t="s">
        <v>3543</v>
      </c>
      <c r="D122" s="3540">
        <v>135.43</v>
      </c>
      <c r="E122" s="3532" t="s">
        <v>3534</v>
      </c>
      <c r="F122" s="3532" t="s">
        <v>673</v>
      </c>
      <c r="G122" s="3536" t="s">
        <v>3683</v>
      </c>
      <c r="H122" s="3532" t="s">
        <v>3684</v>
      </c>
      <c r="I122" s="3541"/>
      <c r="J122" s="3527"/>
    </row>
    <row r="123" spans="1:10" ht="25.5">
      <c r="A123" s="3532" t="s">
        <v>3554</v>
      </c>
      <c r="B123" s="3532" t="s">
        <v>3676</v>
      </c>
      <c r="C123" s="3539" t="s">
        <v>3547</v>
      </c>
      <c r="D123" s="3540">
        <v>730.62</v>
      </c>
      <c r="E123" s="3532" t="s">
        <v>3534</v>
      </c>
      <c r="F123" s="3532" t="s">
        <v>673</v>
      </c>
      <c r="G123" s="3538" t="s">
        <v>3570</v>
      </c>
      <c r="H123" s="3537" t="s">
        <v>3571</v>
      </c>
      <c r="I123" s="3537" t="s">
        <v>3572</v>
      </c>
      <c r="J123" s="3527"/>
    </row>
    <row r="124" spans="1:10" ht="25.5">
      <c r="A124" s="3532" t="s">
        <v>3554</v>
      </c>
      <c r="B124" s="3532" t="s">
        <v>3676</v>
      </c>
      <c r="C124" s="3539" t="s">
        <v>3550</v>
      </c>
      <c r="D124" s="3540">
        <v>208.49</v>
      </c>
      <c r="E124" s="3532" t="s">
        <v>3534</v>
      </c>
      <c r="F124" s="3532" t="s">
        <v>673</v>
      </c>
      <c r="G124" s="3538" t="s">
        <v>3570</v>
      </c>
      <c r="H124" s="3537" t="s">
        <v>3571</v>
      </c>
      <c r="I124" s="3537" t="s">
        <v>3572</v>
      </c>
      <c r="J124" s="3527"/>
    </row>
    <row r="125" spans="1:10" ht="14.25">
      <c r="A125" s="3532" t="s">
        <v>3554</v>
      </c>
      <c r="B125" s="3532" t="s">
        <v>3676</v>
      </c>
      <c r="C125" s="3534" t="s">
        <v>3551</v>
      </c>
      <c r="D125" s="3543">
        <v>4120.6899999999996</v>
      </c>
      <c r="E125" s="3532" t="s">
        <v>3534</v>
      </c>
      <c r="F125" s="3532" t="s">
        <v>3685</v>
      </c>
      <c r="G125" s="3532"/>
      <c r="H125" s="3532"/>
      <c r="I125" s="3541"/>
      <c r="J125" s="3527"/>
    </row>
    <row r="126" spans="1:10" ht="27">
      <c r="A126" s="3544" t="s">
        <v>3554</v>
      </c>
      <c r="B126" s="3544" t="s">
        <v>3676</v>
      </c>
      <c r="C126" s="3545" t="s">
        <v>3576</v>
      </c>
      <c r="D126" s="3546">
        <v>4318.2</v>
      </c>
      <c r="E126" s="3544" t="s">
        <v>3534</v>
      </c>
      <c r="F126" s="3544" t="s">
        <v>3686</v>
      </c>
      <c r="G126" s="3547" t="s">
        <v>3593</v>
      </c>
      <c r="H126" s="3548" t="s">
        <v>3578</v>
      </c>
      <c r="I126" s="3548" t="s">
        <v>3591</v>
      </c>
      <c r="J126" s="3549" t="s">
        <v>3687</v>
      </c>
    </row>
    <row r="127" spans="1:10" ht="25.5">
      <c r="A127" s="3532" t="s">
        <v>3554</v>
      </c>
      <c r="B127" s="3532" t="s">
        <v>3676</v>
      </c>
      <c r="C127" s="3534" t="s">
        <v>3594</v>
      </c>
      <c r="D127" s="3535">
        <v>95.89</v>
      </c>
      <c r="E127" s="3532" t="s">
        <v>3534</v>
      </c>
      <c r="F127" s="3532" t="s">
        <v>21</v>
      </c>
      <c r="G127" s="3538" t="s">
        <v>3688</v>
      </c>
      <c r="H127" s="3532" t="s">
        <v>3689</v>
      </c>
      <c r="I127" s="3550" t="s">
        <v>3690</v>
      </c>
      <c r="J127" s="3527"/>
    </row>
    <row r="128" spans="1:10" ht="25.5">
      <c r="A128" s="3532" t="s">
        <v>3554</v>
      </c>
      <c r="B128" s="3532" t="s">
        <v>3676</v>
      </c>
      <c r="C128" s="3534" t="s">
        <v>3595</v>
      </c>
      <c r="D128" s="3535">
        <v>133.13999999999999</v>
      </c>
      <c r="E128" s="3532" t="s">
        <v>3534</v>
      </c>
      <c r="F128" s="3532" t="s">
        <v>21</v>
      </c>
      <c r="G128" s="3538" t="s">
        <v>3691</v>
      </c>
      <c r="H128" s="3532" t="s">
        <v>3692</v>
      </c>
      <c r="I128" s="3551"/>
      <c r="J128" s="3527"/>
    </row>
    <row r="129" spans="1:10" ht="25.5">
      <c r="A129" s="3532" t="s">
        <v>3554</v>
      </c>
      <c r="B129" s="3532" t="s">
        <v>3676</v>
      </c>
      <c r="C129" s="3534" t="s">
        <v>3596</v>
      </c>
      <c r="D129" s="3535">
        <v>94.13</v>
      </c>
      <c r="E129" s="3532" t="s">
        <v>3534</v>
      </c>
      <c r="F129" s="3532" t="s">
        <v>21</v>
      </c>
      <c r="G129" s="3538" t="s">
        <v>3693</v>
      </c>
      <c r="H129" s="3532" t="s">
        <v>3692</v>
      </c>
      <c r="I129" s="3551"/>
      <c r="J129" s="3527"/>
    </row>
    <row r="130" spans="1:10" ht="25.5">
      <c r="A130" s="3532" t="s">
        <v>3554</v>
      </c>
      <c r="B130" s="3532" t="s">
        <v>3676</v>
      </c>
      <c r="C130" s="3534" t="s">
        <v>3597</v>
      </c>
      <c r="D130" s="3535">
        <v>139.75</v>
      </c>
      <c r="E130" s="3532" t="s">
        <v>3534</v>
      </c>
      <c r="F130" s="3532" t="s">
        <v>21</v>
      </c>
      <c r="G130" s="3538" t="s">
        <v>3694</v>
      </c>
      <c r="H130" s="3532" t="s">
        <v>3695</v>
      </c>
      <c r="I130" s="3551"/>
      <c r="J130" s="3527"/>
    </row>
    <row r="131" spans="1:10" ht="38.25">
      <c r="A131" s="3532" t="s">
        <v>3554</v>
      </c>
      <c r="B131" s="3532" t="s">
        <v>3676</v>
      </c>
      <c r="C131" s="3534" t="s">
        <v>3598</v>
      </c>
      <c r="D131" s="3535">
        <v>139.75</v>
      </c>
      <c r="E131" s="3532" t="s">
        <v>3534</v>
      </c>
      <c r="F131" s="3532" t="s">
        <v>21</v>
      </c>
      <c r="G131" s="3538" t="s">
        <v>3696</v>
      </c>
      <c r="H131" s="3532" t="s">
        <v>3692</v>
      </c>
      <c r="I131" s="3551"/>
      <c r="J131" s="3527"/>
    </row>
    <row r="132" spans="1:10" ht="25.5">
      <c r="A132" s="3532" t="s">
        <v>3554</v>
      </c>
      <c r="B132" s="3532" t="s">
        <v>3676</v>
      </c>
      <c r="C132" s="3534" t="s">
        <v>3599</v>
      </c>
      <c r="D132" s="3535">
        <v>94.13</v>
      </c>
      <c r="E132" s="3532" t="s">
        <v>3534</v>
      </c>
      <c r="F132" s="3532" t="s">
        <v>21</v>
      </c>
      <c r="G132" s="3538" t="s">
        <v>3697</v>
      </c>
      <c r="H132" s="3532" t="s">
        <v>3692</v>
      </c>
      <c r="I132" s="3551"/>
      <c r="J132" s="3527"/>
    </row>
    <row r="133" spans="1:10" ht="25.5">
      <c r="A133" s="3532" t="s">
        <v>3554</v>
      </c>
      <c r="B133" s="3532" t="s">
        <v>3676</v>
      </c>
      <c r="C133" s="3534" t="s">
        <v>3604</v>
      </c>
      <c r="D133" s="3535">
        <v>293.2</v>
      </c>
      <c r="E133" s="3532" t="s">
        <v>3534</v>
      </c>
      <c r="F133" s="3532" t="s">
        <v>21</v>
      </c>
      <c r="G133" s="3538" t="s">
        <v>3698</v>
      </c>
      <c r="H133" s="3532" t="s">
        <v>3692</v>
      </c>
      <c r="I133" s="3551"/>
      <c r="J133" s="3527"/>
    </row>
    <row r="134" spans="1:10" ht="25.5">
      <c r="A134" s="3532" t="s">
        <v>3554</v>
      </c>
      <c r="B134" s="3532" t="s">
        <v>3676</v>
      </c>
      <c r="C134" s="3534" t="s">
        <v>3605</v>
      </c>
      <c r="D134" s="3535">
        <v>154.78</v>
      </c>
      <c r="E134" s="3532" t="s">
        <v>3534</v>
      </c>
      <c r="F134" s="3532" t="s">
        <v>21</v>
      </c>
      <c r="G134" s="3538" t="s">
        <v>3699</v>
      </c>
      <c r="H134" s="3532" t="s">
        <v>3700</v>
      </c>
      <c r="I134" s="3551"/>
      <c r="J134" s="3527"/>
    </row>
    <row r="135" spans="1:10" ht="14.25">
      <c r="A135" s="3532" t="s">
        <v>3554</v>
      </c>
      <c r="B135" s="3532" t="s">
        <v>3676</v>
      </c>
      <c r="C135" s="3534" t="s">
        <v>3606</v>
      </c>
      <c r="D135" s="3535">
        <v>108.41</v>
      </c>
      <c r="E135" s="3532" t="s">
        <v>3534</v>
      </c>
      <c r="F135" s="3532" t="s">
        <v>21</v>
      </c>
      <c r="G135" s="3538"/>
      <c r="H135" s="3532"/>
      <c r="I135" s="3551"/>
      <c r="J135" s="3527"/>
    </row>
    <row r="136" spans="1:10" ht="14.25">
      <c r="A136" s="3532" t="s">
        <v>3554</v>
      </c>
      <c r="B136" s="3532" t="s">
        <v>3676</v>
      </c>
      <c r="C136" s="3534" t="s">
        <v>3607</v>
      </c>
      <c r="D136" s="3535">
        <v>108.41</v>
      </c>
      <c r="E136" s="3532" t="s">
        <v>3534</v>
      </c>
      <c r="F136" s="3532" t="s">
        <v>21</v>
      </c>
      <c r="G136" s="3538"/>
      <c r="H136" s="3532"/>
      <c r="I136" s="3551"/>
      <c r="J136" s="3527"/>
    </row>
    <row r="137" spans="1:10" ht="25.5">
      <c r="A137" s="3532" t="s">
        <v>3554</v>
      </c>
      <c r="B137" s="3532" t="s">
        <v>3676</v>
      </c>
      <c r="C137" s="3534" t="s">
        <v>3608</v>
      </c>
      <c r="D137" s="3535">
        <v>108.41</v>
      </c>
      <c r="E137" s="3532" t="s">
        <v>3534</v>
      </c>
      <c r="F137" s="3532" t="s">
        <v>21</v>
      </c>
      <c r="G137" s="3538" t="s">
        <v>3701</v>
      </c>
      <c r="H137" s="3532" t="s">
        <v>3702</v>
      </c>
      <c r="I137" s="3551"/>
      <c r="J137" s="3527"/>
    </row>
    <row r="138" spans="1:10" ht="25.5">
      <c r="A138" s="3532" t="s">
        <v>3554</v>
      </c>
      <c r="B138" s="3532" t="s">
        <v>3676</v>
      </c>
      <c r="C138" s="3534" t="s">
        <v>3609</v>
      </c>
      <c r="D138" s="3535">
        <v>293.2</v>
      </c>
      <c r="E138" s="3532" t="s">
        <v>3534</v>
      </c>
      <c r="F138" s="3532" t="s">
        <v>21</v>
      </c>
      <c r="G138" s="3538" t="s">
        <v>3703</v>
      </c>
      <c r="H138" s="3532" t="s">
        <v>3692</v>
      </c>
      <c r="I138" s="3551"/>
      <c r="J138" s="3527"/>
    </row>
    <row r="139" spans="1:10" ht="25.5">
      <c r="A139" s="3532" t="s">
        <v>3554</v>
      </c>
      <c r="B139" s="3532" t="s">
        <v>3676</v>
      </c>
      <c r="C139" s="3534" t="s">
        <v>3610</v>
      </c>
      <c r="D139" s="3535">
        <v>160.71</v>
      </c>
      <c r="E139" s="3532" t="s">
        <v>3534</v>
      </c>
      <c r="F139" s="3532" t="s">
        <v>21</v>
      </c>
      <c r="G139" s="3538" t="s">
        <v>3704</v>
      </c>
      <c r="H139" s="3532" t="s">
        <v>3705</v>
      </c>
      <c r="I139" s="3551"/>
      <c r="J139" s="3527"/>
    </row>
    <row r="140" spans="1:10" ht="25.5">
      <c r="A140" s="3532" t="s">
        <v>3554</v>
      </c>
      <c r="B140" s="3532" t="s">
        <v>3676</v>
      </c>
      <c r="C140" s="3534" t="s">
        <v>3611</v>
      </c>
      <c r="D140" s="3535">
        <v>108.41</v>
      </c>
      <c r="E140" s="3532" t="s">
        <v>3534</v>
      </c>
      <c r="F140" s="3532" t="s">
        <v>21</v>
      </c>
      <c r="G140" s="3538" t="s">
        <v>3706</v>
      </c>
      <c r="H140" s="3532" t="s">
        <v>3692</v>
      </c>
      <c r="I140" s="3551"/>
      <c r="J140" s="3527"/>
    </row>
    <row r="141" spans="1:10" ht="25.5">
      <c r="A141" s="3532" t="s">
        <v>3554</v>
      </c>
      <c r="B141" s="3532" t="s">
        <v>3676</v>
      </c>
      <c r="C141" s="3534" t="s">
        <v>3612</v>
      </c>
      <c r="D141" s="3535">
        <v>108.41</v>
      </c>
      <c r="E141" s="3532" t="s">
        <v>3534</v>
      </c>
      <c r="F141" s="3532" t="s">
        <v>21</v>
      </c>
      <c r="G141" s="3538" t="s">
        <v>3706</v>
      </c>
      <c r="H141" s="3532" t="s">
        <v>3692</v>
      </c>
      <c r="I141" s="3551"/>
      <c r="J141" s="3527"/>
    </row>
    <row r="142" spans="1:10" ht="25.5">
      <c r="A142" s="3532" t="s">
        <v>3554</v>
      </c>
      <c r="B142" s="3532" t="s">
        <v>3676</v>
      </c>
      <c r="C142" s="3534" t="s">
        <v>3613</v>
      </c>
      <c r="D142" s="3535">
        <v>107.7</v>
      </c>
      <c r="E142" s="3532" t="s">
        <v>3534</v>
      </c>
      <c r="F142" s="3532" t="s">
        <v>21</v>
      </c>
      <c r="G142" s="3538" t="s">
        <v>3707</v>
      </c>
      <c r="H142" s="3532" t="s">
        <v>3708</v>
      </c>
      <c r="I142" s="3551"/>
      <c r="J142" s="3527"/>
    </row>
    <row r="143" spans="1:10" ht="25.5">
      <c r="A143" s="3532" t="s">
        <v>3554</v>
      </c>
      <c r="B143" s="3532" t="s">
        <v>3676</v>
      </c>
      <c r="C143" s="3534" t="s">
        <v>3614</v>
      </c>
      <c r="D143" s="3535">
        <v>293.2</v>
      </c>
      <c r="E143" s="3532" t="s">
        <v>3534</v>
      </c>
      <c r="F143" s="3532" t="s">
        <v>21</v>
      </c>
      <c r="G143" s="3538" t="s">
        <v>3709</v>
      </c>
      <c r="H143" s="3537" t="s">
        <v>3710</v>
      </c>
      <c r="I143" s="3537" t="s">
        <v>3711</v>
      </c>
      <c r="J143" s="3527"/>
    </row>
    <row r="144" spans="1:10" ht="25.5">
      <c r="A144" s="3532" t="s">
        <v>3554</v>
      </c>
      <c r="B144" s="3532" t="s">
        <v>3676</v>
      </c>
      <c r="C144" s="3534" t="s">
        <v>3615</v>
      </c>
      <c r="D144" s="3535">
        <v>154.78</v>
      </c>
      <c r="E144" s="3532" t="s">
        <v>3534</v>
      </c>
      <c r="F144" s="3532" t="s">
        <v>21</v>
      </c>
      <c r="G144" s="3538" t="s">
        <v>3709</v>
      </c>
      <c r="H144" s="3537" t="s">
        <v>3710</v>
      </c>
      <c r="I144" s="3537" t="s">
        <v>3712</v>
      </c>
      <c r="J144" s="3527"/>
    </row>
    <row r="145" spans="1:10" ht="25.5">
      <c r="A145" s="3532" t="s">
        <v>3554</v>
      </c>
      <c r="B145" s="3532" t="s">
        <v>3676</v>
      </c>
      <c r="C145" s="3534" t="s">
        <v>3616</v>
      </c>
      <c r="D145" s="3535">
        <v>108.41</v>
      </c>
      <c r="E145" s="3532" t="s">
        <v>3534</v>
      </c>
      <c r="F145" s="3532" t="s">
        <v>21</v>
      </c>
      <c r="G145" s="3538" t="s">
        <v>3709</v>
      </c>
      <c r="H145" s="3537" t="s">
        <v>3710</v>
      </c>
      <c r="I145" s="3537" t="s">
        <v>3713</v>
      </c>
      <c r="J145" s="3527"/>
    </row>
    <row r="146" spans="1:10" ht="25.5">
      <c r="A146" s="3532" t="s">
        <v>3554</v>
      </c>
      <c r="B146" s="3532" t="s">
        <v>3676</v>
      </c>
      <c r="C146" s="3534" t="s">
        <v>3617</v>
      </c>
      <c r="D146" s="3535">
        <v>108.41</v>
      </c>
      <c r="E146" s="3532" t="s">
        <v>3534</v>
      </c>
      <c r="F146" s="3532" t="s">
        <v>21</v>
      </c>
      <c r="G146" s="3538" t="s">
        <v>3714</v>
      </c>
      <c r="H146" s="3532" t="s">
        <v>3710</v>
      </c>
      <c r="I146" s="3541" t="s">
        <v>3715</v>
      </c>
      <c r="J146" s="3527"/>
    </row>
    <row r="147" spans="1:10" ht="25.5">
      <c r="A147" s="3532" t="s">
        <v>3554</v>
      </c>
      <c r="B147" s="3532" t="s">
        <v>3676</v>
      </c>
      <c r="C147" s="3534" t="s">
        <v>3618</v>
      </c>
      <c r="D147" s="3535">
        <v>108.41</v>
      </c>
      <c r="E147" s="3532" t="s">
        <v>3534</v>
      </c>
      <c r="F147" s="3532" t="s">
        <v>21</v>
      </c>
      <c r="G147" s="3538" t="s">
        <v>3714</v>
      </c>
      <c r="H147" s="3532" t="s">
        <v>3710</v>
      </c>
      <c r="I147" s="3541" t="s">
        <v>3715</v>
      </c>
      <c r="J147" s="3527"/>
    </row>
    <row r="148" spans="1:10" ht="25.5">
      <c r="A148" s="3532" t="s">
        <v>3554</v>
      </c>
      <c r="B148" s="3532" t="s">
        <v>3676</v>
      </c>
      <c r="C148" s="3534" t="s">
        <v>3619</v>
      </c>
      <c r="D148" s="3535">
        <v>293.2</v>
      </c>
      <c r="E148" s="3532" t="s">
        <v>3534</v>
      </c>
      <c r="F148" s="3532" t="s">
        <v>21</v>
      </c>
      <c r="G148" s="3538" t="s">
        <v>3714</v>
      </c>
      <c r="H148" s="3532" t="s">
        <v>3710</v>
      </c>
      <c r="I148" s="3541" t="s">
        <v>3715</v>
      </c>
      <c r="J148" s="3527"/>
    </row>
    <row r="149" spans="1:10" ht="25.5">
      <c r="A149" s="3532" t="s">
        <v>3554</v>
      </c>
      <c r="B149" s="3532" t="s">
        <v>3676</v>
      </c>
      <c r="C149" s="3534" t="s">
        <v>3620</v>
      </c>
      <c r="D149" s="3535">
        <v>160.71</v>
      </c>
      <c r="E149" s="3532" t="s">
        <v>3534</v>
      </c>
      <c r="F149" s="3532" t="s">
        <v>21</v>
      </c>
      <c r="G149" s="3538" t="s">
        <v>3714</v>
      </c>
      <c r="H149" s="3532" t="s">
        <v>3710</v>
      </c>
      <c r="I149" s="3541" t="s">
        <v>3715</v>
      </c>
      <c r="J149" s="3527"/>
    </row>
    <row r="150" spans="1:10" ht="25.5">
      <c r="A150" s="3532" t="s">
        <v>3554</v>
      </c>
      <c r="B150" s="3532" t="s">
        <v>3676</v>
      </c>
      <c r="C150" s="3534" t="s">
        <v>3621</v>
      </c>
      <c r="D150" s="3535">
        <v>108.41</v>
      </c>
      <c r="E150" s="3532" t="s">
        <v>3534</v>
      </c>
      <c r="F150" s="3532" t="s">
        <v>21</v>
      </c>
      <c r="G150" s="3538" t="s">
        <v>3714</v>
      </c>
      <c r="H150" s="3532" t="s">
        <v>3710</v>
      </c>
      <c r="I150" s="3541" t="s">
        <v>3715</v>
      </c>
      <c r="J150" s="3527"/>
    </row>
    <row r="151" spans="1:10" ht="25.5">
      <c r="A151" s="3532" t="s">
        <v>3554</v>
      </c>
      <c r="B151" s="3532" t="s">
        <v>3676</v>
      </c>
      <c r="C151" s="3534" t="s">
        <v>3622</v>
      </c>
      <c r="D151" s="3535">
        <v>108.41</v>
      </c>
      <c r="E151" s="3532" t="s">
        <v>3534</v>
      </c>
      <c r="F151" s="3532" t="s">
        <v>21</v>
      </c>
      <c r="G151" s="3538" t="s">
        <v>3714</v>
      </c>
      <c r="H151" s="3532" t="s">
        <v>3710</v>
      </c>
      <c r="I151" s="3541" t="s">
        <v>3715</v>
      </c>
      <c r="J151" s="3527"/>
    </row>
    <row r="152" spans="1:10" ht="25.5">
      <c r="A152" s="3532" t="s">
        <v>3554</v>
      </c>
      <c r="B152" s="3532" t="s">
        <v>3676</v>
      </c>
      <c r="C152" s="3534" t="s">
        <v>3623</v>
      </c>
      <c r="D152" s="3535">
        <v>107.7</v>
      </c>
      <c r="E152" s="3532" t="s">
        <v>3534</v>
      </c>
      <c r="F152" s="3532" t="s">
        <v>21</v>
      </c>
      <c r="G152" s="3538" t="s">
        <v>3714</v>
      </c>
      <c r="H152" s="3532" t="s">
        <v>3710</v>
      </c>
      <c r="I152" s="3541" t="s">
        <v>3715</v>
      </c>
      <c r="J152" s="3527"/>
    </row>
    <row r="153" spans="1:10" ht="25.5">
      <c r="A153" s="3532" t="s">
        <v>3554</v>
      </c>
      <c r="B153" s="3532" t="s">
        <v>3676</v>
      </c>
      <c r="C153" s="3534" t="s">
        <v>3624</v>
      </c>
      <c r="D153" s="3535">
        <v>293.2</v>
      </c>
      <c r="E153" s="3532" t="s">
        <v>3534</v>
      </c>
      <c r="F153" s="3532" t="s">
        <v>21</v>
      </c>
      <c r="G153" s="3538" t="s">
        <v>3716</v>
      </c>
      <c r="H153" s="3537" t="s">
        <v>3717</v>
      </c>
      <c r="I153" s="3537" t="s">
        <v>3718</v>
      </c>
      <c r="J153" s="3527"/>
    </row>
    <row r="154" spans="1:10" ht="25.5">
      <c r="A154" s="3532" t="s">
        <v>3554</v>
      </c>
      <c r="B154" s="3532" t="s">
        <v>3676</v>
      </c>
      <c r="C154" s="3534" t="s">
        <v>3625</v>
      </c>
      <c r="D154" s="3535">
        <v>154.78</v>
      </c>
      <c r="E154" s="3532" t="s">
        <v>3534</v>
      </c>
      <c r="F154" s="3532" t="s">
        <v>21</v>
      </c>
      <c r="G154" s="3538" t="s">
        <v>3709</v>
      </c>
      <c r="H154" s="3537" t="s">
        <v>3710</v>
      </c>
      <c r="I154" s="3537" t="s">
        <v>3712</v>
      </c>
      <c r="J154" s="3527"/>
    </row>
    <row r="155" spans="1:10" ht="25.5">
      <c r="A155" s="3532" t="s">
        <v>3554</v>
      </c>
      <c r="B155" s="3532" t="s">
        <v>3676</v>
      </c>
      <c r="C155" s="3534" t="s">
        <v>3626</v>
      </c>
      <c r="D155" s="3535">
        <v>108.41</v>
      </c>
      <c r="E155" s="3532" t="s">
        <v>3534</v>
      </c>
      <c r="F155" s="3532" t="s">
        <v>21</v>
      </c>
      <c r="G155" s="3538" t="s">
        <v>3709</v>
      </c>
      <c r="H155" s="3537" t="s">
        <v>3710</v>
      </c>
      <c r="I155" s="3537" t="s">
        <v>3713</v>
      </c>
      <c r="J155" s="3527"/>
    </row>
    <row r="156" spans="1:10" ht="25.5">
      <c r="A156" s="3532" t="s">
        <v>3554</v>
      </c>
      <c r="B156" s="3532" t="s">
        <v>3676</v>
      </c>
      <c r="C156" s="3534" t="s">
        <v>3627</v>
      </c>
      <c r="D156" s="3535">
        <v>108.41</v>
      </c>
      <c r="E156" s="3532" t="s">
        <v>3534</v>
      </c>
      <c r="F156" s="3532" t="s">
        <v>21</v>
      </c>
      <c r="G156" s="3538" t="s">
        <v>3709</v>
      </c>
      <c r="H156" s="3537" t="s">
        <v>3710</v>
      </c>
      <c r="I156" s="3537" t="s">
        <v>3713</v>
      </c>
      <c r="J156" s="3527"/>
    </row>
    <row r="157" spans="1:10" ht="25.5">
      <c r="A157" s="3532" t="s">
        <v>3554</v>
      </c>
      <c r="B157" s="3532" t="s">
        <v>3676</v>
      </c>
      <c r="C157" s="3534" t="s">
        <v>3628</v>
      </c>
      <c r="D157" s="3535">
        <v>108.41</v>
      </c>
      <c r="E157" s="3532" t="s">
        <v>3534</v>
      </c>
      <c r="F157" s="3532" t="s">
        <v>21</v>
      </c>
      <c r="G157" s="3538" t="s">
        <v>3709</v>
      </c>
      <c r="H157" s="3537" t="s">
        <v>3710</v>
      </c>
      <c r="I157" s="3537" t="s">
        <v>3713</v>
      </c>
      <c r="J157" s="3527"/>
    </row>
    <row r="158" spans="1:10" ht="25.5">
      <c r="A158" s="3532" t="s">
        <v>3554</v>
      </c>
      <c r="B158" s="3532" t="s">
        <v>3676</v>
      </c>
      <c r="C158" s="3534" t="s">
        <v>3629</v>
      </c>
      <c r="D158" s="3535">
        <v>293.2</v>
      </c>
      <c r="E158" s="3532" t="s">
        <v>3534</v>
      </c>
      <c r="F158" s="3532" t="s">
        <v>21</v>
      </c>
      <c r="G158" s="3538" t="s">
        <v>3716</v>
      </c>
      <c r="H158" s="3537" t="s">
        <v>3717</v>
      </c>
      <c r="I158" s="3537" t="s">
        <v>3718</v>
      </c>
      <c r="J158" s="3527"/>
    </row>
    <row r="159" spans="1:10" ht="25.5">
      <c r="A159" s="3532" t="s">
        <v>3554</v>
      </c>
      <c r="B159" s="3532" t="s">
        <v>3676</v>
      </c>
      <c r="C159" s="3534" t="s">
        <v>3630</v>
      </c>
      <c r="D159" s="3535">
        <v>160.71</v>
      </c>
      <c r="E159" s="3532" t="s">
        <v>3534</v>
      </c>
      <c r="F159" s="3532" t="s">
        <v>21</v>
      </c>
      <c r="G159" s="3538" t="s">
        <v>3716</v>
      </c>
      <c r="H159" s="3537" t="s">
        <v>3717</v>
      </c>
      <c r="I159" s="3537" t="s">
        <v>3718</v>
      </c>
      <c r="J159" s="3527"/>
    </row>
    <row r="160" spans="1:10" ht="25.5">
      <c r="A160" s="3532" t="s">
        <v>3554</v>
      </c>
      <c r="B160" s="3532" t="s">
        <v>3676</v>
      </c>
      <c r="C160" s="3534" t="s">
        <v>3631</v>
      </c>
      <c r="D160" s="3535">
        <v>108.41</v>
      </c>
      <c r="E160" s="3532" t="s">
        <v>3534</v>
      </c>
      <c r="F160" s="3532" t="s">
        <v>21</v>
      </c>
      <c r="G160" s="3538" t="s">
        <v>3716</v>
      </c>
      <c r="H160" s="3537" t="s">
        <v>3717</v>
      </c>
      <c r="I160" s="3537" t="s">
        <v>3718</v>
      </c>
      <c r="J160" s="3527"/>
    </row>
    <row r="161" spans="1:10" ht="25.5">
      <c r="A161" s="3532" t="s">
        <v>3554</v>
      </c>
      <c r="B161" s="3532" t="s">
        <v>3676</v>
      </c>
      <c r="C161" s="3534" t="s">
        <v>3632</v>
      </c>
      <c r="D161" s="3535">
        <v>108.41</v>
      </c>
      <c r="E161" s="3532" t="s">
        <v>3534</v>
      </c>
      <c r="F161" s="3532" t="s">
        <v>21</v>
      </c>
      <c r="G161" s="3538" t="s">
        <v>3716</v>
      </c>
      <c r="H161" s="3537" t="s">
        <v>3717</v>
      </c>
      <c r="I161" s="3537" t="s">
        <v>3718</v>
      </c>
      <c r="J161" s="3527"/>
    </row>
    <row r="162" spans="1:10" ht="25.5">
      <c r="A162" s="3532" t="s">
        <v>3554</v>
      </c>
      <c r="B162" s="3532" t="s">
        <v>3676</v>
      </c>
      <c r="C162" s="3534" t="s">
        <v>3633</v>
      </c>
      <c r="D162" s="3535">
        <v>107.7</v>
      </c>
      <c r="E162" s="3532" t="s">
        <v>3534</v>
      </c>
      <c r="F162" s="3532" t="s">
        <v>21</v>
      </c>
      <c r="G162" s="3538" t="s">
        <v>3716</v>
      </c>
      <c r="H162" s="3537" t="s">
        <v>3717</v>
      </c>
      <c r="I162" s="3537" t="s">
        <v>3718</v>
      </c>
      <c r="J162" s="3527"/>
    </row>
    <row r="163" spans="1:10" ht="25.5">
      <c r="A163" s="3532" t="s">
        <v>3554</v>
      </c>
      <c r="B163" s="3532" t="s">
        <v>3676</v>
      </c>
      <c r="C163" s="3534" t="s">
        <v>3634</v>
      </c>
      <c r="D163" s="3535">
        <v>293.2</v>
      </c>
      <c r="E163" s="3532" t="s">
        <v>3534</v>
      </c>
      <c r="F163" s="3532" t="s">
        <v>21</v>
      </c>
      <c r="G163" s="3538" t="s">
        <v>3719</v>
      </c>
      <c r="H163" s="3537" t="s">
        <v>3720</v>
      </c>
      <c r="I163" s="3541" t="s">
        <v>3721</v>
      </c>
      <c r="J163" s="3527"/>
    </row>
    <row r="164" spans="1:10" ht="25.5">
      <c r="A164" s="3532" t="s">
        <v>3554</v>
      </c>
      <c r="B164" s="3532" t="s">
        <v>3676</v>
      </c>
      <c r="C164" s="3534" t="s">
        <v>3635</v>
      </c>
      <c r="D164" s="3535">
        <v>154.78</v>
      </c>
      <c r="E164" s="3532" t="s">
        <v>3534</v>
      </c>
      <c r="F164" s="3532" t="s">
        <v>21</v>
      </c>
      <c r="G164" s="3538" t="s">
        <v>3719</v>
      </c>
      <c r="H164" s="3537" t="s">
        <v>3720</v>
      </c>
      <c r="I164" s="3541" t="s">
        <v>3721</v>
      </c>
      <c r="J164" s="3527"/>
    </row>
    <row r="165" spans="1:10" ht="25.5">
      <c r="A165" s="3532" t="s">
        <v>3554</v>
      </c>
      <c r="B165" s="3532" t="s">
        <v>3676</v>
      </c>
      <c r="C165" s="3534" t="s">
        <v>3636</v>
      </c>
      <c r="D165" s="3535">
        <v>108.41</v>
      </c>
      <c r="E165" s="3532" t="s">
        <v>3534</v>
      </c>
      <c r="F165" s="3532" t="s">
        <v>21</v>
      </c>
      <c r="G165" s="3538" t="s">
        <v>3719</v>
      </c>
      <c r="H165" s="3537" t="s">
        <v>3720</v>
      </c>
      <c r="I165" s="3541" t="s">
        <v>3721</v>
      </c>
      <c r="J165" s="3527"/>
    </row>
    <row r="166" spans="1:10" ht="25.5">
      <c r="A166" s="3532" t="s">
        <v>3554</v>
      </c>
      <c r="B166" s="3532" t="s">
        <v>3676</v>
      </c>
      <c r="C166" s="3534" t="s">
        <v>3637</v>
      </c>
      <c r="D166" s="3535">
        <v>108.41</v>
      </c>
      <c r="E166" s="3532" t="s">
        <v>3534</v>
      </c>
      <c r="F166" s="3532" t="s">
        <v>21</v>
      </c>
      <c r="G166" s="3538" t="s">
        <v>3719</v>
      </c>
      <c r="H166" s="3537" t="s">
        <v>3720</v>
      </c>
      <c r="I166" s="3541" t="s">
        <v>3721</v>
      </c>
      <c r="J166" s="3527"/>
    </row>
    <row r="167" spans="1:10" ht="25.5">
      <c r="A167" s="3532" t="s">
        <v>3554</v>
      </c>
      <c r="B167" s="3532" t="s">
        <v>3676</v>
      </c>
      <c r="C167" s="3534" t="s">
        <v>3638</v>
      </c>
      <c r="D167" s="3535">
        <v>108.41</v>
      </c>
      <c r="E167" s="3532" t="s">
        <v>3534</v>
      </c>
      <c r="F167" s="3532" t="s">
        <v>21</v>
      </c>
      <c r="G167" s="3538" t="s">
        <v>3719</v>
      </c>
      <c r="H167" s="3537" t="s">
        <v>3720</v>
      </c>
      <c r="I167" s="3541" t="s">
        <v>3721</v>
      </c>
      <c r="J167" s="3527"/>
    </row>
    <row r="168" spans="1:10" ht="25.5">
      <c r="A168" s="3532" t="s">
        <v>3554</v>
      </c>
      <c r="B168" s="3532" t="s">
        <v>3676</v>
      </c>
      <c r="C168" s="3534" t="s">
        <v>3639</v>
      </c>
      <c r="D168" s="3535">
        <v>293.2</v>
      </c>
      <c r="E168" s="3532" t="s">
        <v>3534</v>
      </c>
      <c r="F168" s="3532" t="s">
        <v>21</v>
      </c>
      <c r="G168" s="3538" t="s">
        <v>3719</v>
      </c>
      <c r="H168" s="3537" t="s">
        <v>3720</v>
      </c>
      <c r="I168" s="3541" t="s">
        <v>3721</v>
      </c>
      <c r="J168" s="3527"/>
    </row>
    <row r="169" spans="1:10" ht="25.5">
      <c r="A169" s="3532" t="s">
        <v>3554</v>
      </c>
      <c r="B169" s="3532" t="s">
        <v>3676</v>
      </c>
      <c r="C169" s="3534" t="s">
        <v>3640</v>
      </c>
      <c r="D169" s="3535">
        <v>160.71</v>
      </c>
      <c r="E169" s="3532" t="s">
        <v>3534</v>
      </c>
      <c r="F169" s="3532" t="s">
        <v>21</v>
      </c>
      <c r="G169" s="3538" t="s">
        <v>3719</v>
      </c>
      <c r="H169" s="3537" t="s">
        <v>3720</v>
      </c>
      <c r="I169" s="3541" t="s">
        <v>3721</v>
      </c>
      <c r="J169" s="3527"/>
    </row>
    <row r="170" spans="1:10" ht="25.5">
      <c r="A170" s="3532" t="s">
        <v>3554</v>
      </c>
      <c r="B170" s="3532" t="s">
        <v>3676</v>
      </c>
      <c r="C170" s="3534" t="s">
        <v>3641</v>
      </c>
      <c r="D170" s="3535">
        <v>108.41</v>
      </c>
      <c r="E170" s="3532" t="s">
        <v>3534</v>
      </c>
      <c r="F170" s="3532" t="s">
        <v>21</v>
      </c>
      <c r="G170" s="3538" t="s">
        <v>3719</v>
      </c>
      <c r="H170" s="3537" t="s">
        <v>3720</v>
      </c>
      <c r="I170" s="3541" t="s">
        <v>3721</v>
      </c>
      <c r="J170" s="3527"/>
    </row>
    <row r="171" spans="1:10" ht="25.5">
      <c r="A171" s="3532" t="s">
        <v>3554</v>
      </c>
      <c r="B171" s="3532" t="s">
        <v>3676</v>
      </c>
      <c r="C171" s="3534" t="s">
        <v>3642</v>
      </c>
      <c r="D171" s="3535">
        <v>108.41</v>
      </c>
      <c r="E171" s="3532" t="s">
        <v>3534</v>
      </c>
      <c r="F171" s="3532" t="s">
        <v>21</v>
      </c>
      <c r="G171" s="3538" t="s">
        <v>3719</v>
      </c>
      <c r="H171" s="3537" t="s">
        <v>3720</v>
      </c>
      <c r="I171" s="3541" t="s">
        <v>3721</v>
      </c>
      <c r="J171" s="3527"/>
    </row>
    <row r="172" spans="1:10" ht="25.5">
      <c r="A172" s="3532" t="s">
        <v>3554</v>
      </c>
      <c r="B172" s="3532" t="s">
        <v>3676</v>
      </c>
      <c r="C172" s="3534" t="s">
        <v>3643</v>
      </c>
      <c r="D172" s="3535">
        <v>107.7</v>
      </c>
      <c r="E172" s="3532" t="s">
        <v>3534</v>
      </c>
      <c r="F172" s="3532" t="s">
        <v>21</v>
      </c>
      <c r="G172" s="3538" t="s">
        <v>3719</v>
      </c>
      <c r="H172" s="3537" t="s">
        <v>3720</v>
      </c>
      <c r="I172" s="3541" t="s">
        <v>3721</v>
      </c>
      <c r="J172" s="3527"/>
    </row>
    <row r="173" spans="1:10" ht="25.5">
      <c r="A173" s="3532" t="s">
        <v>3554</v>
      </c>
      <c r="B173" s="3532" t="s">
        <v>3676</v>
      </c>
      <c r="C173" s="3534" t="s">
        <v>3644</v>
      </c>
      <c r="D173" s="3535">
        <v>261.01</v>
      </c>
      <c r="E173" s="3532" t="s">
        <v>3534</v>
      </c>
      <c r="F173" s="3532" t="s">
        <v>21</v>
      </c>
      <c r="G173" s="3538" t="s">
        <v>3722</v>
      </c>
      <c r="H173" s="3532" t="s">
        <v>3723</v>
      </c>
      <c r="I173" s="3541" t="s">
        <v>3724</v>
      </c>
      <c r="J173" s="3527"/>
    </row>
    <row r="174" spans="1:10" ht="25.5">
      <c r="A174" s="3532" t="s">
        <v>3554</v>
      </c>
      <c r="B174" s="3532" t="s">
        <v>3676</v>
      </c>
      <c r="C174" s="3534" t="s">
        <v>3645</v>
      </c>
      <c r="D174" s="3535">
        <v>148.66</v>
      </c>
      <c r="E174" s="3532" t="s">
        <v>3534</v>
      </c>
      <c r="F174" s="3532" t="s">
        <v>21</v>
      </c>
      <c r="G174" s="3538" t="s">
        <v>3725</v>
      </c>
      <c r="H174" s="3532" t="s">
        <v>3726</v>
      </c>
      <c r="I174" s="3541" t="s">
        <v>3727</v>
      </c>
      <c r="J174" s="3527"/>
    </row>
    <row r="175" spans="1:10" ht="25.5">
      <c r="A175" s="3532" t="s">
        <v>3554</v>
      </c>
      <c r="B175" s="3532" t="s">
        <v>3676</v>
      </c>
      <c r="C175" s="3534" t="s">
        <v>3646</v>
      </c>
      <c r="D175" s="3535">
        <v>108.41</v>
      </c>
      <c r="E175" s="3532" t="s">
        <v>3534</v>
      </c>
      <c r="F175" s="3532" t="s">
        <v>21</v>
      </c>
      <c r="G175" s="3538" t="s">
        <v>3725</v>
      </c>
      <c r="H175" s="3532" t="s">
        <v>3726</v>
      </c>
      <c r="I175" s="3541" t="s">
        <v>3727</v>
      </c>
      <c r="J175" s="3527"/>
    </row>
    <row r="176" spans="1:10" ht="25.5">
      <c r="A176" s="3532" t="s">
        <v>3554</v>
      </c>
      <c r="B176" s="3532" t="s">
        <v>3676</v>
      </c>
      <c r="C176" s="3534" t="s">
        <v>3647</v>
      </c>
      <c r="D176" s="3535">
        <v>108.41</v>
      </c>
      <c r="E176" s="3532" t="s">
        <v>3534</v>
      </c>
      <c r="F176" s="3532" t="s">
        <v>21</v>
      </c>
      <c r="G176" s="3538" t="s">
        <v>3725</v>
      </c>
      <c r="H176" s="3532" t="s">
        <v>3726</v>
      </c>
      <c r="I176" s="3541" t="s">
        <v>3727</v>
      </c>
      <c r="J176" s="3527"/>
    </row>
    <row r="177" spans="1:10" ht="25.5">
      <c r="A177" s="3532" t="s">
        <v>3554</v>
      </c>
      <c r="B177" s="3532" t="s">
        <v>3676</v>
      </c>
      <c r="C177" s="3534" t="s">
        <v>3648</v>
      </c>
      <c r="D177" s="3535">
        <v>108.41</v>
      </c>
      <c r="E177" s="3532" t="s">
        <v>3534</v>
      </c>
      <c r="F177" s="3532" t="s">
        <v>21</v>
      </c>
      <c r="G177" s="3538" t="s">
        <v>3725</v>
      </c>
      <c r="H177" s="3532" t="s">
        <v>3726</v>
      </c>
      <c r="I177" s="3541" t="s">
        <v>3727</v>
      </c>
      <c r="J177" s="3527"/>
    </row>
    <row r="178" spans="1:10" ht="25.5">
      <c r="A178" s="3532" t="s">
        <v>3554</v>
      </c>
      <c r="B178" s="3532" t="s">
        <v>3676</v>
      </c>
      <c r="C178" s="3534" t="s">
        <v>3649</v>
      </c>
      <c r="D178" s="3535">
        <v>257.74</v>
      </c>
      <c r="E178" s="3532" t="s">
        <v>3534</v>
      </c>
      <c r="F178" s="3532" t="s">
        <v>21</v>
      </c>
      <c r="G178" s="3538" t="s">
        <v>3722</v>
      </c>
      <c r="H178" s="3532" t="s">
        <v>3723</v>
      </c>
      <c r="I178" s="3541" t="s">
        <v>3724</v>
      </c>
      <c r="J178" s="3527"/>
    </row>
    <row r="179" spans="1:10" ht="25.5">
      <c r="A179" s="3532" t="s">
        <v>3554</v>
      </c>
      <c r="B179" s="3532" t="s">
        <v>3676</v>
      </c>
      <c r="C179" s="3534" t="s">
        <v>3650</v>
      </c>
      <c r="D179" s="3535">
        <v>153.94999999999999</v>
      </c>
      <c r="E179" s="3532" t="s">
        <v>3534</v>
      </c>
      <c r="F179" s="3532" t="s">
        <v>21</v>
      </c>
      <c r="G179" s="3538" t="s">
        <v>3722</v>
      </c>
      <c r="H179" s="3532" t="s">
        <v>3723</v>
      </c>
      <c r="I179" s="3541" t="s">
        <v>3724</v>
      </c>
      <c r="J179" s="3527"/>
    </row>
    <row r="180" spans="1:10" ht="25.5">
      <c r="A180" s="3532" t="s">
        <v>3554</v>
      </c>
      <c r="B180" s="3532" t="s">
        <v>3676</v>
      </c>
      <c r="C180" s="3534" t="s">
        <v>3651</v>
      </c>
      <c r="D180" s="3535">
        <v>108.41</v>
      </c>
      <c r="E180" s="3532" t="s">
        <v>3534</v>
      </c>
      <c r="F180" s="3532" t="s">
        <v>21</v>
      </c>
      <c r="G180" s="3538" t="s">
        <v>3722</v>
      </c>
      <c r="H180" s="3532" t="s">
        <v>3723</v>
      </c>
      <c r="I180" s="3541" t="s">
        <v>3724</v>
      </c>
      <c r="J180" s="3527"/>
    </row>
    <row r="181" spans="1:10" ht="25.5">
      <c r="A181" s="3532" t="s">
        <v>3554</v>
      </c>
      <c r="B181" s="3532" t="s">
        <v>3676</v>
      </c>
      <c r="C181" s="3534" t="s">
        <v>3652</v>
      </c>
      <c r="D181" s="3535">
        <v>108.41</v>
      </c>
      <c r="E181" s="3532" t="s">
        <v>3534</v>
      </c>
      <c r="F181" s="3532" t="s">
        <v>21</v>
      </c>
      <c r="G181" s="3538" t="s">
        <v>3722</v>
      </c>
      <c r="H181" s="3532" t="s">
        <v>3723</v>
      </c>
      <c r="I181" s="3541" t="s">
        <v>3724</v>
      </c>
      <c r="J181" s="3527"/>
    </row>
    <row r="182" spans="1:10" ht="25.5">
      <c r="A182" s="3532" t="s">
        <v>3554</v>
      </c>
      <c r="B182" s="3532" t="s">
        <v>3676</v>
      </c>
      <c r="C182" s="3534" t="s">
        <v>3653</v>
      </c>
      <c r="D182" s="3535">
        <v>107.7</v>
      </c>
      <c r="E182" s="3532" t="s">
        <v>3534</v>
      </c>
      <c r="F182" s="3532" t="s">
        <v>21</v>
      </c>
      <c r="G182" s="3538" t="s">
        <v>3722</v>
      </c>
      <c r="H182" s="3532" t="s">
        <v>3723</v>
      </c>
      <c r="I182" s="3541" t="s">
        <v>3724</v>
      </c>
      <c r="J182" s="3527"/>
    </row>
    <row r="183" spans="1:10" ht="25.5">
      <c r="A183" s="3532" t="s">
        <v>3554</v>
      </c>
      <c r="B183" s="3532" t="s">
        <v>3676</v>
      </c>
      <c r="C183" s="3534" t="s">
        <v>3654</v>
      </c>
      <c r="D183" s="3535">
        <v>141.12</v>
      </c>
      <c r="E183" s="3532" t="s">
        <v>3534</v>
      </c>
      <c r="F183" s="3532" t="s">
        <v>21</v>
      </c>
      <c r="G183" s="3538" t="s">
        <v>3728</v>
      </c>
      <c r="H183" s="3537" t="s">
        <v>3729</v>
      </c>
      <c r="I183" s="3537" t="s">
        <v>3730</v>
      </c>
      <c r="J183" s="3527"/>
    </row>
    <row r="184" spans="1:10" ht="25.5">
      <c r="A184" s="3532" t="s">
        <v>3554</v>
      </c>
      <c r="B184" s="3532" t="s">
        <v>3676</v>
      </c>
      <c r="C184" s="3534" t="s">
        <v>3655</v>
      </c>
      <c r="D184" s="3535">
        <v>109.71</v>
      </c>
      <c r="E184" s="3532" t="s">
        <v>3534</v>
      </c>
      <c r="F184" s="3532" t="s">
        <v>21</v>
      </c>
      <c r="G184" s="3538" t="s">
        <v>3728</v>
      </c>
      <c r="H184" s="3537" t="s">
        <v>3729</v>
      </c>
      <c r="I184" s="3537" t="s">
        <v>3730</v>
      </c>
      <c r="J184" s="3527"/>
    </row>
    <row r="185" spans="1:10" ht="25.5">
      <c r="A185" s="3532" t="s">
        <v>3554</v>
      </c>
      <c r="B185" s="3532" t="s">
        <v>3676</v>
      </c>
      <c r="C185" s="3534" t="s">
        <v>3656</v>
      </c>
      <c r="D185" s="3535">
        <v>141.12</v>
      </c>
      <c r="E185" s="3532" t="s">
        <v>3534</v>
      </c>
      <c r="F185" s="3532" t="s">
        <v>21</v>
      </c>
      <c r="G185" s="3538" t="s">
        <v>3728</v>
      </c>
      <c r="H185" s="3537" t="s">
        <v>3729</v>
      </c>
      <c r="I185" s="3537" t="s">
        <v>3730</v>
      </c>
      <c r="J185" s="3527"/>
    </row>
    <row r="186" spans="1:10" ht="25.5">
      <c r="A186" s="3532" t="s">
        <v>3554</v>
      </c>
      <c r="B186" s="3532" t="s">
        <v>3676</v>
      </c>
      <c r="C186" s="3534" t="s">
        <v>3657</v>
      </c>
      <c r="D186" s="3535">
        <v>107.44</v>
      </c>
      <c r="E186" s="3532" t="s">
        <v>3534</v>
      </c>
      <c r="F186" s="3532" t="s">
        <v>21</v>
      </c>
      <c r="G186" s="3538" t="s">
        <v>3728</v>
      </c>
      <c r="H186" s="3537" t="s">
        <v>3729</v>
      </c>
      <c r="I186" s="3537" t="s">
        <v>3730</v>
      </c>
      <c r="J186" s="3527"/>
    </row>
    <row r="187" spans="1:10" ht="25.5">
      <c r="A187" s="3532" t="s">
        <v>3554</v>
      </c>
      <c r="B187" s="3532" t="s">
        <v>3676</v>
      </c>
      <c r="C187" s="3534" t="s">
        <v>3658</v>
      </c>
      <c r="D187" s="3535">
        <v>106.79</v>
      </c>
      <c r="E187" s="3532" t="s">
        <v>3534</v>
      </c>
      <c r="F187" s="3532" t="s">
        <v>21</v>
      </c>
      <c r="G187" s="3538" t="s">
        <v>3728</v>
      </c>
      <c r="H187" s="3537" t="s">
        <v>3729</v>
      </c>
      <c r="I187" s="3537" t="s">
        <v>3730</v>
      </c>
      <c r="J187" s="3527"/>
    </row>
    <row r="188" spans="1:10" ht="25.5">
      <c r="A188" s="3532" t="s">
        <v>3554</v>
      </c>
      <c r="B188" s="3532" t="s">
        <v>3676</v>
      </c>
      <c r="C188" s="3534" t="s">
        <v>3659</v>
      </c>
      <c r="D188" s="3535">
        <v>107.4</v>
      </c>
      <c r="E188" s="3532" t="s">
        <v>3534</v>
      </c>
      <c r="F188" s="3532" t="s">
        <v>21</v>
      </c>
      <c r="G188" s="3538" t="s">
        <v>3728</v>
      </c>
      <c r="H188" s="3537" t="s">
        <v>3729</v>
      </c>
      <c r="I188" s="3537" t="s">
        <v>3730</v>
      </c>
      <c r="J188" s="3527"/>
    </row>
    <row r="189" spans="1:10" ht="25.5">
      <c r="A189" s="3532" t="s">
        <v>3554</v>
      </c>
      <c r="B189" s="3532" t="s">
        <v>3676</v>
      </c>
      <c r="C189" s="3534" t="s">
        <v>3660</v>
      </c>
      <c r="D189" s="3535">
        <v>146.99</v>
      </c>
      <c r="E189" s="3532" t="s">
        <v>3534</v>
      </c>
      <c r="F189" s="3532" t="s">
        <v>21</v>
      </c>
      <c r="G189" s="3538" t="s">
        <v>3728</v>
      </c>
      <c r="H189" s="3537" t="s">
        <v>3729</v>
      </c>
      <c r="I189" s="3537" t="s">
        <v>3730</v>
      </c>
      <c r="J189" s="3527"/>
    </row>
    <row r="190" spans="1:10" ht="25.5">
      <c r="A190" s="3532" t="s">
        <v>3554</v>
      </c>
      <c r="B190" s="3532" t="s">
        <v>3676</v>
      </c>
      <c r="C190" s="3534" t="s">
        <v>3661</v>
      </c>
      <c r="D190" s="3535">
        <v>103.78</v>
      </c>
      <c r="E190" s="3532" t="s">
        <v>3534</v>
      </c>
      <c r="F190" s="3532" t="s">
        <v>21</v>
      </c>
      <c r="G190" s="3538" t="s">
        <v>3728</v>
      </c>
      <c r="H190" s="3537" t="s">
        <v>3729</v>
      </c>
      <c r="I190" s="3537" t="s">
        <v>3730</v>
      </c>
      <c r="J190" s="3527"/>
    </row>
    <row r="191" spans="1:10" ht="25.5">
      <c r="A191" s="3532" t="s">
        <v>3554</v>
      </c>
      <c r="B191" s="3532" t="s">
        <v>3676</v>
      </c>
      <c r="C191" s="3534" t="s">
        <v>3662</v>
      </c>
      <c r="D191" s="3535">
        <v>146.99</v>
      </c>
      <c r="E191" s="3532" t="s">
        <v>3534</v>
      </c>
      <c r="F191" s="3532" t="s">
        <v>21</v>
      </c>
      <c r="G191" s="3538" t="s">
        <v>3728</v>
      </c>
      <c r="H191" s="3537" t="s">
        <v>3729</v>
      </c>
      <c r="I191" s="3537" t="s">
        <v>3730</v>
      </c>
      <c r="J191" s="3527"/>
    </row>
    <row r="192" spans="1:10" ht="25.5">
      <c r="A192" s="3532" t="s">
        <v>3554</v>
      </c>
      <c r="B192" s="3532" t="s">
        <v>3676</v>
      </c>
      <c r="C192" s="3534" t="s">
        <v>3663</v>
      </c>
      <c r="D192" s="3535">
        <v>107.4</v>
      </c>
      <c r="E192" s="3532" t="s">
        <v>3534</v>
      </c>
      <c r="F192" s="3532" t="s">
        <v>21</v>
      </c>
      <c r="G192" s="3538" t="s">
        <v>3728</v>
      </c>
      <c r="H192" s="3537" t="s">
        <v>3729</v>
      </c>
      <c r="I192" s="3537" t="s">
        <v>3730</v>
      </c>
      <c r="J192" s="3527"/>
    </row>
    <row r="193" spans="1:10" ht="25.5">
      <c r="A193" s="3532" t="s">
        <v>3554</v>
      </c>
      <c r="B193" s="3532" t="s">
        <v>3676</v>
      </c>
      <c r="C193" s="3534" t="s">
        <v>3731</v>
      </c>
      <c r="D193" s="3535">
        <v>106.79</v>
      </c>
      <c r="E193" s="3532" t="s">
        <v>3534</v>
      </c>
      <c r="F193" s="3532" t="s">
        <v>21</v>
      </c>
      <c r="G193" s="3538" t="s">
        <v>3728</v>
      </c>
      <c r="H193" s="3537" t="s">
        <v>3729</v>
      </c>
      <c r="I193" s="3537" t="s">
        <v>3730</v>
      </c>
      <c r="J193" s="3527"/>
    </row>
    <row r="194" spans="1:10" ht="25.5">
      <c r="A194" s="3532" t="s">
        <v>3554</v>
      </c>
      <c r="B194" s="3532" t="s">
        <v>3676</v>
      </c>
      <c r="C194" s="3534" t="s">
        <v>3732</v>
      </c>
      <c r="D194" s="3535">
        <v>107.44</v>
      </c>
      <c r="E194" s="3532" t="s">
        <v>3534</v>
      </c>
      <c r="F194" s="3532" t="s">
        <v>21</v>
      </c>
      <c r="G194" s="3538" t="s">
        <v>3728</v>
      </c>
      <c r="H194" s="3537" t="s">
        <v>3729</v>
      </c>
      <c r="I194" s="3537" t="s">
        <v>3730</v>
      </c>
      <c r="J194" s="3527"/>
    </row>
    <row r="195" spans="1:10" ht="25.5">
      <c r="A195" s="3532" t="s">
        <v>3554</v>
      </c>
      <c r="B195" s="3532" t="s">
        <v>3676</v>
      </c>
      <c r="C195" s="3534" t="s">
        <v>3733</v>
      </c>
      <c r="D195" s="3535">
        <v>141.12</v>
      </c>
      <c r="E195" s="3532" t="s">
        <v>3534</v>
      </c>
      <c r="F195" s="3532" t="s">
        <v>21</v>
      </c>
      <c r="G195" s="3538" t="s">
        <v>3734</v>
      </c>
      <c r="H195" s="3532" t="s">
        <v>3735</v>
      </c>
      <c r="I195" s="3541" t="s">
        <v>3736</v>
      </c>
      <c r="J195" s="3527"/>
    </row>
    <row r="196" spans="1:10" ht="25.5">
      <c r="A196" s="3532" t="s">
        <v>3554</v>
      </c>
      <c r="B196" s="3532" t="s">
        <v>3676</v>
      </c>
      <c r="C196" s="3534" t="s">
        <v>3737</v>
      </c>
      <c r="D196" s="3535">
        <v>109.71</v>
      </c>
      <c r="E196" s="3532" t="s">
        <v>3534</v>
      </c>
      <c r="F196" s="3532" t="s">
        <v>21</v>
      </c>
      <c r="G196" s="3538" t="s">
        <v>3734</v>
      </c>
      <c r="H196" s="3532" t="s">
        <v>3735</v>
      </c>
      <c r="I196" s="3541" t="s">
        <v>3736</v>
      </c>
      <c r="J196" s="3527"/>
    </row>
    <row r="197" spans="1:10" ht="25.5">
      <c r="A197" s="3532" t="s">
        <v>3554</v>
      </c>
      <c r="B197" s="3532" t="s">
        <v>3676</v>
      </c>
      <c r="C197" s="3534" t="s">
        <v>3738</v>
      </c>
      <c r="D197" s="3535">
        <v>141.12</v>
      </c>
      <c r="E197" s="3532" t="s">
        <v>3534</v>
      </c>
      <c r="F197" s="3532" t="s">
        <v>21</v>
      </c>
      <c r="G197" s="3538" t="s">
        <v>3734</v>
      </c>
      <c r="H197" s="3532" t="s">
        <v>3735</v>
      </c>
      <c r="I197" s="3541" t="s">
        <v>3736</v>
      </c>
      <c r="J197" s="3527"/>
    </row>
    <row r="198" spans="1:10" ht="25.5">
      <c r="A198" s="3532" t="s">
        <v>3554</v>
      </c>
      <c r="B198" s="3532" t="s">
        <v>3676</v>
      </c>
      <c r="C198" s="3534" t="s">
        <v>3739</v>
      </c>
      <c r="D198" s="3535">
        <v>107.44</v>
      </c>
      <c r="E198" s="3532" t="s">
        <v>3534</v>
      </c>
      <c r="F198" s="3532" t="s">
        <v>21</v>
      </c>
      <c r="G198" s="3538" t="s">
        <v>3734</v>
      </c>
      <c r="H198" s="3532" t="s">
        <v>3735</v>
      </c>
      <c r="I198" s="3541" t="s">
        <v>3736</v>
      </c>
      <c r="J198" s="3527"/>
    </row>
    <row r="199" spans="1:10" ht="25.5">
      <c r="A199" s="3532" t="s">
        <v>3554</v>
      </c>
      <c r="B199" s="3532" t="s">
        <v>3676</v>
      </c>
      <c r="C199" s="3534" t="s">
        <v>3740</v>
      </c>
      <c r="D199" s="3535">
        <v>106.79</v>
      </c>
      <c r="E199" s="3532" t="s">
        <v>3534</v>
      </c>
      <c r="F199" s="3532" t="s">
        <v>21</v>
      </c>
      <c r="G199" s="3538" t="s">
        <v>3734</v>
      </c>
      <c r="H199" s="3532" t="s">
        <v>3735</v>
      </c>
      <c r="I199" s="3541" t="s">
        <v>3736</v>
      </c>
      <c r="J199" s="3527"/>
    </row>
    <row r="200" spans="1:10" ht="25.5">
      <c r="A200" s="3532" t="s">
        <v>3554</v>
      </c>
      <c r="B200" s="3532" t="s">
        <v>3676</v>
      </c>
      <c r="C200" s="3534" t="s">
        <v>3741</v>
      </c>
      <c r="D200" s="3535">
        <v>107.4</v>
      </c>
      <c r="E200" s="3532" t="s">
        <v>3534</v>
      </c>
      <c r="F200" s="3532" t="s">
        <v>21</v>
      </c>
      <c r="G200" s="3538" t="s">
        <v>3734</v>
      </c>
      <c r="H200" s="3532" t="s">
        <v>3735</v>
      </c>
      <c r="I200" s="3541" t="s">
        <v>3736</v>
      </c>
      <c r="J200" s="3527"/>
    </row>
    <row r="201" spans="1:10" ht="25.5">
      <c r="A201" s="3532" t="s">
        <v>3554</v>
      </c>
      <c r="B201" s="3532" t="s">
        <v>3676</v>
      </c>
      <c r="C201" s="3534" t="s">
        <v>3742</v>
      </c>
      <c r="D201" s="3535">
        <v>146.99</v>
      </c>
      <c r="E201" s="3532" t="s">
        <v>3534</v>
      </c>
      <c r="F201" s="3532" t="s">
        <v>21</v>
      </c>
      <c r="G201" s="3538" t="s">
        <v>3734</v>
      </c>
      <c r="H201" s="3532" t="s">
        <v>3735</v>
      </c>
      <c r="I201" s="3541" t="s">
        <v>3736</v>
      </c>
      <c r="J201" s="3527"/>
    </row>
    <row r="202" spans="1:10" ht="25.5">
      <c r="A202" s="3532" t="s">
        <v>3554</v>
      </c>
      <c r="B202" s="3532" t="s">
        <v>3676</v>
      </c>
      <c r="C202" s="3534" t="s">
        <v>3743</v>
      </c>
      <c r="D202" s="3535">
        <v>103.78</v>
      </c>
      <c r="E202" s="3532" t="s">
        <v>3534</v>
      </c>
      <c r="F202" s="3532" t="s">
        <v>21</v>
      </c>
      <c r="G202" s="3538" t="s">
        <v>3734</v>
      </c>
      <c r="H202" s="3532" t="s">
        <v>3735</v>
      </c>
      <c r="I202" s="3541" t="s">
        <v>3736</v>
      </c>
      <c r="J202" s="3527"/>
    </row>
    <row r="203" spans="1:10" ht="25.5">
      <c r="A203" s="3532" t="s">
        <v>3554</v>
      </c>
      <c r="B203" s="3532" t="s">
        <v>3676</v>
      </c>
      <c r="C203" s="3534" t="s">
        <v>3744</v>
      </c>
      <c r="D203" s="3535">
        <v>146.99</v>
      </c>
      <c r="E203" s="3532" t="s">
        <v>3534</v>
      </c>
      <c r="F203" s="3532" t="s">
        <v>21</v>
      </c>
      <c r="G203" s="3538" t="s">
        <v>3734</v>
      </c>
      <c r="H203" s="3532" t="s">
        <v>3735</v>
      </c>
      <c r="I203" s="3541" t="s">
        <v>3736</v>
      </c>
      <c r="J203" s="3527"/>
    </row>
    <row r="204" spans="1:10" ht="25.5">
      <c r="A204" s="3532" t="s">
        <v>3554</v>
      </c>
      <c r="B204" s="3532" t="s">
        <v>3676</v>
      </c>
      <c r="C204" s="3534" t="s">
        <v>3745</v>
      </c>
      <c r="D204" s="3535">
        <v>107.4</v>
      </c>
      <c r="E204" s="3532" t="s">
        <v>3534</v>
      </c>
      <c r="F204" s="3532" t="s">
        <v>21</v>
      </c>
      <c r="G204" s="3538" t="s">
        <v>3734</v>
      </c>
      <c r="H204" s="3532" t="s">
        <v>3735</v>
      </c>
      <c r="I204" s="3541" t="s">
        <v>3736</v>
      </c>
      <c r="J204" s="3527"/>
    </row>
    <row r="205" spans="1:10" ht="25.5">
      <c r="A205" s="3532" t="s">
        <v>3554</v>
      </c>
      <c r="B205" s="3532" t="s">
        <v>3676</v>
      </c>
      <c r="C205" s="3534" t="s">
        <v>3746</v>
      </c>
      <c r="D205" s="3535">
        <v>106.79</v>
      </c>
      <c r="E205" s="3532" t="s">
        <v>3534</v>
      </c>
      <c r="F205" s="3532" t="s">
        <v>21</v>
      </c>
      <c r="G205" s="3538" t="s">
        <v>3734</v>
      </c>
      <c r="H205" s="3532" t="s">
        <v>3735</v>
      </c>
      <c r="I205" s="3541" t="s">
        <v>3736</v>
      </c>
      <c r="J205" s="3527"/>
    </row>
    <row r="206" spans="1:10" ht="25.5">
      <c r="A206" s="3532" t="s">
        <v>3554</v>
      </c>
      <c r="B206" s="3532" t="s">
        <v>3676</v>
      </c>
      <c r="C206" s="3534" t="s">
        <v>3747</v>
      </c>
      <c r="D206" s="3535">
        <v>107.44</v>
      </c>
      <c r="E206" s="3532" t="s">
        <v>3534</v>
      </c>
      <c r="F206" s="3532" t="s">
        <v>21</v>
      </c>
      <c r="G206" s="3538" t="s">
        <v>3734</v>
      </c>
      <c r="H206" s="3532" t="s">
        <v>3735</v>
      </c>
      <c r="I206" s="3541" t="s">
        <v>3736</v>
      </c>
      <c r="J206" s="3527"/>
    </row>
    <row r="207" spans="1:10" ht="25.5">
      <c r="A207" s="3532" t="s">
        <v>3554</v>
      </c>
      <c r="B207" s="3532" t="s">
        <v>3676</v>
      </c>
      <c r="C207" s="3534" t="s">
        <v>3748</v>
      </c>
      <c r="D207" s="3535">
        <v>141.12</v>
      </c>
      <c r="E207" s="3532" t="s">
        <v>3534</v>
      </c>
      <c r="F207" s="3532" t="s">
        <v>21</v>
      </c>
      <c r="G207" s="3538" t="s">
        <v>3749</v>
      </c>
      <c r="H207" s="3537" t="s">
        <v>3750</v>
      </c>
      <c r="I207" s="3537" t="s">
        <v>3751</v>
      </c>
      <c r="J207" s="3527"/>
    </row>
    <row r="208" spans="1:10" ht="25.5">
      <c r="A208" s="3532" t="s">
        <v>3554</v>
      </c>
      <c r="B208" s="3532" t="s">
        <v>3676</v>
      </c>
      <c r="C208" s="3534" t="s">
        <v>3752</v>
      </c>
      <c r="D208" s="3535">
        <v>109.71</v>
      </c>
      <c r="E208" s="3532" t="s">
        <v>3534</v>
      </c>
      <c r="F208" s="3532" t="s">
        <v>21</v>
      </c>
      <c r="G208" s="3538" t="s">
        <v>3749</v>
      </c>
      <c r="H208" s="3537" t="s">
        <v>3750</v>
      </c>
      <c r="I208" s="3537" t="s">
        <v>3751</v>
      </c>
      <c r="J208" s="3527"/>
    </row>
    <row r="209" spans="1:10" ht="25.5">
      <c r="A209" s="3532" t="s">
        <v>3554</v>
      </c>
      <c r="B209" s="3532" t="s">
        <v>3676</v>
      </c>
      <c r="C209" s="3534" t="s">
        <v>3753</v>
      </c>
      <c r="D209" s="3535">
        <v>141.12</v>
      </c>
      <c r="E209" s="3532" t="s">
        <v>3534</v>
      </c>
      <c r="F209" s="3532" t="s">
        <v>21</v>
      </c>
      <c r="G209" s="3538" t="s">
        <v>3749</v>
      </c>
      <c r="H209" s="3537" t="s">
        <v>3750</v>
      </c>
      <c r="I209" s="3537" t="s">
        <v>3751</v>
      </c>
      <c r="J209" s="3527"/>
    </row>
    <row r="210" spans="1:10" ht="25.5">
      <c r="A210" s="3532" t="s">
        <v>3554</v>
      </c>
      <c r="B210" s="3532" t="s">
        <v>3676</v>
      </c>
      <c r="C210" s="3534" t="s">
        <v>3754</v>
      </c>
      <c r="D210" s="3535">
        <v>107.44</v>
      </c>
      <c r="E210" s="3532" t="s">
        <v>3534</v>
      </c>
      <c r="F210" s="3532" t="s">
        <v>21</v>
      </c>
      <c r="G210" s="3538" t="s">
        <v>3749</v>
      </c>
      <c r="H210" s="3537" t="s">
        <v>3750</v>
      </c>
      <c r="I210" s="3537" t="s">
        <v>3751</v>
      </c>
      <c r="J210" s="3527"/>
    </row>
    <row r="211" spans="1:10" ht="25.5">
      <c r="A211" s="3532" t="s">
        <v>3554</v>
      </c>
      <c r="B211" s="3532" t="s">
        <v>3676</v>
      </c>
      <c r="C211" s="3534" t="s">
        <v>3755</v>
      </c>
      <c r="D211" s="3535">
        <v>106.79</v>
      </c>
      <c r="E211" s="3532" t="s">
        <v>3534</v>
      </c>
      <c r="F211" s="3532" t="s">
        <v>21</v>
      </c>
      <c r="G211" s="3538" t="s">
        <v>3749</v>
      </c>
      <c r="H211" s="3537" t="s">
        <v>3750</v>
      </c>
      <c r="I211" s="3537" t="s">
        <v>3751</v>
      </c>
      <c r="J211" s="3527"/>
    </row>
    <row r="212" spans="1:10" ht="25.5">
      <c r="A212" s="3532" t="s">
        <v>3554</v>
      </c>
      <c r="B212" s="3532" t="s">
        <v>3676</v>
      </c>
      <c r="C212" s="3534" t="s">
        <v>3756</v>
      </c>
      <c r="D212" s="3535">
        <v>107.4</v>
      </c>
      <c r="E212" s="3532" t="s">
        <v>3534</v>
      </c>
      <c r="F212" s="3532" t="s">
        <v>21</v>
      </c>
      <c r="G212" s="3538" t="s">
        <v>3749</v>
      </c>
      <c r="H212" s="3537" t="s">
        <v>3750</v>
      </c>
      <c r="I212" s="3537" t="s">
        <v>3751</v>
      </c>
      <c r="J212" s="3527"/>
    </row>
    <row r="213" spans="1:10" ht="25.5">
      <c r="A213" s="3532" t="s">
        <v>3554</v>
      </c>
      <c r="B213" s="3532" t="s">
        <v>3676</v>
      </c>
      <c r="C213" s="3534" t="s">
        <v>3757</v>
      </c>
      <c r="D213" s="3535">
        <v>146.99</v>
      </c>
      <c r="E213" s="3532" t="s">
        <v>3534</v>
      </c>
      <c r="F213" s="3532" t="s">
        <v>21</v>
      </c>
      <c r="G213" s="3538" t="s">
        <v>3749</v>
      </c>
      <c r="H213" s="3537" t="s">
        <v>3750</v>
      </c>
      <c r="I213" s="3537" t="s">
        <v>3751</v>
      </c>
      <c r="J213" s="3527"/>
    </row>
    <row r="214" spans="1:10" ht="25.5">
      <c r="A214" s="3532" t="s">
        <v>3554</v>
      </c>
      <c r="B214" s="3532" t="s">
        <v>3676</v>
      </c>
      <c r="C214" s="3534" t="s">
        <v>3758</v>
      </c>
      <c r="D214" s="3535">
        <v>103.78</v>
      </c>
      <c r="E214" s="3532" t="s">
        <v>3534</v>
      </c>
      <c r="F214" s="3532" t="s">
        <v>21</v>
      </c>
      <c r="G214" s="3538" t="s">
        <v>3749</v>
      </c>
      <c r="H214" s="3537" t="s">
        <v>3750</v>
      </c>
      <c r="I214" s="3537" t="s">
        <v>3751</v>
      </c>
      <c r="J214" s="3527"/>
    </row>
    <row r="215" spans="1:10" ht="25.5">
      <c r="A215" s="3532" t="s">
        <v>3554</v>
      </c>
      <c r="B215" s="3532" t="s">
        <v>3676</v>
      </c>
      <c r="C215" s="3534" t="s">
        <v>3759</v>
      </c>
      <c r="D215" s="3535">
        <v>146.99</v>
      </c>
      <c r="E215" s="3532" t="s">
        <v>3534</v>
      </c>
      <c r="F215" s="3532" t="s">
        <v>21</v>
      </c>
      <c r="G215" s="3538" t="s">
        <v>3749</v>
      </c>
      <c r="H215" s="3537" t="s">
        <v>3750</v>
      </c>
      <c r="I215" s="3537" t="s">
        <v>3751</v>
      </c>
      <c r="J215" s="3527"/>
    </row>
    <row r="216" spans="1:10" ht="25.5">
      <c r="A216" s="3532" t="s">
        <v>3554</v>
      </c>
      <c r="B216" s="3532" t="s">
        <v>3676</v>
      </c>
      <c r="C216" s="3534" t="s">
        <v>3760</v>
      </c>
      <c r="D216" s="3535">
        <v>107.4</v>
      </c>
      <c r="E216" s="3532" t="s">
        <v>3534</v>
      </c>
      <c r="F216" s="3532" t="s">
        <v>21</v>
      </c>
      <c r="G216" s="3538" t="s">
        <v>3749</v>
      </c>
      <c r="H216" s="3537" t="s">
        <v>3750</v>
      </c>
      <c r="I216" s="3537" t="s">
        <v>3751</v>
      </c>
      <c r="J216" s="3527"/>
    </row>
    <row r="217" spans="1:10" ht="25.5">
      <c r="A217" s="3532" t="s">
        <v>3554</v>
      </c>
      <c r="B217" s="3532" t="s">
        <v>3676</v>
      </c>
      <c r="C217" s="3534" t="s">
        <v>3761</v>
      </c>
      <c r="D217" s="3535">
        <v>106.79</v>
      </c>
      <c r="E217" s="3532" t="s">
        <v>3534</v>
      </c>
      <c r="F217" s="3532" t="s">
        <v>21</v>
      </c>
      <c r="G217" s="3538" t="s">
        <v>3749</v>
      </c>
      <c r="H217" s="3537" t="s">
        <v>3750</v>
      </c>
      <c r="I217" s="3537" t="s">
        <v>3751</v>
      </c>
      <c r="J217" s="3527"/>
    </row>
    <row r="218" spans="1:10" ht="25.5">
      <c r="A218" s="3532" t="s">
        <v>3554</v>
      </c>
      <c r="B218" s="3532" t="s">
        <v>3676</v>
      </c>
      <c r="C218" s="3534" t="s">
        <v>3762</v>
      </c>
      <c r="D218" s="3535">
        <v>107.44</v>
      </c>
      <c r="E218" s="3532" t="s">
        <v>3534</v>
      </c>
      <c r="F218" s="3532" t="s">
        <v>21</v>
      </c>
      <c r="G218" s="3538" t="s">
        <v>3749</v>
      </c>
      <c r="H218" s="3537" t="s">
        <v>3750</v>
      </c>
      <c r="I218" s="3537" t="s">
        <v>3751</v>
      </c>
      <c r="J218" s="3527"/>
    </row>
    <row r="219" spans="1:10" ht="25.5">
      <c r="A219" s="3532" t="s">
        <v>3554</v>
      </c>
      <c r="B219" s="3532" t="s">
        <v>3676</v>
      </c>
      <c r="C219" s="3534" t="s">
        <v>3763</v>
      </c>
      <c r="D219" s="3535">
        <v>141.12</v>
      </c>
      <c r="E219" s="3532" t="s">
        <v>3534</v>
      </c>
      <c r="F219" s="3532" t="s">
        <v>21</v>
      </c>
      <c r="G219" s="3538" t="s">
        <v>3734</v>
      </c>
      <c r="H219" s="3537" t="s">
        <v>3764</v>
      </c>
      <c r="I219" s="3537" t="s">
        <v>3765</v>
      </c>
      <c r="J219" s="3527"/>
    </row>
    <row r="220" spans="1:10" ht="25.5">
      <c r="A220" s="3532" t="s">
        <v>3554</v>
      </c>
      <c r="B220" s="3532" t="s">
        <v>3676</v>
      </c>
      <c r="C220" s="3534" t="s">
        <v>3766</v>
      </c>
      <c r="D220" s="3535">
        <v>109.71</v>
      </c>
      <c r="E220" s="3532" t="s">
        <v>3534</v>
      </c>
      <c r="F220" s="3532" t="s">
        <v>21</v>
      </c>
      <c r="G220" s="3538" t="s">
        <v>3734</v>
      </c>
      <c r="H220" s="3537" t="s">
        <v>3764</v>
      </c>
      <c r="I220" s="3537" t="s">
        <v>3765</v>
      </c>
      <c r="J220" s="3527"/>
    </row>
    <row r="221" spans="1:10" ht="25.5">
      <c r="A221" s="3532" t="s">
        <v>3554</v>
      </c>
      <c r="B221" s="3532" t="s">
        <v>3676</v>
      </c>
      <c r="C221" s="3534" t="s">
        <v>3767</v>
      </c>
      <c r="D221" s="3535">
        <v>141.12</v>
      </c>
      <c r="E221" s="3532" t="s">
        <v>3534</v>
      </c>
      <c r="F221" s="3532" t="s">
        <v>21</v>
      </c>
      <c r="G221" s="3538" t="s">
        <v>3734</v>
      </c>
      <c r="H221" s="3537" t="s">
        <v>3764</v>
      </c>
      <c r="I221" s="3537" t="s">
        <v>3765</v>
      </c>
      <c r="J221" s="3527"/>
    </row>
    <row r="222" spans="1:10" ht="25.5">
      <c r="A222" s="3532" t="s">
        <v>3554</v>
      </c>
      <c r="B222" s="3532" t="s">
        <v>3676</v>
      </c>
      <c r="C222" s="3534" t="s">
        <v>3768</v>
      </c>
      <c r="D222" s="3535">
        <v>107.44</v>
      </c>
      <c r="E222" s="3532" t="s">
        <v>3534</v>
      </c>
      <c r="F222" s="3532" t="s">
        <v>21</v>
      </c>
      <c r="G222" s="3538" t="s">
        <v>3734</v>
      </c>
      <c r="H222" s="3537" t="s">
        <v>3764</v>
      </c>
      <c r="I222" s="3537" t="s">
        <v>3765</v>
      </c>
      <c r="J222" s="3527"/>
    </row>
    <row r="223" spans="1:10" ht="25.5">
      <c r="A223" s="3532" t="s">
        <v>3554</v>
      </c>
      <c r="B223" s="3532" t="s">
        <v>3676</v>
      </c>
      <c r="C223" s="3534" t="s">
        <v>3769</v>
      </c>
      <c r="D223" s="3535">
        <v>106.79</v>
      </c>
      <c r="E223" s="3532" t="s">
        <v>3534</v>
      </c>
      <c r="F223" s="3532" t="s">
        <v>21</v>
      </c>
      <c r="G223" s="3538" t="s">
        <v>3734</v>
      </c>
      <c r="H223" s="3537" t="s">
        <v>3764</v>
      </c>
      <c r="I223" s="3537" t="s">
        <v>3765</v>
      </c>
      <c r="J223" s="3527"/>
    </row>
    <row r="224" spans="1:10" ht="25.5">
      <c r="A224" s="3532" t="s">
        <v>3554</v>
      </c>
      <c r="B224" s="3532" t="s">
        <v>3676</v>
      </c>
      <c r="C224" s="3534" t="s">
        <v>3770</v>
      </c>
      <c r="D224" s="3535">
        <v>107.4</v>
      </c>
      <c r="E224" s="3532" t="s">
        <v>3534</v>
      </c>
      <c r="F224" s="3532" t="s">
        <v>21</v>
      </c>
      <c r="G224" s="3538" t="s">
        <v>3734</v>
      </c>
      <c r="H224" s="3537" t="s">
        <v>3764</v>
      </c>
      <c r="I224" s="3537" t="s">
        <v>3765</v>
      </c>
      <c r="J224" s="3527"/>
    </row>
    <row r="225" spans="1:10" ht="25.5">
      <c r="A225" s="3532" t="s">
        <v>3554</v>
      </c>
      <c r="B225" s="3532" t="s">
        <v>3676</v>
      </c>
      <c r="C225" s="3534" t="s">
        <v>3771</v>
      </c>
      <c r="D225" s="3535">
        <v>146.99</v>
      </c>
      <c r="E225" s="3532" t="s">
        <v>3534</v>
      </c>
      <c r="F225" s="3532" t="s">
        <v>21</v>
      </c>
      <c r="G225" s="3538" t="s">
        <v>3734</v>
      </c>
      <c r="H225" s="3537" t="s">
        <v>3764</v>
      </c>
      <c r="I225" s="3537" t="s">
        <v>3765</v>
      </c>
      <c r="J225" s="3527"/>
    </row>
    <row r="226" spans="1:10" ht="25.5">
      <c r="A226" s="3532" t="s">
        <v>3554</v>
      </c>
      <c r="B226" s="3532" t="s">
        <v>3676</v>
      </c>
      <c r="C226" s="3534" t="s">
        <v>3772</v>
      </c>
      <c r="D226" s="3535">
        <v>103.78</v>
      </c>
      <c r="E226" s="3532" t="s">
        <v>3534</v>
      </c>
      <c r="F226" s="3532" t="s">
        <v>21</v>
      </c>
      <c r="G226" s="3538" t="s">
        <v>3734</v>
      </c>
      <c r="H226" s="3537" t="s">
        <v>3764</v>
      </c>
      <c r="I226" s="3537" t="s">
        <v>3765</v>
      </c>
      <c r="J226" s="3527"/>
    </row>
    <row r="227" spans="1:10" ht="25.5">
      <c r="A227" s="3532" t="s">
        <v>3554</v>
      </c>
      <c r="B227" s="3532" t="s">
        <v>3676</v>
      </c>
      <c r="C227" s="3534" t="s">
        <v>3773</v>
      </c>
      <c r="D227" s="3535">
        <v>146.99</v>
      </c>
      <c r="E227" s="3532" t="s">
        <v>3534</v>
      </c>
      <c r="F227" s="3532" t="s">
        <v>21</v>
      </c>
      <c r="G227" s="3538" t="s">
        <v>3734</v>
      </c>
      <c r="H227" s="3537" t="s">
        <v>3764</v>
      </c>
      <c r="I227" s="3537" t="s">
        <v>3765</v>
      </c>
      <c r="J227" s="3527"/>
    </row>
    <row r="228" spans="1:10" ht="25.5">
      <c r="A228" s="3532" t="s">
        <v>3554</v>
      </c>
      <c r="B228" s="3532" t="s">
        <v>3676</v>
      </c>
      <c r="C228" s="3534" t="s">
        <v>3774</v>
      </c>
      <c r="D228" s="3535">
        <v>107.4</v>
      </c>
      <c r="E228" s="3532" t="s">
        <v>3534</v>
      </c>
      <c r="F228" s="3532" t="s">
        <v>21</v>
      </c>
      <c r="G228" s="3538" t="s">
        <v>3734</v>
      </c>
      <c r="H228" s="3537" t="s">
        <v>3764</v>
      </c>
      <c r="I228" s="3537" t="s">
        <v>3765</v>
      </c>
      <c r="J228" s="3527"/>
    </row>
    <row r="229" spans="1:10" ht="25.5">
      <c r="A229" s="3532" t="s">
        <v>3554</v>
      </c>
      <c r="B229" s="3532" t="s">
        <v>3676</v>
      </c>
      <c r="C229" s="3534" t="s">
        <v>3775</v>
      </c>
      <c r="D229" s="3535">
        <v>106.79</v>
      </c>
      <c r="E229" s="3532" t="s">
        <v>3534</v>
      </c>
      <c r="F229" s="3532" t="s">
        <v>21</v>
      </c>
      <c r="G229" s="3538" t="s">
        <v>3734</v>
      </c>
      <c r="H229" s="3537" t="s">
        <v>3764</v>
      </c>
      <c r="I229" s="3537" t="s">
        <v>3765</v>
      </c>
      <c r="J229" s="3527"/>
    </row>
    <row r="230" spans="1:10" ht="25.5">
      <c r="A230" s="3532" t="s">
        <v>3554</v>
      </c>
      <c r="B230" s="3532" t="s">
        <v>3676</v>
      </c>
      <c r="C230" s="3534" t="s">
        <v>3776</v>
      </c>
      <c r="D230" s="3535">
        <v>107.44</v>
      </c>
      <c r="E230" s="3532" t="s">
        <v>3534</v>
      </c>
      <c r="F230" s="3532" t="s">
        <v>21</v>
      </c>
      <c r="G230" s="3538" t="s">
        <v>3734</v>
      </c>
      <c r="H230" s="3537" t="s">
        <v>3764</v>
      </c>
      <c r="I230" s="3537" t="s">
        <v>3765</v>
      </c>
      <c r="J230" s="3527"/>
    </row>
    <row r="231" spans="1:10" ht="25.5">
      <c r="A231" s="3532" t="s">
        <v>3554</v>
      </c>
      <c r="B231" s="3532" t="s">
        <v>3777</v>
      </c>
      <c r="C231" s="3539" t="s">
        <v>3533</v>
      </c>
      <c r="D231" s="3540">
        <v>160.51</v>
      </c>
      <c r="E231" s="3532" t="s">
        <v>3534</v>
      </c>
      <c r="F231" s="3532" t="s">
        <v>673</v>
      </c>
      <c r="G231" s="3538" t="s">
        <v>3778</v>
      </c>
      <c r="H231" s="3532" t="s">
        <v>3545</v>
      </c>
      <c r="I231" s="3537" t="s">
        <v>3537</v>
      </c>
      <c r="J231" s="3527"/>
    </row>
    <row r="232" spans="1:10" ht="25.5">
      <c r="A232" s="3532" t="s">
        <v>3554</v>
      </c>
      <c r="B232" s="3532" t="s">
        <v>3777</v>
      </c>
      <c r="C232" s="3539" t="s">
        <v>3538</v>
      </c>
      <c r="D232" s="3540">
        <v>84.11</v>
      </c>
      <c r="E232" s="3532" t="s">
        <v>3534</v>
      </c>
      <c r="F232" s="3532" t="s">
        <v>673</v>
      </c>
      <c r="G232" s="3538" t="s">
        <v>3778</v>
      </c>
      <c r="H232" s="3532" t="s">
        <v>3545</v>
      </c>
      <c r="I232" s="3537" t="s">
        <v>3537</v>
      </c>
      <c r="J232" s="3527"/>
    </row>
    <row r="233" spans="1:10" ht="25.5">
      <c r="A233" s="3532" t="s">
        <v>3554</v>
      </c>
      <c r="B233" s="3532" t="s">
        <v>3777</v>
      </c>
      <c r="C233" s="3539" t="s">
        <v>3542</v>
      </c>
      <c r="D233" s="3540">
        <v>83.88</v>
      </c>
      <c r="E233" s="3532" t="s">
        <v>3534</v>
      </c>
      <c r="F233" s="3532" t="s">
        <v>673</v>
      </c>
      <c r="G233" s="3538" t="s">
        <v>3778</v>
      </c>
      <c r="H233" s="3532" t="s">
        <v>3545</v>
      </c>
      <c r="I233" s="3537" t="s">
        <v>3537</v>
      </c>
      <c r="J233" s="3527"/>
    </row>
    <row r="234" spans="1:10" ht="38.25">
      <c r="A234" s="3532" t="s">
        <v>3554</v>
      </c>
      <c r="B234" s="3532" t="s">
        <v>3777</v>
      </c>
      <c r="C234" s="3539" t="s">
        <v>3543</v>
      </c>
      <c r="D234" s="3540">
        <v>146.91999999999999</v>
      </c>
      <c r="E234" s="3532" t="s">
        <v>3534</v>
      </c>
      <c r="F234" s="3532" t="s">
        <v>673</v>
      </c>
      <c r="G234" s="3538" t="s">
        <v>3779</v>
      </c>
      <c r="H234" s="3532" t="s">
        <v>3780</v>
      </c>
      <c r="I234" s="3537" t="s">
        <v>3541</v>
      </c>
      <c r="J234" s="3527"/>
    </row>
    <row r="235" spans="1:10" ht="25.5">
      <c r="A235" s="3532" t="s">
        <v>3554</v>
      </c>
      <c r="B235" s="3532" t="s">
        <v>3777</v>
      </c>
      <c r="C235" s="3539" t="s">
        <v>3546</v>
      </c>
      <c r="D235" s="3540">
        <v>176.13</v>
      </c>
      <c r="E235" s="3532" t="s">
        <v>3534</v>
      </c>
      <c r="F235" s="3532" t="s">
        <v>673</v>
      </c>
      <c r="G235" s="3538" t="s">
        <v>3781</v>
      </c>
      <c r="H235" s="3537" t="s">
        <v>3782</v>
      </c>
      <c r="I235" s="3537" t="s">
        <v>3537</v>
      </c>
      <c r="J235" s="3527"/>
    </row>
    <row r="236" spans="1:10" ht="38.25">
      <c r="A236" s="3532" t="s">
        <v>3554</v>
      </c>
      <c r="B236" s="3532" t="s">
        <v>3777</v>
      </c>
      <c r="C236" s="3534">
        <v>201</v>
      </c>
      <c r="D236" s="3535">
        <v>208.5</v>
      </c>
      <c r="E236" s="3532" t="s">
        <v>3534</v>
      </c>
      <c r="F236" s="3532" t="s">
        <v>673</v>
      </c>
      <c r="G236" s="3538" t="s">
        <v>3673</v>
      </c>
      <c r="H236" s="3532" t="s">
        <v>3674</v>
      </c>
      <c r="I236" s="3537" t="s">
        <v>3675</v>
      </c>
      <c r="J236" s="3527"/>
    </row>
    <row r="237" spans="1:10" ht="38.25">
      <c r="A237" s="3532" t="s">
        <v>3554</v>
      </c>
      <c r="B237" s="3532" t="s">
        <v>3777</v>
      </c>
      <c r="C237" s="3534">
        <v>202</v>
      </c>
      <c r="D237" s="3535">
        <v>180.54</v>
      </c>
      <c r="E237" s="3532" t="s">
        <v>3534</v>
      </c>
      <c r="F237" s="3532" t="s">
        <v>673</v>
      </c>
      <c r="G237" s="3538" t="s">
        <v>3673</v>
      </c>
      <c r="H237" s="3532" t="s">
        <v>3674</v>
      </c>
      <c r="I237" s="3537" t="s">
        <v>3675</v>
      </c>
      <c r="J237" s="3527"/>
    </row>
    <row r="238" spans="1:10" ht="38.25">
      <c r="A238" s="3532" t="s">
        <v>3554</v>
      </c>
      <c r="B238" s="3532" t="s">
        <v>3777</v>
      </c>
      <c r="C238" s="3534">
        <v>203</v>
      </c>
      <c r="D238" s="3535">
        <v>407.34</v>
      </c>
      <c r="E238" s="3532" t="s">
        <v>3534</v>
      </c>
      <c r="F238" s="3532" t="s">
        <v>673</v>
      </c>
      <c r="G238" s="3538" t="s">
        <v>3673</v>
      </c>
      <c r="H238" s="3532" t="s">
        <v>3674</v>
      </c>
      <c r="I238" s="3537" t="s">
        <v>3675</v>
      </c>
      <c r="J238" s="3527"/>
    </row>
    <row r="239" spans="1:10" ht="27">
      <c r="A239" s="3532" t="s">
        <v>3554</v>
      </c>
      <c r="B239" s="3532" t="s">
        <v>3777</v>
      </c>
      <c r="C239" s="3534" t="s">
        <v>3594</v>
      </c>
      <c r="D239" s="3535">
        <v>128.06</v>
      </c>
      <c r="E239" s="3532" t="s">
        <v>3534</v>
      </c>
      <c r="F239" s="3532" t="s">
        <v>21</v>
      </c>
      <c r="G239" s="3542" t="s">
        <v>3593</v>
      </c>
      <c r="H239" s="3537" t="s">
        <v>3578</v>
      </c>
      <c r="I239" s="3537" t="s">
        <v>3591</v>
      </c>
      <c r="J239" s="3527"/>
    </row>
    <row r="240" spans="1:10" ht="27">
      <c r="A240" s="3532" t="s">
        <v>3554</v>
      </c>
      <c r="B240" s="3532" t="s">
        <v>3777</v>
      </c>
      <c r="C240" s="3534" t="s">
        <v>3595</v>
      </c>
      <c r="D240" s="3535">
        <v>92.23</v>
      </c>
      <c r="E240" s="3532" t="s">
        <v>3534</v>
      </c>
      <c r="F240" s="3532" t="s">
        <v>21</v>
      </c>
      <c r="G240" s="3542" t="s">
        <v>3593</v>
      </c>
      <c r="H240" s="3537" t="s">
        <v>3578</v>
      </c>
      <c r="I240" s="3537" t="s">
        <v>3591</v>
      </c>
      <c r="J240" s="3527"/>
    </row>
    <row r="241" spans="1:10" ht="27">
      <c r="A241" s="3532" t="s">
        <v>3554</v>
      </c>
      <c r="B241" s="3532" t="s">
        <v>3777</v>
      </c>
      <c r="C241" s="3534" t="s">
        <v>3596</v>
      </c>
      <c r="D241" s="3535">
        <v>90.54</v>
      </c>
      <c r="E241" s="3532" t="s">
        <v>3534</v>
      </c>
      <c r="F241" s="3532" t="s">
        <v>21</v>
      </c>
      <c r="G241" s="3542" t="s">
        <v>3593</v>
      </c>
      <c r="H241" s="3537" t="s">
        <v>3578</v>
      </c>
      <c r="I241" s="3537" t="s">
        <v>3591</v>
      </c>
      <c r="J241" s="3527"/>
    </row>
    <row r="242" spans="1:10" ht="27">
      <c r="A242" s="3532" t="s">
        <v>3554</v>
      </c>
      <c r="B242" s="3532" t="s">
        <v>3777</v>
      </c>
      <c r="C242" s="3534" t="s">
        <v>3597</v>
      </c>
      <c r="D242" s="3535">
        <v>134.41999999999999</v>
      </c>
      <c r="E242" s="3532" t="s">
        <v>3534</v>
      </c>
      <c r="F242" s="3532" t="s">
        <v>21</v>
      </c>
      <c r="G242" s="3542" t="s">
        <v>3593</v>
      </c>
      <c r="H242" s="3537" t="s">
        <v>3578</v>
      </c>
      <c r="I242" s="3537" t="s">
        <v>3591</v>
      </c>
      <c r="J242" s="3527"/>
    </row>
    <row r="243" spans="1:10" ht="27">
      <c r="A243" s="3532" t="s">
        <v>3554</v>
      </c>
      <c r="B243" s="3532" t="s">
        <v>3777</v>
      </c>
      <c r="C243" s="3534" t="s">
        <v>3598</v>
      </c>
      <c r="D243" s="3535">
        <v>134.41999999999999</v>
      </c>
      <c r="E243" s="3532" t="s">
        <v>3534</v>
      </c>
      <c r="F243" s="3532" t="s">
        <v>21</v>
      </c>
      <c r="G243" s="3542" t="s">
        <v>3593</v>
      </c>
      <c r="H243" s="3537" t="s">
        <v>3578</v>
      </c>
      <c r="I243" s="3537" t="s">
        <v>3591</v>
      </c>
      <c r="J243" s="3527"/>
    </row>
    <row r="244" spans="1:10" ht="27">
      <c r="A244" s="3532" t="s">
        <v>3554</v>
      </c>
      <c r="B244" s="3532" t="s">
        <v>3777</v>
      </c>
      <c r="C244" s="3534" t="s">
        <v>3599</v>
      </c>
      <c r="D244" s="3535">
        <v>90.54</v>
      </c>
      <c r="E244" s="3532" t="s">
        <v>3534</v>
      </c>
      <c r="F244" s="3532" t="s">
        <v>21</v>
      </c>
      <c r="G244" s="3542" t="s">
        <v>3593</v>
      </c>
      <c r="H244" s="3537" t="s">
        <v>3578</v>
      </c>
      <c r="I244" s="3537" t="s">
        <v>3591</v>
      </c>
      <c r="J244" s="3527"/>
    </row>
    <row r="245" spans="1:10" ht="27">
      <c r="A245" s="3532" t="s">
        <v>3554</v>
      </c>
      <c r="B245" s="3532" t="s">
        <v>3777</v>
      </c>
      <c r="C245" s="3534" t="s">
        <v>3604</v>
      </c>
      <c r="D245" s="3535">
        <v>148.88</v>
      </c>
      <c r="E245" s="3532" t="s">
        <v>3534</v>
      </c>
      <c r="F245" s="3532" t="s">
        <v>21</v>
      </c>
      <c r="G245" s="3542" t="s">
        <v>3593</v>
      </c>
      <c r="H245" s="3537" t="s">
        <v>3578</v>
      </c>
      <c r="I245" s="3537" t="s">
        <v>3591</v>
      </c>
      <c r="J245" s="3527"/>
    </row>
    <row r="246" spans="1:10" ht="27">
      <c r="A246" s="3532" t="s">
        <v>3554</v>
      </c>
      <c r="B246" s="3532" t="s">
        <v>3777</v>
      </c>
      <c r="C246" s="3534" t="s">
        <v>3605</v>
      </c>
      <c r="D246" s="3535">
        <v>282.02</v>
      </c>
      <c r="E246" s="3532" t="s">
        <v>3534</v>
      </c>
      <c r="F246" s="3532" t="s">
        <v>21</v>
      </c>
      <c r="G246" s="3542" t="s">
        <v>3593</v>
      </c>
      <c r="H246" s="3537" t="s">
        <v>3578</v>
      </c>
      <c r="I246" s="3537" t="s">
        <v>3591</v>
      </c>
      <c r="J246" s="3527"/>
    </row>
    <row r="247" spans="1:10" ht="27">
      <c r="A247" s="3532" t="s">
        <v>3554</v>
      </c>
      <c r="B247" s="3532" t="s">
        <v>3777</v>
      </c>
      <c r="C247" s="3534" t="s">
        <v>3606</v>
      </c>
      <c r="D247" s="3535">
        <v>103.37</v>
      </c>
      <c r="E247" s="3532" t="s">
        <v>3534</v>
      </c>
      <c r="F247" s="3532" t="s">
        <v>21</v>
      </c>
      <c r="G247" s="3542" t="s">
        <v>3593</v>
      </c>
      <c r="H247" s="3537" t="s">
        <v>3578</v>
      </c>
      <c r="I247" s="3537" t="s">
        <v>3591</v>
      </c>
      <c r="J247" s="3527"/>
    </row>
    <row r="248" spans="1:10" ht="27">
      <c r="A248" s="3532" t="s">
        <v>3554</v>
      </c>
      <c r="B248" s="3532" t="s">
        <v>3777</v>
      </c>
      <c r="C248" s="3534" t="s">
        <v>3607</v>
      </c>
      <c r="D248" s="3535">
        <v>104.28</v>
      </c>
      <c r="E248" s="3532" t="s">
        <v>3534</v>
      </c>
      <c r="F248" s="3532" t="s">
        <v>21</v>
      </c>
      <c r="G248" s="3542" t="s">
        <v>3593</v>
      </c>
      <c r="H248" s="3537" t="s">
        <v>3578</v>
      </c>
      <c r="I248" s="3537" t="s">
        <v>3591</v>
      </c>
      <c r="J248" s="3527"/>
    </row>
    <row r="249" spans="1:10" ht="27">
      <c r="A249" s="3532" t="s">
        <v>3554</v>
      </c>
      <c r="B249" s="3532" t="s">
        <v>3777</v>
      </c>
      <c r="C249" s="3534" t="s">
        <v>3608</v>
      </c>
      <c r="D249" s="3535">
        <v>104.28</v>
      </c>
      <c r="E249" s="3532" t="s">
        <v>3534</v>
      </c>
      <c r="F249" s="3532" t="s">
        <v>21</v>
      </c>
      <c r="G249" s="3542" t="s">
        <v>3593</v>
      </c>
      <c r="H249" s="3537" t="s">
        <v>3578</v>
      </c>
      <c r="I249" s="3537" t="s">
        <v>3591</v>
      </c>
      <c r="J249" s="3527"/>
    </row>
    <row r="250" spans="1:10" ht="27">
      <c r="A250" s="3532" t="s">
        <v>3554</v>
      </c>
      <c r="B250" s="3532" t="s">
        <v>3777</v>
      </c>
      <c r="C250" s="3534" t="s">
        <v>3609</v>
      </c>
      <c r="D250" s="3535">
        <v>154.58000000000001</v>
      </c>
      <c r="E250" s="3532" t="s">
        <v>3534</v>
      </c>
      <c r="F250" s="3532" t="s">
        <v>21</v>
      </c>
      <c r="G250" s="3542" t="s">
        <v>3593</v>
      </c>
      <c r="H250" s="3537" t="s">
        <v>3578</v>
      </c>
      <c r="I250" s="3537" t="s">
        <v>3591</v>
      </c>
      <c r="J250" s="3527"/>
    </row>
    <row r="251" spans="1:10" ht="27">
      <c r="A251" s="3532" t="s">
        <v>3554</v>
      </c>
      <c r="B251" s="3532" t="s">
        <v>3777</v>
      </c>
      <c r="C251" s="3534" t="s">
        <v>3610</v>
      </c>
      <c r="D251" s="3535">
        <v>282.02</v>
      </c>
      <c r="E251" s="3532" t="s">
        <v>3534</v>
      </c>
      <c r="F251" s="3532" t="s">
        <v>21</v>
      </c>
      <c r="G251" s="3542" t="s">
        <v>3593</v>
      </c>
      <c r="H251" s="3537" t="s">
        <v>3578</v>
      </c>
      <c r="I251" s="3537" t="s">
        <v>3591</v>
      </c>
      <c r="J251" s="3527"/>
    </row>
    <row r="252" spans="1:10" ht="27">
      <c r="A252" s="3532" t="s">
        <v>3554</v>
      </c>
      <c r="B252" s="3532" t="s">
        <v>3777</v>
      </c>
      <c r="C252" s="3534" t="s">
        <v>3611</v>
      </c>
      <c r="D252" s="3535">
        <v>104.28</v>
      </c>
      <c r="E252" s="3532" t="s">
        <v>3534</v>
      </c>
      <c r="F252" s="3532" t="s">
        <v>21</v>
      </c>
      <c r="G252" s="3542" t="s">
        <v>3593</v>
      </c>
      <c r="H252" s="3537" t="s">
        <v>3578</v>
      </c>
      <c r="I252" s="3537" t="s">
        <v>3591</v>
      </c>
      <c r="J252" s="3527"/>
    </row>
    <row r="253" spans="1:10" ht="27">
      <c r="A253" s="3532" t="s">
        <v>3554</v>
      </c>
      <c r="B253" s="3532" t="s">
        <v>3777</v>
      </c>
      <c r="C253" s="3534" t="s">
        <v>3612</v>
      </c>
      <c r="D253" s="3535">
        <v>104.28</v>
      </c>
      <c r="E253" s="3532" t="s">
        <v>3534</v>
      </c>
      <c r="F253" s="3532" t="s">
        <v>21</v>
      </c>
      <c r="G253" s="3542" t="s">
        <v>3593</v>
      </c>
      <c r="H253" s="3537" t="s">
        <v>3578</v>
      </c>
      <c r="I253" s="3537" t="s">
        <v>3591</v>
      </c>
      <c r="J253" s="3527"/>
    </row>
    <row r="254" spans="1:10" ht="27">
      <c r="A254" s="3532" t="s">
        <v>3554</v>
      </c>
      <c r="B254" s="3532" t="s">
        <v>3777</v>
      </c>
      <c r="C254" s="3534" t="s">
        <v>3613</v>
      </c>
      <c r="D254" s="3535">
        <v>104.28</v>
      </c>
      <c r="E254" s="3532" t="s">
        <v>3534</v>
      </c>
      <c r="F254" s="3532" t="s">
        <v>21</v>
      </c>
      <c r="G254" s="3542" t="s">
        <v>3593</v>
      </c>
      <c r="H254" s="3537" t="s">
        <v>3578</v>
      </c>
      <c r="I254" s="3537" t="s">
        <v>3591</v>
      </c>
      <c r="J254" s="3527"/>
    </row>
    <row r="255" spans="1:10" ht="14.25">
      <c r="A255" s="3532" t="s">
        <v>3554</v>
      </c>
      <c r="B255" s="3532" t="s">
        <v>3777</v>
      </c>
      <c r="C255" s="3534" t="s">
        <v>3614</v>
      </c>
      <c r="D255" s="3535">
        <v>148.88</v>
      </c>
      <c r="E255" s="3532" t="s">
        <v>3534</v>
      </c>
      <c r="F255" s="3532" t="s">
        <v>21</v>
      </c>
      <c r="G255" s="3532" t="s">
        <v>3783</v>
      </c>
      <c r="H255" s="3532"/>
      <c r="I255" s="3541"/>
      <c r="J255" s="3527"/>
    </row>
    <row r="256" spans="1:10" ht="14.25">
      <c r="A256" s="3532" t="s">
        <v>3554</v>
      </c>
      <c r="B256" s="3532" t="s">
        <v>3777</v>
      </c>
      <c r="C256" s="3534" t="s">
        <v>3615</v>
      </c>
      <c r="D256" s="3535">
        <v>282.02</v>
      </c>
      <c r="E256" s="3532" t="s">
        <v>3534</v>
      </c>
      <c r="F256" s="3532" t="s">
        <v>21</v>
      </c>
      <c r="G256" s="3532" t="s">
        <v>3783</v>
      </c>
      <c r="H256" s="3532"/>
      <c r="I256" s="3541"/>
      <c r="J256" s="3527"/>
    </row>
    <row r="257" spans="1:10" ht="14.25">
      <c r="A257" s="3532" t="s">
        <v>3554</v>
      </c>
      <c r="B257" s="3532" t="s">
        <v>3777</v>
      </c>
      <c r="C257" s="3534" t="s">
        <v>3616</v>
      </c>
      <c r="D257" s="3535">
        <v>103.37</v>
      </c>
      <c r="E257" s="3532" t="s">
        <v>3534</v>
      </c>
      <c r="F257" s="3532" t="s">
        <v>21</v>
      </c>
      <c r="G257" s="3532" t="s">
        <v>3783</v>
      </c>
      <c r="H257" s="3532"/>
      <c r="I257" s="3541"/>
      <c r="J257" s="3527"/>
    </row>
    <row r="258" spans="1:10" ht="14.25">
      <c r="A258" s="3532" t="s">
        <v>3554</v>
      </c>
      <c r="B258" s="3532" t="s">
        <v>3777</v>
      </c>
      <c r="C258" s="3534" t="s">
        <v>3617</v>
      </c>
      <c r="D258" s="3535">
        <v>104.28</v>
      </c>
      <c r="E258" s="3532" t="s">
        <v>3534</v>
      </c>
      <c r="F258" s="3532" t="s">
        <v>21</v>
      </c>
      <c r="G258" s="3532" t="s">
        <v>3783</v>
      </c>
      <c r="H258" s="3532"/>
      <c r="I258" s="3541"/>
      <c r="J258" s="3527"/>
    </row>
    <row r="259" spans="1:10" ht="14.25">
      <c r="A259" s="3532" t="s">
        <v>3554</v>
      </c>
      <c r="B259" s="3532" t="s">
        <v>3777</v>
      </c>
      <c r="C259" s="3534" t="s">
        <v>3618</v>
      </c>
      <c r="D259" s="3535">
        <v>104.28</v>
      </c>
      <c r="E259" s="3532" t="s">
        <v>3534</v>
      </c>
      <c r="F259" s="3532" t="s">
        <v>21</v>
      </c>
      <c r="G259" s="3532" t="s">
        <v>3783</v>
      </c>
      <c r="H259" s="3532"/>
      <c r="I259" s="3541"/>
      <c r="J259" s="3527"/>
    </row>
    <row r="260" spans="1:10" ht="14.25">
      <c r="A260" s="3532" t="s">
        <v>3554</v>
      </c>
      <c r="B260" s="3532" t="s">
        <v>3777</v>
      </c>
      <c r="C260" s="3534" t="s">
        <v>3619</v>
      </c>
      <c r="D260" s="3535">
        <v>154.58000000000001</v>
      </c>
      <c r="E260" s="3532" t="s">
        <v>3534</v>
      </c>
      <c r="F260" s="3532" t="s">
        <v>21</v>
      </c>
      <c r="G260" s="3532" t="s">
        <v>3783</v>
      </c>
      <c r="H260" s="3532"/>
      <c r="I260" s="3541"/>
      <c r="J260" s="3527"/>
    </row>
    <row r="261" spans="1:10" ht="14.25">
      <c r="A261" s="3532" t="s">
        <v>3554</v>
      </c>
      <c r="B261" s="3532" t="s">
        <v>3777</v>
      </c>
      <c r="C261" s="3534" t="s">
        <v>3620</v>
      </c>
      <c r="D261" s="3535">
        <v>282.02</v>
      </c>
      <c r="E261" s="3532" t="s">
        <v>3534</v>
      </c>
      <c r="F261" s="3532" t="s">
        <v>21</v>
      </c>
      <c r="G261" s="3532" t="s">
        <v>3783</v>
      </c>
      <c r="H261" s="3532"/>
      <c r="I261" s="3541"/>
      <c r="J261" s="3527"/>
    </row>
    <row r="262" spans="1:10" ht="14.25">
      <c r="A262" s="3532" t="s">
        <v>3554</v>
      </c>
      <c r="B262" s="3532" t="s">
        <v>3777</v>
      </c>
      <c r="C262" s="3534" t="s">
        <v>3621</v>
      </c>
      <c r="D262" s="3535">
        <v>104.28</v>
      </c>
      <c r="E262" s="3532" t="s">
        <v>3534</v>
      </c>
      <c r="F262" s="3532" t="s">
        <v>21</v>
      </c>
      <c r="G262" s="3532" t="s">
        <v>3783</v>
      </c>
      <c r="H262" s="3532"/>
      <c r="I262" s="3541"/>
      <c r="J262" s="3527"/>
    </row>
    <row r="263" spans="1:10" ht="14.25">
      <c r="A263" s="3532" t="s">
        <v>3554</v>
      </c>
      <c r="B263" s="3532" t="s">
        <v>3777</v>
      </c>
      <c r="C263" s="3534" t="s">
        <v>3622</v>
      </c>
      <c r="D263" s="3535">
        <v>104.28</v>
      </c>
      <c r="E263" s="3532" t="s">
        <v>3534</v>
      </c>
      <c r="F263" s="3532" t="s">
        <v>21</v>
      </c>
      <c r="G263" s="3532" t="s">
        <v>3783</v>
      </c>
      <c r="H263" s="3532"/>
      <c r="I263" s="3541"/>
      <c r="J263" s="3527"/>
    </row>
    <row r="264" spans="1:10" ht="14.25">
      <c r="A264" s="3532" t="s">
        <v>3554</v>
      </c>
      <c r="B264" s="3532" t="s">
        <v>3777</v>
      </c>
      <c r="C264" s="3534" t="s">
        <v>3623</v>
      </c>
      <c r="D264" s="3535">
        <v>104.28</v>
      </c>
      <c r="E264" s="3532" t="s">
        <v>3534</v>
      </c>
      <c r="F264" s="3532" t="s">
        <v>21</v>
      </c>
      <c r="G264" s="3532" t="s">
        <v>3783</v>
      </c>
      <c r="H264" s="3532"/>
      <c r="I264" s="3541"/>
      <c r="J264" s="3527"/>
    </row>
    <row r="265" spans="1:10" ht="25.5">
      <c r="A265" s="3532" t="s">
        <v>3554</v>
      </c>
      <c r="B265" s="3532" t="s">
        <v>3777</v>
      </c>
      <c r="C265" s="3534" t="s">
        <v>3624</v>
      </c>
      <c r="D265" s="3535">
        <v>148.88</v>
      </c>
      <c r="E265" s="3532" t="s">
        <v>3534</v>
      </c>
      <c r="F265" s="3532" t="s">
        <v>21</v>
      </c>
      <c r="G265" s="3538" t="s">
        <v>3784</v>
      </c>
      <c r="H265" s="3537" t="s">
        <v>3785</v>
      </c>
      <c r="I265" s="3537" t="s">
        <v>3786</v>
      </c>
      <c r="J265" s="3527"/>
    </row>
    <row r="266" spans="1:10" ht="25.5">
      <c r="A266" s="3532" t="s">
        <v>3554</v>
      </c>
      <c r="B266" s="3532" t="s">
        <v>3777</v>
      </c>
      <c r="C266" s="3534" t="s">
        <v>3625</v>
      </c>
      <c r="D266" s="3535">
        <v>282.02</v>
      </c>
      <c r="E266" s="3532" t="s">
        <v>3534</v>
      </c>
      <c r="F266" s="3532" t="s">
        <v>21</v>
      </c>
      <c r="G266" s="3538" t="s">
        <v>3787</v>
      </c>
      <c r="H266" s="3537" t="s">
        <v>3680</v>
      </c>
      <c r="I266" s="3537" t="s">
        <v>3788</v>
      </c>
      <c r="J266" s="3527"/>
    </row>
    <row r="267" spans="1:10" ht="25.5">
      <c r="A267" s="3532" t="s">
        <v>3554</v>
      </c>
      <c r="B267" s="3532" t="s">
        <v>3777</v>
      </c>
      <c r="C267" s="3534" t="s">
        <v>3626</v>
      </c>
      <c r="D267" s="3535">
        <v>103.37</v>
      </c>
      <c r="E267" s="3532" t="s">
        <v>3534</v>
      </c>
      <c r="F267" s="3532" t="s">
        <v>21</v>
      </c>
      <c r="G267" s="3538" t="s">
        <v>3787</v>
      </c>
      <c r="H267" s="3537" t="s">
        <v>3680</v>
      </c>
      <c r="I267" s="3537" t="s">
        <v>3789</v>
      </c>
      <c r="J267" s="3527"/>
    </row>
    <row r="268" spans="1:10" ht="25.5">
      <c r="A268" s="3532" t="s">
        <v>3554</v>
      </c>
      <c r="B268" s="3532" t="s">
        <v>3777</v>
      </c>
      <c r="C268" s="3534" t="s">
        <v>3627</v>
      </c>
      <c r="D268" s="3535">
        <v>104.28</v>
      </c>
      <c r="E268" s="3532" t="s">
        <v>3534</v>
      </c>
      <c r="F268" s="3532" t="s">
        <v>21</v>
      </c>
      <c r="G268" s="3538" t="s">
        <v>3790</v>
      </c>
      <c r="H268" s="3537" t="s">
        <v>3791</v>
      </c>
      <c r="I268" s="3537" t="s">
        <v>3789</v>
      </c>
      <c r="J268" s="3527"/>
    </row>
    <row r="269" spans="1:10" ht="25.5">
      <c r="A269" s="3532" t="s">
        <v>3554</v>
      </c>
      <c r="B269" s="3532" t="s">
        <v>3777</v>
      </c>
      <c r="C269" s="3534" t="s">
        <v>3628</v>
      </c>
      <c r="D269" s="3535">
        <v>104.28</v>
      </c>
      <c r="E269" s="3532" t="s">
        <v>3534</v>
      </c>
      <c r="F269" s="3532" t="s">
        <v>21</v>
      </c>
      <c r="G269" s="3538" t="s">
        <v>3790</v>
      </c>
      <c r="H269" s="3537" t="s">
        <v>3791</v>
      </c>
      <c r="I269" s="3537" t="s">
        <v>3789</v>
      </c>
      <c r="J269" s="3527"/>
    </row>
    <row r="270" spans="1:10" ht="25.5">
      <c r="A270" s="3532" t="s">
        <v>3554</v>
      </c>
      <c r="B270" s="3532" t="s">
        <v>3777</v>
      </c>
      <c r="C270" s="3534" t="s">
        <v>3629</v>
      </c>
      <c r="D270" s="3535">
        <v>154.58000000000001</v>
      </c>
      <c r="E270" s="3532" t="s">
        <v>3534</v>
      </c>
      <c r="F270" s="3532" t="s">
        <v>21</v>
      </c>
      <c r="G270" s="3538" t="s">
        <v>3792</v>
      </c>
      <c r="H270" s="3537" t="s">
        <v>3548</v>
      </c>
      <c r="I270" s="3537" t="s">
        <v>3793</v>
      </c>
      <c r="J270" s="3527"/>
    </row>
    <row r="271" spans="1:10" ht="25.5">
      <c r="A271" s="3532" t="s">
        <v>3554</v>
      </c>
      <c r="B271" s="3532" t="s">
        <v>3777</v>
      </c>
      <c r="C271" s="3534" t="s">
        <v>3630</v>
      </c>
      <c r="D271" s="3535">
        <v>282.02</v>
      </c>
      <c r="E271" s="3532" t="s">
        <v>3534</v>
      </c>
      <c r="F271" s="3532" t="s">
        <v>21</v>
      </c>
      <c r="G271" s="3538" t="s">
        <v>3784</v>
      </c>
      <c r="H271" s="3537" t="s">
        <v>3785</v>
      </c>
      <c r="I271" s="3537" t="s">
        <v>3786</v>
      </c>
      <c r="J271" s="3527"/>
    </row>
    <row r="272" spans="1:10" ht="25.5">
      <c r="A272" s="3532" t="s">
        <v>3554</v>
      </c>
      <c r="B272" s="3532" t="s">
        <v>3777</v>
      </c>
      <c r="C272" s="3534" t="s">
        <v>3631</v>
      </c>
      <c r="D272" s="3535">
        <v>104.28</v>
      </c>
      <c r="E272" s="3532" t="s">
        <v>3534</v>
      </c>
      <c r="F272" s="3532" t="s">
        <v>21</v>
      </c>
      <c r="G272" s="3538" t="s">
        <v>3784</v>
      </c>
      <c r="H272" s="3537" t="s">
        <v>3785</v>
      </c>
      <c r="I272" s="3537" t="s">
        <v>3786</v>
      </c>
      <c r="J272" s="3527"/>
    </row>
    <row r="273" spans="1:10" ht="25.5">
      <c r="A273" s="3532" t="s">
        <v>3554</v>
      </c>
      <c r="B273" s="3532" t="s">
        <v>3777</v>
      </c>
      <c r="C273" s="3534" t="s">
        <v>3632</v>
      </c>
      <c r="D273" s="3535">
        <v>104.28</v>
      </c>
      <c r="E273" s="3532" t="s">
        <v>3534</v>
      </c>
      <c r="F273" s="3532" t="s">
        <v>21</v>
      </c>
      <c r="G273" s="3538" t="s">
        <v>3784</v>
      </c>
      <c r="H273" s="3537" t="s">
        <v>3785</v>
      </c>
      <c r="I273" s="3537" t="s">
        <v>3786</v>
      </c>
      <c r="J273" s="3527"/>
    </row>
    <row r="274" spans="1:10" ht="25.5">
      <c r="A274" s="3532" t="s">
        <v>3554</v>
      </c>
      <c r="B274" s="3532" t="s">
        <v>3777</v>
      </c>
      <c r="C274" s="3534" t="s">
        <v>3633</v>
      </c>
      <c r="D274" s="3535">
        <v>104.28</v>
      </c>
      <c r="E274" s="3532" t="s">
        <v>3534</v>
      </c>
      <c r="F274" s="3532" t="s">
        <v>21</v>
      </c>
      <c r="G274" s="3538" t="s">
        <v>3784</v>
      </c>
      <c r="H274" s="3537" t="s">
        <v>3785</v>
      </c>
      <c r="I274" s="3537" t="s">
        <v>3786</v>
      </c>
      <c r="J274" s="3527"/>
    </row>
    <row r="275" spans="1:10" ht="25.5">
      <c r="A275" s="3532" t="s">
        <v>3554</v>
      </c>
      <c r="B275" s="3532" t="s">
        <v>3777</v>
      </c>
      <c r="C275" s="3534" t="s">
        <v>3634</v>
      </c>
      <c r="D275" s="3535">
        <v>148.88</v>
      </c>
      <c r="E275" s="3532" t="s">
        <v>3534</v>
      </c>
      <c r="F275" s="3532" t="s">
        <v>21</v>
      </c>
      <c r="G275" s="3538" t="s">
        <v>3794</v>
      </c>
      <c r="H275" s="3537" t="s">
        <v>3782</v>
      </c>
      <c r="I275" s="3537" t="s">
        <v>3795</v>
      </c>
      <c r="J275" s="3527"/>
    </row>
    <row r="276" spans="1:10" ht="25.5">
      <c r="A276" s="3532" t="s">
        <v>3554</v>
      </c>
      <c r="B276" s="3532" t="s">
        <v>3777</v>
      </c>
      <c r="C276" s="3534" t="s">
        <v>3635</v>
      </c>
      <c r="D276" s="3535">
        <v>282.02</v>
      </c>
      <c r="E276" s="3532" t="s">
        <v>3534</v>
      </c>
      <c r="F276" s="3532" t="s">
        <v>21</v>
      </c>
      <c r="G276" s="3538" t="s">
        <v>3796</v>
      </c>
      <c r="H276" s="3532" t="s">
        <v>3797</v>
      </c>
      <c r="I276" s="3541" t="s">
        <v>3798</v>
      </c>
      <c r="J276" s="3527"/>
    </row>
    <row r="277" spans="1:10" ht="25.5">
      <c r="A277" s="3532" t="s">
        <v>3554</v>
      </c>
      <c r="B277" s="3532" t="s">
        <v>3777</v>
      </c>
      <c r="C277" s="3534" t="s">
        <v>3636</v>
      </c>
      <c r="D277" s="3535">
        <v>103.37</v>
      </c>
      <c r="E277" s="3532" t="s">
        <v>3534</v>
      </c>
      <c r="F277" s="3532" t="s">
        <v>21</v>
      </c>
      <c r="G277" s="3538" t="s">
        <v>3796</v>
      </c>
      <c r="H277" s="3532" t="s">
        <v>3797</v>
      </c>
      <c r="I277" s="3541" t="s">
        <v>3798</v>
      </c>
      <c r="J277" s="3527"/>
    </row>
    <row r="278" spans="1:10" ht="25.5">
      <c r="A278" s="3532" t="s">
        <v>3554</v>
      </c>
      <c r="B278" s="3532" t="s">
        <v>3777</v>
      </c>
      <c r="C278" s="3534" t="s">
        <v>3637</v>
      </c>
      <c r="D278" s="3535">
        <v>104.28</v>
      </c>
      <c r="E278" s="3532" t="s">
        <v>3534</v>
      </c>
      <c r="F278" s="3532" t="s">
        <v>21</v>
      </c>
      <c r="G278" s="3538" t="s">
        <v>3796</v>
      </c>
      <c r="H278" s="3532" t="s">
        <v>3797</v>
      </c>
      <c r="I278" s="3541" t="s">
        <v>3798</v>
      </c>
      <c r="J278" s="3527"/>
    </row>
    <row r="279" spans="1:10" ht="25.5">
      <c r="A279" s="3532" t="s">
        <v>3554</v>
      </c>
      <c r="B279" s="3532" t="s">
        <v>3777</v>
      </c>
      <c r="C279" s="3534" t="s">
        <v>3638</v>
      </c>
      <c r="D279" s="3535">
        <v>104.28</v>
      </c>
      <c r="E279" s="3532" t="s">
        <v>3534</v>
      </c>
      <c r="F279" s="3532" t="s">
        <v>21</v>
      </c>
      <c r="G279" s="3538" t="s">
        <v>3799</v>
      </c>
      <c r="H279" s="3537" t="s">
        <v>3800</v>
      </c>
      <c r="I279" s="3537" t="s">
        <v>3801</v>
      </c>
      <c r="J279" s="3527"/>
    </row>
    <row r="280" spans="1:10" ht="25.5">
      <c r="A280" s="3532" t="s">
        <v>3554</v>
      </c>
      <c r="B280" s="3532" t="s">
        <v>3777</v>
      </c>
      <c r="C280" s="3534" t="s">
        <v>3639</v>
      </c>
      <c r="D280" s="3535">
        <v>154.58000000000001</v>
      </c>
      <c r="E280" s="3532" t="s">
        <v>3534</v>
      </c>
      <c r="F280" s="3532" t="s">
        <v>21</v>
      </c>
      <c r="G280" s="3538" t="s">
        <v>3802</v>
      </c>
      <c r="H280" s="3532" t="s">
        <v>3803</v>
      </c>
      <c r="I280" s="3541" t="s">
        <v>3804</v>
      </c>
      <c r="J280" s="3527"/>
    </row>
    <row r="281" spans="1:10" ht="25.5">
      <c r="A281" s="3532" t="s">
        <v>3554</v>
      </c>
      <c r="B281" s="3532" t="s">
        <v>3777</v>
      </c>
      <c r="C281" s="3534" t="s">
        <v>3640</v>
      </c>
      <c r="D281" s="3535">
        <v>282.02</v>
      </c>
      <c r="E281" s="3532" t="s">
        <v>3534</v>
      </c>
      <c r="F281" s="3532" t="s">
        <v>21</v>
      </c>
      <c r="G281" s="3538" t="s">
        <v>3802</v>
      </c>
      <c r="H281" s="3532" t="s">
        <v>3803</v>
      </c>
      <c r="I281" s="3541" t="s">
        <v>3804</v>
      </c>
      <c r="J281" s="3527"/>
    </row>
    <row r="282" spans="1:10" ht="25.5">
      <c r="A282" s="3532" t="s">
        <v>3554</v>
      </c>
      <c r="B282" s="3532" t="s">
        <v>3777</v>
      </c>
      <c r="C282" s="3534" t="s">
        <v>3641</v>
      </c>
      <c r="D282" s="3535">
        <v>104.28</v>
      </c>
      <c r="E282" s="3532" t="s">
        <v>3534</v>
      </c>
      <c r="F282" s="3532" t="s">
        <v>21</v>
      </c>
      <c r="G282" s="3538" t="s">
        <v>3805</v>
      </c>
      <c r="H282" s="3537" t="s">
        <v>3806</v>
      </c>
      <c r="I282" s="3537" t="s">
        <v>3807</v>
      </c>
      <c r="J282" s="3527"/>
    </row>
    <row r="283" spans="1:10" ht="25.5">
      <c r="A283" s="3532" t="s">
        <v>3554</v>
      </c>
      <c r="B283" s="3532" t="s">
        <v>3777</v>
      </c>
      <c r="C283" s="3534" t="s">
        <v>3642</v>
      </c>
      <c r="D283" s="3535">
        <v>104.28</v>
      </c>
      <c r="E283" s="3532" t="s">
        <v>3534</v>
      </c>
      <c r="F283" s="3532" t="s">
        <v>21</v>
      </c>
      <c r="G283" s="3538" t="s">
        <v>3808</v>
      </c>
      <c r="H283" s="3537" t="s">
        <v>3809</v>
      </c>
      <c r="I283" s="3537" t="s">
        <v>3810</v>
      </c>
      <c r="J283" s="3527"/>
    </row>
    <row r="284" spans="1:10" ht="25.5">
      <c r="A284" s="3532" t="s">
        <v>3554</v>
      </c>
      <c r="B284" s="3532" t="s">
        <v>3777</v>
      </c>
      <c r="C284" s="3534" t="s">
        <v>3643</v>
      </c>
      <c r="D284" s="3535">
        <v>104.28</v>
      </c>
      <c r="E284" s="3532" t="s">
        <v>3534</v>
      </c>
      <c r="F284" s="3532" t="s">
        <v>21</v>
      </c>
      <c r="G284" s="3538" t="s">
        <v>3808</v>
      </c>
      <c r="H284" s="3537" t="s">
        <v>3809</v>
      </c>
      <c r="I284" s="3537" t="s">
        <v>3810</v>
      </c>
      <c r="J284" s="3527"/>
    </row>
    <row r="285" spans="1:10" ht="25.5">
      <c r="A285" s="3532" t="s">
        <v>3554</v>
      </c>
      <c r="B285" s="3532" t="s">
        <v>3777</v>
      </c>
      <c r="C285" s="3534" t="s">
        <v>3644</v>
      </c>
      <c r="D285" s="3535">
        <v>148.88</v>
      </c>
      <c r="E285" s="3532" t="s">
        <v>3534</v>
      </c>
      <c r="F285" s="3532" t="s">
        <v>21</v>
      </c>
      <c r="G285" s="3538" t="s">
        <v>3811</v>
      </c>
      <c r="H285" s="3537" t="s">
        <v>3812</v>
      </c>
      <c r="I285" s="3537" t="s">
        <v>3813</v>
      </c>
      <c r="J285" s="3527"/>
    </row>
    <row r="286" spans="1:10" ht="25.5">
      <c r="A286" s="3532" t="s">
        <v>3554</v>
      </c>
      <c r="B286" s="3532" t="s">
        <v>3777</v>
      </c>
      <c r="C286" s="3534" t="s">
        <v>3645</v>
      </c>
      <c r="D286" s="3535">
        <v>282.02</v>
      </c>
      <c r="E286" s="3532" t="s">
        <v>3534</v>
      </c>
      <c r="F286" s="3532" t="s">
        <v>21</v>
      </c>
      <c r="G286" s="3538" t="s">
        <v>3814</v>
      </c>
      <c r="H286" s="3537" t="s">
        <v>3815</v>
      </c>
      <c r="I286" s="3537" t="s">
        <v>3816</v>
      </c>
      <c r="J286" s="3527"/>
    </row>
    <row r="287" spans="1:10" ht="25.5">
      <c r="A287" s="3532" t="s">
        <v>3554</v>
      </c>
      <c r="B287" s="3532" t="s">
        <v>3777</v>
      </c>
      <c r="C287" s="3534" t="s">
        <v>3646</v>
      </c>
      <c r="D287" s="3535">
        <v>103.37</v>
      </c>
      <c r="E287" s="3532" t="s">
        <v>3534</v>
      </c>
      <c r="F287" s="3532" t="s">
        <v>21</v>
      </c>
      <c r="G287" s="3538" t="s">
        <v>3817</v>
      </c>
      <c r="H287" s="3537" t="s">
        <v>3818</v>
      </c>
      <c r="I287" s="3537" t="s">
        <v>3819</v>
      </c>
      <c r="J287" s="3527"/>
    </row>
    <row r="288" spans="1:10" ht="25.5">
      <c r="A288" s="3532" t="s">
        <v>3554</v>
      </c>
      <c r="B288" s="3532" t="s">
        <v>3777</v>
      </c>
      <c r="C288" s="3534" t="s">
        <v>3647</v>
      </c>
      <c r="D288" s="3535">
        <v>104.28</v>
      </c>
      <c r="E288" s="3532" t="s">
        <v>3534</v>
      </c>
      <c r="F288" s="3532" t="s">
        <v>21</v>
      </c>
      <c r="G288" s="3538" t="s">
        <v>3817</v>
      </c>
      <c r="H288" s="3537" t="s">
        <v>3820</v>
      </c>
      <c r="I288" s="3537" t="s">
        <v>3819</v>
      </c>
      <c r="J288" s="3527"/>
    </row>
    <row r="289" spans="1:10" ht="25.5">
      <c r="A289" s="3532" t="s">
        <v>3554</v>
      </c>
      <c r="B289" s="3532" t="s">
        <v>3777</v>
      </c>
      <c r="C289" s="3534" t="s">
        <v>3648</v>
      </c>
      <c r="D289" s="3535">
        <v>104.28</v>
      </c>
      <c r="E289" s="3532" t="s">
        <v>3534</v>
      </c>
      <c r="F289" s="3532" t="s">
        <v>21</v>
      </c>
      <c r="G289" s="3538" t="s">
        <v>3814</v>
      </c>
      <c r="H289" s="3532" t="s">
        <v>3723</v>
      </c>
      <c r="I289" s="3541" t="s">
        <v>3821</v>
      </c>
      <c r="J289" s="3527"/>
    </row>
    <row r="290" spans="1:10" ht="25.5">
      <c r="A290" s="3532" t="s">
        <v>3554</v>
      </c>
      <c r="B290" s="3532" t="s">
        <v>3777</v>
      </c>
      <c r="C290" s="3534" t="s">
        <v>3649</v>
      </c>
      <c r="D290" s="3535">
        <v>154.58000000000001</v>
      </c>
      <c r="E290" s="3532" t="s">
        <v>3534</v>
      </c>
      <c r="F290" s="3532" t="s">
        <v>21</v>
      </c>
      <c r="G290" s="3538" t="s">
        <v>3822</v>
      </c>
      <c r="H290" s="3537" t="s">
        <v>3823</v>
      </c>
      <c r="I290" s="3537" t="s">
        <v>3824</v>
      </c>
      <c r="J290" s="3527"/>
    </row>
    <row r="291" spans="1:10" ht="25.5">
      <c r="A291" s="3532" t="s">
        <v>3554</v>
      </c>
      <c r="B291" s="3532" t="s">
        <v>3777</v>
      </c>
      <c r="C291" s="3534" t="s">
        <v>3650</v>
      </c>
      <c r="D291" s="3535">
        <v>282.02</v>
      </c>
      <c r="E291" s="3532" t="s">
        <v>3534</v>
      </c>
      <c r="F291" s="3532" t="s">
        <v>21</v>
      </c>
      <c r="G291" s="3538" t="s">
        <v>3825</v>
      </c>
      <c r="H291" s="3532" t="s">
        <v>3826</v>
      </c>
      <c r="I291" s="3541" t="s">
        <v>3827</v>
      </c>
      <c r="J291" s="3527"/>
    </row>
    <row r="292" spans="1:10" ht="25.5">
      <c r="A292" s="3532" t="s">
        <v>3554</v>
      </c>
      <c r="B292" s="3532" t="s">
        <v>3777</v>
      </c>
      <c r="C292" s="3534" t="s">
        <v>3651</v>
      </c>
      <c r="D292" s="3535">
        <v>104.28</v>
      </c>
      <c r="E292" s="3532" t="s">
        <v>3534</v>
      </c>
      <c r="F292" s="3532" t="s">
        <v>21</v>
      </c>
      <c r="G292" s="3538" t="s">
        <v>3828</v>
      </c>
      <c r="H292" s="3532" t="s">
        <v>3829</v>
      </c>
      <c r="I292" s="3541" t="s">
        <v>3830</v>
      </c>
      <c r="J292" s="3527"/>
    </row>
    <row r="293" spans="1:10" ht="25.5">
      <c r="A293" s="3532" t="s">
        <v>3554</v>
      </c>
      <c r="B293" s="3532" t="s">
        <v>3777</v>
      </c>
      <c r="C293" s="3534" t="s">
        <v>3652</v>
      </c>
      <c r="D293" s="3535">
        <v>104.28</v>
      </c>
      <c r="E293" s="3532" t="s">
        <v>3534</v>
      </c>
      <c r="F293" s="3532" t="s">
        <v>21</v>
      </c>
      <c r="G293" s="3538" t="s">
        <v>3811</v>
      </c>
      <c r="H293" s="3537" t="s">
        <v>3812</v>
      </c>
      <c r="I293" s="3537" t="s">
        <v>3813</v>
      </c>
      <c r="J293" s="3527"/>
    </row>
    <row r="294" spans="1:10" ht="25.5">
      <c r="A294" s="3532" t="s">
        <v>3554</v>
      </c>
      <c r="B294" s="3532" t="s">
        <v>3777</v>
      </c>
      <c r="C294" s="3534" t="s">
        <v>3653</v>
      </c>
      <c r="D294" s="3535">
        <v>104.28</v>
      </c>
      <c r="E294" s="3532" t="s">
        <v>3534</v>
      </c>
      <c r="F294" s="3532" t="s">
        <v>21</v>
      </c>
      <c r="G294" s="3538" t="s">
        <v>3811</v>
      </c>
      <c r="H294" s="3537" t="s">
        <v>3812</v>
      </c>
      <c r="I294" s="3537" t="s">
        <v>3813</v>
      </c>
      <c r="J294" s="3527"/>
    </row>
    <row r="295" spans="1:10" ht="25.5">
      <c r="A295" s="3532" t="s">
        <v>3554</v>
      </c>
      <c r="B295" s="3532" t="s">
        <v>3777</v>
      </c>
      <c r="C295" s="3534" t="s">
        <v>3654</v>
      </c>
      <c r="D295" s="3535">
        <v>148.88</v>
      </c>
      <c r="E295" s="3532" t="s">
        <v>3534</v>
      </c>
      <c r="F295" s="3532" t="s">
        <v>21</v>
      </c>
      <c r="G295" s="3538" t="s">
        <v>3831</v>
      </c>
      <c r="H295" s="3532" t="s">
        <v>3832</v>
      </c>
      <c r="I295" s="3541" t="s">
        <v>3833</v>
      </c>
      <c r="J295" s="3527"/>
    </row>
    <row r="296" spans="1:10" ht="25.5">
      <c r="A296" s="3532" t="s">
        <v>3554</v>
      </c>
      <c r="B296" s="3532" t="s">
        <v>3777</v>
      </c>
      <c r="C296" s="3534" t="s">
        <v>3655</v>
      </c>
      <c r="D296" s="3535">
        <v>282.02</v>
      </c>
      <c r="E296" s="3532" t="s">
        <v>3534</v>
      </c>
      <c r="F296" s="3532" t="s">
        <v>21</v>
      </c>
      <c r="G296" s="3538" t="s">
        <v>3834</v>
      </c>
      <c r="H296" s="3532" t="s">
        <v>3832</v>
      </c>
      <c r="I296" s="3541" t="s">
        <v>3835</v>
      </c>
      <c r="J296" s="3527"/>
    </row>
    <row r="297" spans="1:10" ht="25.5">
      <c r="A297" s="3532" t="s">
        <v>3554</v>
      </c>
      <c r="B297" s="3532" t="s">
        <v>3777</v>
      </c>
      <c r="C297" s="3534" t="s">
        <v>3656</v>
      </c>
      <c r="D297" s="3535">
        <v>103.37</v>
      </c>
      <c r="E297" s="3532" t="s">
        <v>3534</v>
      </c>
      <c r="F297" s="3532" t="s">
        <v>21</v>
      </c>
      <c r="G297" s="3538" t="s">
        <v>3834</v>
      </c>
      <c r="H297" s="3532" t="s">
        <v>3832</v>
      </c>
      <c r="I297" s="3541" t="s">
        <v>3835</v>
      </c>
      <c r="J297" s="3527"/>
    </row>
    <row r="298" spans="1:10" ht="25.5">
      <c r="A298" s="3532" t="s">
        <v>3554</v>
      </c>
      <c r="B298" s="3532" t="s">
        <v>3777</v>
      </c>
      <c r="C298" s="3534" t="s">
        <v>3657</v>
      </c>
      <c r="D298" s="3535">
        <v>104.28</v>
      </c>
      <c r="E298" s="3532" t="s">
        <v>3534</v>
      </c>
      <c r="F298" s="3532" t="s">
        <v>21</v>
      </c>
      <c r="G298" s="3538" t="s">
        <v>3836</v>
      </c>
      <c r="H298" s="3532" t="s">
        <v>3837</v>
      </c>
      <c r="I298" s="3537" t="s">
        <v>3819</v>
      </c>
      <c r="J298" s="3527"/>
    </row>
    <row r="299" spans="1:10" ht="25.5">
      <c r="A299" s="3532" t="s">
        <v>3554</v>
      </c>
      <c r="B299" s="3532" t="s">
        <v>3777</v>
      </c>
      <c r="C299" s="3534" t="s">
        <v>3658</v>
      </c>
      <c r="D299" s="3535">
        <v>104.28</v>
      </c>
      <c r="E299" s="3532" t="s">
        <v>3534</v>
      </c>
      <c r="F299" s="3532" t="s">
        <v>21</v>
      </c>
      <c r="G299" s="3538" t="s">
        <v>3836</v>
      </c>
      <c r="H299" s="3532" t="s">
        <v>3837</v>
      </c>
      <c r="I299" s="3537" t="s">
        <v>3819</v>
      </c>
      <c r="J299" s="3527"/>
    </row>
    <row r="300" spans="1:10" ht="25.5">
      <c r="A300" s="3532" t="s">
        <v>3554</v>
      </c>
      <c r="B300" s="3532" t="s">
        <v>3777</v>
      </c>
      <c r="C300" s="3534" t="s">
        <v>3659</v>
      </c>
      <c r="D300" s="3535">
        <v>154.58000000000001</v>
      </c>
      <c r="E300" s="3532" t="s">
        <v>3534</v>
      </c>
      <c r="F300" s="3532" t="s">
        <v>21</v>
      </c>
      <c r="G300" s="3538" t="s">
        <v>3838</v>
      </c>
      <c r="H300" s="3532" t="s">
        <v>3684</v>
      </c>
      <c r="I300" s="3537" t="s">
        <v>3827</v>
      </c>
      <c r="J300" s="3527"/>
    </row>
    <row r="301" spans="1:10" ht="25.5">
      <c r="A301" s="3532" t="s">
        <v>3554</v>
      </c>
      <c r="B301" s="3532" t="s">
        <v>3777</v>
      </c>
      <c r="C301" s="3534" t="s">
        <v>3660</v>
      </c>
      <c r="D301" s="3535">
        <v>282.02</v>
      </c>
      <c r="E301" s="3532" t="s">
        <v>3534</v>
      </c>
      <c r="F301" s="3532" t="s">
        <v>21</v>
      </c>
      <c r="G301" s="3538" t="s">
        <v>3831</v>
      </c>
      <c r="H301" s="3532" t="s">
        <v>3832</v>
      </c>
      <c r="I301" s="3541" t="s">
        <v>3833</v>
      </c>
      <c r="J301" s="3527"/>
    </row>
    <row r="302" spans="1:10" ht="25.5">
      <c r="A302" s="3532" t="s">
        <v>3554</v>
      </c>
      <c r="B302" s="3532" t="s">
        <v>3777</v>
      </c>
      <c r="C302" s="3534" t="s">
        <v>3661</v>
      </c>
      <c r="D302" s="3535">
        <v>104.28</v>
      </c>
      <c r="E302" s="3532" t="s">
        <v>3534</v>
      </c>
      <c r="F302" s="3532" t="s">
        <v>21</v>
      </c>
      <c r="G302" s="3538" t="s">
        <v>3831</v>
      </c>
      <c r="H302" s="3532" t="s">
        <v>3832</v>
      </c>
      <c r="I302" s="3541" t="s">
        <v>3833</v>
      </c>
      <c r="J302" s="3527"/>
    </row>
    <row r="303" spans="1:10" ht="25.5">
      <c r="A303" s="3532" t="s">
        <v>3554</v>
      </c>
      <c r="B303" s="3532" t="s">
        <v>3777</v>
      </c>
      <c r="C303" s="3534" t="s">
        <v>3662</v>
      </c>
      <c r="D303" s="3535">
        <v>104.28</v>
      </c>
      <c r="E303" s="3532" t="s">
        <v>3534</v>
      </c>
      <c r="F303" s="3532" t="s">
        <v>21</v>
      </c>
      <c r="G303" s="3538" t="s">
        <v>3831</v>
      </c>
      <c r="H303" s="3532" t="s">
        <v>3832</v>
      </c>
      <c r="I303" s="3541" t="s">
        <v>3833</v>
      </c>
      <c r="J303" s="3527"/>
    </row>
    <row r="304" spans="1:10" ht="25.5">
      <c r="A304" s="3532" t="s">
        <v>3554</v>
      </c>
      <c r="B304" s="3532" t="s">
        <v>3777</v>
      </c>
      <c r="C304" s="3534" t="s">
        <v>3663</v>
      </c>
      <c r="D304" s="3535">
        <v>104.28</v>
      </c>
      <c r="E304" s="3532" t="s">
        <v>3534</v>
      </c>
      <c r="F304" s="3532" t="s">
        <v>21</v>
      </c>
      <c r="G304" s="3538" t="s">
        <v>3831</v>
      </c>
      <c r="H304" s="3532" t="s">
        <v>3832</v>
      </c>
      <c r="I304" s="3541" t="s">
        <v>3833</v>
      </c>
      <c r="J304" s="3527"/>
    </row>
    <row r="305" spans="1:10" ht="25.5">
      <c r="A305" s="3532" t="s">
        <v>3554</v>
      </c>
      <c r="B305" s="3532" t="s">
        <v>3777</v>
      </c>
      <c r="C305" s="3534" t="s">
        <v>3733</v>
      </c>
      <c r="D305" s="3535">
        <v>148.88</v>
      </c>
      <c r="E305" s="3532" t="s">
        <v>3534</v>
      </c>
      <c r="F305" s="3532" t="s">
        <v>21</v>
      </c>
      <c r="G305" s="3538" t="s">
        <v>3839</v>
      </c>
      <c r="H305" s="3537" t="s">
        <v>3840</v>
      </c>
      <c r="I305" s="3537" t="s">
        <v>3841</v>
      </c>
      <c r="J305" s="3527"/>
    </row>
    <row r="306" spans="1:10" ht="25.5">
      <c r="A306" s="3532" t="s">
        <v>3554</v>
      </c>
      <c r="B306" s="3532" t="s">
        <v>3777</v>
      </c>
      <c r="C306" s="3534" t="s">
        <v>3737</v>
      </c>
      <c r="D306" s="3535">
        <v>282.02</v>
      </c>
      <c r="E306" s="3532" t="s">
        <v>3534</v>
      </c>
      <c r="F306" s="3532" t="s">
        <v>21</v>
      </c>
      <c r="G306" s="3538" t="s">
        <v>3839</v>
      </c>
      <c r="H306" s="3537" t="s">
        <v>3840</v>
      </c>
      <c r="I306" s="3537" t="s">
        <v>3841</v>
      </c>
      <c r="J306" s="3527"/>
    </row>
    <row r="307" spans="1:10" ht="25.5">
      <c r="A307" s="3532" t="s">
        <v>3554</v>
      </c>
      <c r="B307" s="3532" t="s">
        <v>3777</v>
      </c>
      <c r="C307" s="3534" t="s">
        <v>3738</v>
      </c>
      <c r="D307" s="3535">
        <v>103.37</v>
      </c>
      <c r="E307" s="3532" t="s">
        <v>3534</v>
      </c>
      <c r="F307" s="3532" t="s">
        <v>21</v>
      </c>
      <c r="G307" s="3538" t="s">
        <v>3842</v>
      </c>
      <c r="H307" s="3537" t="s">
        <v>3843</v>
      </c>
      <c r="I307" s="3537" t="s">
        <v>3844</v>
      </c>
      <c r="J307" s="3527"/>
    </row>
    <row r="308" spans="1:10" ht="25.5">
      <c r="A308" s="3532" t="s">
        <v>3554</v>
      </c>
      <c r="B308" s="3532" t="s">
        <v>3777</v>
      </c>
      <c r="C308" s="3534" t="s">
        <v>3739</v>
      </c>
      <c r="D308" s="3535">
        <v>104.28</v>
      </c>
      <c r="E308" s="3532" t="s">
        <v>3534</v>
      </c>
      <c r="F308" s="3532" t="s">
        <v>21</v>
      </c>
      <c r="G308" s="3538" t="s">
        <v>3845</v>
      </c>
      <c r="H308" s="3537" t="s">
        <v>3820</v>
      </c>
      <c r="I308" s="3537" t="s">
        <v>3827</v>
      </c>
      <c r="J308" s="3527"/>
    </row>
    <row r="309" spans="1:10" ht="25.5">
      <c r="A309" s="3532" t="s">
        <v>3554</v>
      </c>
      <c r="B309" s="3532" t="s">
        <v>3777</v>
      </c>
      <c r="C309" s="3534" t="s">
        <v>3740</v>
      </c>
      <c r="D309" s="3535">
        <v>104.28</v>
      </c>
      <c r="E309" s="3532" t="s">
        <v>3534</v>
      </c>
      <c r="F309" s="3532" t="s">
        <v>21</v>
      </c>
      <c r="G309" s="3538" t="s">
        <v>3846</v>
      </c>
      <c r="H309" s="3537" t="s">
        <v>3820</v>
      </c>
      <c r="I309" s="3537" t="s">
        <v>3847</v>
      </c>
      <c r="J309" s="3527"/>
    </row>
    <row r="310" spans="1:10" ht="25.5">
      <c r="A310" s="3532" t="s">
        <v>3554</v>
      </c>
      <c r="B310" s="3532" t="s">
        <v>3777</v>
      </c>
      <c r="C310" s="3534" t="s">
        <v>3741</v>
      </c>
      <c r="D310" s="3535">
        <v>154.58000000000001</v>
      </c>
      <c r="E310" s="3532" t="s">
        <v>3534</v>
      </c>
      <c r="F310" s="3532" t="s">
        <v>21</v>
      </c>
      <c r="G310" s="3538" t="s">
        <v>3846</v>
      </c>
      <c r="H310" s="3537" t="s">
        <v>3820</v>
      </c>
      <c r="I310" s="3537" t="s">
        <v>3847</v>
      </c>
      <c r="J310" s="3527"/>
    </row>
    <row r="311" spans="1:10" ht="25.5">
      <c r="A311" s="3532" t="s">
        <v>3554</v>
      </c>
      <c r="B311" s="3532" t="s">
        <v>3777</v>
      </c>
      <c r="C311" s="3534" t="s">
        <v>3742</v>
      </c>
      <c r="D311" s="3535">
        <v>282.02</v>
      </c>
      <c r="E311" s="3532" t="s">
        <v>3534</v>
      </c>
      <c r="F311" s="3532" t="s">
        <v>21</v>
      </c>
      <c r="G311" s="3538" t="s">
        <v>3846</v>
      </c>
      <c r="H311" s="3537" t="s">
        <v>3820</v>
      </c>
      <c r="I311" s="3537" t="s">
        <v>3847</v>
      </c>
      <c r="J311" s="3527"/>
    </row>
    <row r="312" spans="1:10" ht="25.5">
      <c r="A312" s="3532" t="s">
        <v>3554</v>
      </c>
      <c r="B312" s="3532" t="s">
        <v>3777</v>
      </c>
      <c r="C312" s="3534" t="s">
        <v>3743</v>
      </c>
      <c r="D312" s="3535">
        <v>104.28</v>
      </c>
      <c r="E312" s="3532" t="s">
        <v>3534</v>
      </c>
      <c r="F312" s="3532" t="s">
        <v>21</v>
      </c>
      <c r="G312" s="3538" t="s">
        <v>3839</v>
      </c>
      <c r="H312" s="3537" t="s">
        <v>3840</v>
      </c>
      <c r="I312" s="3537" t="s">
        <v>3841</v>
      </c>
      <c r="J312" s="3527"/>
    </row>
    <row r="313" spans="1:10" ht="25.5">
      <c r="A313" s="3532" t="s">
        <v>3554</v>
      </c>
      <c r="B313" s="3532" t="s">
        <v>3777</v>
      </c>
      <c r="C313" s="3534" t="s">
        <v>3744</v>
      </c>
      <c r="D313" s="3535">
        <v>104.28</v>
      </c>
      <c r="E313" s="3532" t="s">
        <v>3534</v>
      </c>
      <c r="F313" s="3532" t="s">
        <v>21</v>
      </c>
      <c r="G313" s="3538" t="s">
        <v>3839</v>
      </c>
      <c r="H313" s="3537" t="s">
        <v>3840</v>
      </c>
      <c r="I313" s="3537" t="s">
        <v>3841</v>
      </c>
      <c r="J313" s="3527"/>
    </row>
    <row r="314" spans="1:10" ht="25.5">
      <c r="A314" s="3532" t="s">
        <v>3554</v>
      </c>
      <c r="B314" s="3532" t="s">
        <v>3777</v>
      </c>
      <c r="C314" s="3534" t="s">
        <v>3745</v>
      </c>
      <c r="D314" s="3535">
        <v>104.28</v>
      </c>
      <c r="E314" s="3532" t="s">
        <v>3534</v>
      </c>
      <c r="F314" s="3532" t="s">
        <v>21</v>
      </c>
      <c r="G314" s="3538" t="s">
        <v>3839</v>
      </c>
      <c r="H314" s="3537" t="s">
        <v>3840</v>
      </c>
      <c r="I314" s="3537" t="s">
        <v>3841</v>
      </c>
      <c r="J314" s="3527"/>
    </row>
    <row r="315" spans="1:10" ht="25.5">
      <c r="A315" s="3532" t="s">
        <v>3554</v>
      </c>
      <c r="B315" s="3532" t="s">
        <v>3777</v>
      </c>
      <c r="C315" s="3534" t="s">
        <v>3748</v>
      </c>
      <c r="D315" s="3535">
        <v>148.88</v>
      </c>
      <c r="E315" s="3532" t="s">
        <v>3534</v>
      </c>
      <c r="F315" s="3532" t="s">
        <v>21</v>
      </c>
      <c r="G315" s="3538" t="s">
        <v>3722</v>
      </c>
      <c r="H315" s="3532" t="s">
        <v>3848</v>
      </c>
      <c r="I315" s="3537" t="s">
        <v>3849</v>
      </c>
      <c r="J315" s="3527"/>
    </row>
    <row r="316" spans="1:10" ht="25.5">
      <c r="A316" s="3532" t="s">
        <v>3554</v>
      </c>
      <c r="B316" s="3532" t="s">
        <v>3777</v>
      </c>
      <c r="C316" s="3534" t="s">
        <v>3752</v>
      </c>
      <c r="D316" s="3535">
        <v>282.02</v>
      </c>
      <c r="E316" s="3532" t="s">
        <v>3534</v>
      </c>
      <c r="F316" s="3532" t="s">
        <v>21</v>
      </c>
      <c r="G316" s="3538" t="s">
        <v>3850</v>
      </c>
      <c r="H316" s="3537" t="s">
        <v>3791</v>
      </c>
      <c r="I316" s="3537" t="s">
        <v>3851</v>
      </c>
      <c r="J316" s="3527"/>
    </row>
    <row r="317" spans="1:10" ht="25.5">
      <c r="A317" s="3532" t="s">
        <v>3554</v>
      </c>
      <c r="B317" s="3532" t="s">
        <v>3777</v>
      </c>
      <c r="C317" s="3534" t="s">
        <v>3753</v>
      </c>
      <c r="D317" s="3535">
        <v>103.37</v>
      </c>
      <c r="E317" s="3532" t="s">
        <v>3534</v>
      </c>
      <c r="F317" s="3532" t="s">
        <v>21</v>
      </c>
      <c r="G317" s="3538" t="s">
        <v>3850</v>
      </c>
      <c r="H317" s="3537" t="s">
        <v>3791</v>
      </c>
      <c r="I317" s="3537" t="s">
        <v>3824</v>
      </c>
      <c r="J317" s="3527"/>
    </row>
    <row r="318" spans="1:10" ht="25.5">
      <c r="A318" s="3532" t="s">
        <v>3554</v>
      </c>
      <c r="B318" s="3532" t="s">
        <v>3777</v>
      </c>
      <c r="C318" s="3534" t="s">
        <v>3754</v>
      </c>
      <c r="D318" s="3535">
        <v>104.28</v>
      </c>
      <c r="E318" s="3532" t="s">
        <v>3534</v>
      </c>
      <c r="F318" s="3532" t="s">
        <v>21</v>
      </c>
      <c r="G318" s="3538" t="s">
        <v>3850</v>
      </c>
      <c r="H318" s="3537" t="s">
        <v>3791</v>
      </c>
      <c r="I318" s="3537" t="s">
        <v>3824</v>
      </c>
      <c r="J318" s="3527"/>
    </row>
    <row r="319" spans="1:10" ht="25.5">
      <c r="A319" s="3532" t="s">
        <v>3554</v>
      </c>
      <c r="B319" s="3532" t="s">
        <v>3777</v>
      </c>
      <c r="C319" s="3534" t="s">
        <v>3755</v>
      </c>
      <c r="D319" s="3535">
        <v>104.28</v>
      </c>
      <c r="E319" s="3532" t="s">
        <v>3534</v>
      </c>
      <c r="F319" s="3532" t="s">
        <v>21</v>
      </c>
      <c r="G319" s="3538" t="s">
        <v>3852</v>
      </c>
      <c r="H319" s="3537" t="s">
        <v>3806</v>
      </c>
      <c r="I319" s="3537" t="s">
        <v>3853</v>
      </c>
      <c r="J319" s="3527"/>
    </row>
    <row r="320" spans="1:10" ht="25.5">
      <c r="A320" s="3532" t="s">
        <v>3554</v>
      </c>
      <c r="B320" s="3532" t="s">
        <v>3777</v>
      </c>
      <c r="C320" s="3534" t="s">
        <v>3756</v>
      </c>
      <c r="D320" s="3535">
        <v>154.58000000000001</v>
      </c>
      <c r="E320" s="3532" t="s">
        <v>3534</v>
      </c>
      <c r="F320" s="3532" t="s">
        <v>21</v>
      </c>
      <c r="G320" s="3538" t="s">
        <v>3852</v>
      </c>
      <c r="H320" s="3537" t="s">
        <v>3806</v>
      </c>
      <c r="I320" s="3537" t="s">
        <v>3853</v>
      </c>
      <c r="J320" s="3527"/>
    </row>
    <row r="321" spans="1:10" ht="25.5">
      <c r="A321" s="3532" t="s">
        <v>3554</v>
      </c>
      <c r="B321" s="3532" t="s">
        <v>3777</v>
      </c>
      <c r="C321" s="3534" t="s">
        <v>3757</v>
      </c>
      <c r="D321" s="3535">
        <v>282.02</v>
      </c>
      <c r="E321" s="3532" t="s">
        <v>3534</v>
      </c>
      <c r="F321" s="3532" t="s">
        <v>21</v>
      </c>
      <c r="G321" s="3538" t="s">
        <v>3852</v>
      </c>
      <c r="H321" s="3537" t="s">
        <v>3806</v>
      </c>
      <c r="I321" s="3537" t="s">
        <v>3853</v>
      </c>
      <c r="J321" s="3527"/>
    </row>
    <row r="322" spans="1:10" ht="25.5">
      <c r="A322" s="3532" t="s">
        <v>3554</v>
      </c>
      <c r="B322" s="3532" t="s">
        <v>3777</v>
      </c>
      <c r="C322" s="3534" t="s">
        <v>3758</v>
      </c>
      <c r="D322" s="3535">
        <v>104.28</v>
      </c>
      <c r="E322" s="3532" t="s">
        <v>3534</v>
      </c>
      <c r="F322" s="3532" t="s">
        <v>21</v>
      </c>
      <c r="G322" s="3538" t="s">
        <v>3852</v>
      </c>
      <c r="H322" s="3537" t="s">
        <v>3806</v>
      </c>
      <c r="I322" s="3537" t="s">
        <v>3853</v>
      </c>
      <c r="J322" s="3527"/>
    </row>
    <row r="323" spans="1:10" ht="25.5">
      <c r="A323" s="3532" t="s">
        <v>3554</v>
      </c>
      <c r="B323" s="3532" t="s">
        <v>3777</v>
      </c>
      <c r="C323" s="3534" t="s">
        <v>3759</v>
      </c>
      <c r="D323" s="3535">
        <v>104.28</v>
      </c>
      <c r="E323" s="3532" t="s">
        <v>3534</v>
      </c>
      <c r="F323" s="3532" t="s">
        <v>21</v>
      </c>
      <c r="G323" s="3538" t="s">
        <v>3722</v>
      </c>
      <c r="H323" s="3532" t="s">
        <v>3848</v>
      </c>
      <c r="I323" s="3537" t="s">
        <v>3854</v>
      </c>
      <c r="J323" s="3527"/>
    </row>
    <row r="324" spans="1:10" ht="25.5">
      <c r="A324" s="3532" t="s">
        <v>3554</v>
      </c>
      <c r="B324" s="3532" t="s">
        <v>3777</v>
      </c>
      <c r="C324" s="3534" t="s">
        <v>3760</v>
      </c>
      <c r="D324" s="3535">
        <v>104.28</v>
      </c>
      <c r="E324" s="3532" t="s">
        <v>3534</v>
      </c>
      <c r="F324" s="3532" t="s">
        <v>21</v>
      </c>
      <c r="G324" s="3538" t="s">
        <v>3722</v>
      </c>
      <c r="H324" s="3532" t="s">
        <v>3848</v>
      </c>
      <c r="I324" s="3537" t="s">
        <v>3854</v>
      </c>
      <c r="J324" s="3527"/>
    </row>
    <row r="325" spans="1:10" ht="25.5">
      <c r="A325" s="3532" t="s">
        <v>3554</v>
      </c>
      <c r="B325" s="3532" t="s">
        <v>3777</v>
      </c>
      <c r="C325" s="3534" t="s">
        <v>3763</v>
      </c>
      <c r="D325" s="3535">
        <v>148.88</v>
      </c>
      <c r="E325" s="3532" t="s">
        <v>3534</v>
      </c>
      <c r="F325" s="3532" t="s">
        <v>21</v>
      </c>
      <c r="G325" s="3538" t="s">
        <v>3855</v>
      </c>
      <c r="H325" s="3537" t="s">
        <v>3856</v>
      </c>
      <c r="I325" s="3537" t="s">
        <v>3857</v>
      </c>
      <c r="J325" s="3527"/>
    </row>
    <row r="326" spans="1:10" ht="25.5">
      <c r="A326" s="3532" t="s">
        <v>3554</v>
      </c>
      <c r="B326" s="3532" t="s">
        <v>3777</v>
      </c>
      <c r="C326" s="3534" t="s">
        <v>3766</v>
      </c>
      <c r="D326" s="3535">
        <v>282.02</v>
      </c>
      <c r="E326" s="3532" t="s">
        <v>3534</v>
      </c>
      <c r="F326" s="3532" t="s">
        <v>21</v>
      </c>
      <c r="G326" s="3538" t="s">
        <v>3858</v>
      </c>
      <c r="H326" s="3532" t="s">
        <v>3859</v>
      </c>
      <c r="I326" s="3541" t="s">
        <v>3860</v>
      </c>
      <c r="J326" s="3527"/>
    </row>
    <row r="327" spans="1:10" ht="25.5">
      <c r="A327" s="3532" t="s">
        <v>3554</v>
      </c>
      <c r="B327" s="3532" t="s">
        <v>3777</v>
      </c>
      <c r="C327" s="3534" t="s">
        <v>3767</v>
      </c>
      <c r="D327" s="3535">
        <v>103.37</v>
      </c>
      <c r="E327" s="3532" t="s">
        <v>3534</v>
      </c>
      <c r="F327" s="3532" t="s">
        <v>21</v>
      </c>
      <c r="G327" s="3538" t="s">
        <v>3861</v>
      </c>
      <c r="H327" s="3532" t="s">
        <v>3862</v>
      </c>
      <c r="I327" s="3541" t="s">
        <v>3827</v>
      </c>
      <c r="J327" s="3527"/>
    </row>
    <row r="328" spans="1:10" ht="25.5">
      <c r="A328" s="3532" t="s">
        <v>3554</v>
      </c>
      <c r="B328" s="3532" t="s">
        <v>3777</v>
      </c>
      <c r="C328" s="3534" t="s">
        <v>3768</v>
      </c>
      <c r="D328" s="3535">
        <v>104.28</v>
      </c>
      <c r="E328" s="3532" t="s">
        <v>3534</v>
      </c>
      <c r="F328" s="3532" t="s">
        <v>21</v>
      </c>
      <c r="G328" s="3538" t="s">
        <v>3861</v>
      </c>
      <c r="H328" s="3532" t="s">
        <v>3862</v>
      </c>
      <c r="I328" s="3541" t="s">
        <v>3827</v>
      </c>
      <c r="J328" s="3527"/>
    </row>
    <row r="329" spans="1:10" ht="25.5">
      <c r="A329" s="3532" t="s">
        <v>3554</v>
      </c>
      <c r="B329" s="3532" t="s">
        <v>3777</v>
      </c>
      <c r="C329" s="3534" t="s">
        <v>3769</v>
      </c>
      <c r="D329" s="3535">
        <v>104.28</v>
      </c>
      <c r="E329" s="3532" t="s">
        <v>3534</v>
      </c>
      <c r="F329" s="3532" t="s">
        <v>21</v>
      </c>
      <c r="G329" s="3538" t="s">
        <v>3863</v>
      </c>
      <c r="H329" s="3532" t="s">
        <v>3864</v>
      </c>
      <c r="I329" s="3541" t="s">
        <v>3865</v>
      </c>
      <c r="J329" s="3527"/>
    </row>
    <row r="330" spans="1:10" ht="25.5">
      <c r="A330" s="3532" t="s">
        <v>3554</v>
      </c>
      <c r="B330" s="3532" t="s">
        <v>3777</v>
      </c>
      <c r="C330" s="3534" t="s">
        <v>3770</v>
      </c>
      <c r="D330" s="3535">
        <v>154.58000000000001</v>
      </c>
      <c r="E330" s="3532" t="s">
        <v>3534</v>
      </c>
      <c r="F330" s="3532" t="s">
        <v>21</v>
      </c>
      <c r="G330" s="3538" t="s">
        <v>3863</v>
      </c>
      <c r="H330" s="3532" t="s">
        <v>3864</v>
      </c>
      <c r="I330" s="3541" t="s">
        <v>3865</v>
      </c>
      <c r="J330" s="3527"/>
    </row>
    <row r="331" spans="1:10" ht="14.25">
      <c r="A331" s="3532" t="s">
        <v>3554</v>
      </c>
      <c r="B331" s="3532" t="s">
        <v>3777</v>
      </c>
      <c r="C331" s="3534" t="s">
        <v>3771</v>
      </c>
      <c r="D331" s="3535">
        <v>282.02</v>
      </c>
      <c r="E331" s="3532" t="s">
        <v>3534</v>
      </c>
      <c r="F331" s="3532" t="s">
        <v>21</v>
      </c>
      <c r="G331" s="3538" t="s">
        <v>3866</v>
      </c>
      <c r="H331" s="3532" t="s">
        <v>3867</v>
      </c>
      <c r="I331" s="3541" t="s">
        <v>3868</v>
      </c>
      <c r="J331" s="3527"/>
    </row>
    <row r="332" spans="1:10" ht="25.5">
      <c r="A332" s="3532" t="s">
        <v>3554</v>
      </c>
      <c r="B332" s="3532" t="s">
        <v>3777</v>
      </c>
      <c r="C332" s="3534" t="s">
        <v>3772</v>
      </c>
      <c r="D332" s="3535">
        <v>104.28</v>
      </c>
      <c r="E332" s="3532" t="s">
        <v>3534</v>
      </c>
      <c r="F332" s="3532" t="s">
        <v>21</v>
      </c>
      <c r="G332" s="3538" t="s">
        <v>3855</v>
      </c>
      <c r="H332" s="3537" t="s">
        <v>3856</v>
      </c>
      <c r="I332" s="3537" t="s">
        <v>3857</v>
      </c>
      <c r="J332" s="3527"/>
    </row>
    <row r="333" spans="1:10" ht="25.5">
      <c r="A333" s="3532" t="s">
        <v>3554</v>
      </c>
      <c r="B333" s="3532" t="s">
        <v>3777</v>
      </c>
      <c r="C333" s="3534" t="s">
        <v>3773</v>
      </c>
      <c r="D333" s="3535">
        <v>104.28</v>
      </c>
      <c r="E333" s="3532" t="s">
        <v>3534</v>
      </c>
      <c r="F333" s="3532" t="s">
        <v>21</v>
      </c>
      <c r="G333" s="3538" t="s">
        <v>3855</v>
      </c>
      <c r="H333" s="3537" t="s">
        <v>3856</v>
      </c>
      <c r="I333" s="3537" t="s">
        <v>3857</v>
      </c>
      <c r="J333" s="3527"/>
    </row>
    <row r="334" spans="1:10" ht="25.5">
      <c r="A334" s="3532" t="s">
        <v>3554</v>
      </c>
      <c r="B334" s="3532" t="s">
        <v>3777</v>
      </c>
      <c r="C334" s="3534" t="s">
        <v>3774</v>
      </c>
      <c r="D334" s="3535">
        <v>104.28</v>
      </c>
      <c r="E334" s="3532" t="s">
        <v>3534</v>
      </c>
      <c r="F334" s="3532" t="s">
        <v>21</v>
      </c>
      <c r="G334" s="3538" t="s">
        <v>3855</v>
      </c>
      <c r="H334" s="3537" t="s">
        <v>3856</v>
      </c>
      <c r="I334" s="3537" t="s">
        <v>3857</v>
      </c>
      <c r="J334" s="3527"/>
    </row>
    <row r="335" spans="1:10" ht="25.5">
      <c r="A335" s="3532" t="s">
        <v>3554</v>
      </c>
      <c r="B335" s="3532" t="s">
        <v>3869</v>
      </c>
      <c r="C335" s="3539" t="s">
        <v>3533</v>
      </c>
      <c r="D335" s="3540">
        <v>109.71</v>
      </c>
      <c r="E335" s="3532" t="s">
        <v>3534</v>
      </c>
      <c r="F335" s="3532" t="s">
        <v>673</v>
      </c>
      <c r="G335" s="3538" t="s">
        <v>3870</v>
      </c>
      <c r="H335" s="3537" t="s">
        <v>3678</v>
      </c>
      <c r="I335" s="3537" t="s">
        <v>3537</v>
      </c>
      <c r="J335" s="3527"/>
    </row>
    <row r="336" spans="1:10" ht="38.25">
      <c r="A336" s="3532" t="s">
        <v>3554</v>
      </c>
      <c r="B336" s="3532" t="s">
        <v>3869</v>
      </c>
      <c r="C336" s="3539" t="s">
        <v>3538</v>
      </c>
      <c r="D336" s="3540">
        <v>119.6</v>
      </c>
      <c r="E336" s="3532" t="s">
        <v>3534</v>
      </c>
      <c r="F336" s="3532" t="s">
        <v>673</v>
      </c>
      <c r="G336" s="3538" t="s">
        <v>3871</v>
      </c>
      <c r="H336" s="3532" t="s">
        <v>3872</v>
      </c>
      <c r="I336" s="3537" t="s">
        <v>3873</v>
      </c>
      <c r="J336" s="3527"/>
    </row>
    <row r="337" spans="1:10" ht="25.5">
      <c r="A337" s="3532" t="s">
        <v>3554</v>
      </c>
      <c r="B337" s="3532" t="s">
        <v>3869</v>
      </c>
      <c r="C337" s="3539" t="s">
        <v>3542</v>
      </c>
      <c r="D337" s="3540">
        <v>79.36</v>
      </c>
      <c r="E337" s="3532" t="s">
        <v>3534</v>
      </c>
      <c r="F337" s="3532" t="s">
        <v>673</v>
      </c>
      <c r="G337" s="3538" t="s">
        <v>3874</v>
      </c>
      <c r="H337" s="3532" t="s">
        <v>3666</v>
      </c>
      <c r="I337" s="3537" t="s">
        <v>3875</v>
      </c>
      <c r="J337" s="3527"/>
    </row>
    <row r="338" spans="1:10" ht="25.5">
      <c r="A338" s="3532" t="s">
        <v>3554</v>
      </c>
      <c r="B338" s="3532" t="s">
        <v>3869</v>
      </c>
      <c r="C338" s="3539" t="s">
        <v>3543</v>
      </c>
      <c r="D338" s="3540">
        <v>55.44</v>
      </c>
      <c r="E338" s="3532" t="s">
        <v>3534</v>
      </c>
      <c r="F338" s="3532" t="s">
        <v>673</v>
      </c>
      <c r="G338" s="3538" t="s">
        <v>3876</v>
      </c>
      <c r="H338" s="3532" t="s">
        <v>3877</v>
      </c>
      <c r="I338" s="3537" t="s">
        <v>3878</v>
      </c>
      <c r="J338" s="3527"/>
    </row>
    <row r="339" spans="1:10" ht="14.25">
      <c r="A339" s="3532" t="s">
        <v>3554</v>
      </c>
      <c r="B339" s="3532" t="s">
        <v>3869</v>
      </c>
      <c r="C339" s="3534" t="s">
        <v>3547</v>
      </c>
      <c r="D339" s="3535">
        <v>3012.67</v>
      </c>
      <c r="E339" s="3532" t="s">
        <v>3534</v>
      </c>
      <c r="F339" s="3532" t="s">
        <v>3879</v>
      </c>
      <c r="G339" s="3532"/>
      <c r="H339" s="3532"/>
      <c r="I339" s="3541"/>
      <c r="J339" s="3527"/>
    </row>
    <row r="340" spans="1:10" ht="14.25">
      <c r="A340" s="3532" t="s">
        <v>3554</v>
      </c>
      <c r="B340" s="3532" t="s">
        <v>3869</v>
      </c>
      <c r="C340" s="3534">
        <v>302</v>
      </c>
      <c r="D340" s="3535">
        <v>254.11</v>
      </c>
      <c r="E340" s="3532" t="s">
        <v>3534</v>
      </c>
      <c r="F340" s="3532" t="s">
        <v>21</v>
      </c>
      <c r="G340" s="3532"/>
      <c r="H340" s="3532"/>
      <c r="I340" s="3541"/>
      <c r="J340" s="3527"/>
    </row>
    <row r="341" spans="1:10" ht="14.25">
      <c r="A341" s="3532" t="s">
        <v>3554</v>
      </c>
      <c r="B341" s="3532" t="s">
        <v>3869</v>
      </c>
      <c r="C341" s="3534">
        <v>303</v>
      </c>
      <c r="D341" s="3535">
        <v>315.39</v>
      </c>
      <c r="E341" s="3532" t="s">
        <v>3534</v>
      </c>
      <c r="F341" s="3532" t="s">
        <v>21</v>
      </c>
      <c r="G341" s="3532"/>
      <c r="H341" s="3532"/>
      <c r="I341" s="3541"/>
      <c r="J341" s="3527"/>
    </row>
    <row r="342" spans="1:10" ht="25.5">
      <c r="A342" s="3532" t="s">
        <v>3554</v>
      </c>
      <c r="B342" s="3532" t="s">
        <v>3869</v>
      </c>
      <c r="C342" s="3539" t="s">
        <v>3596</v>
      </c>
      <c r="D342" s="3540">
        <v>88.43</v>
      </c>
      <c r="E342" s="3532" t="s">
        <v>3534</v>
      </c>
      <c r="F342" s="3532" t="s">
        <v>21</v>
      </c>
      <c r="G342" s="3538" t="s">
        <v>3577</v>
      </c>
      <c r="H342" s="3537" t="s">
        <v>3578</v>
      </c>
      <c r="I342" s="3537" t="s">
        <v>3579</v>
      </c>
      <c r="J342" s="3527"/>
    </row>
    <row r="343" spans="1:10" ht="25.5">
      <c r="A343" s="3532" t="s">
        <v>3554</v>
      </c>
      <c r="B343" s="3532" t="s">
        <v>3869</v>
      </c>
      <c r="C343" s="3539" t="s">
        <v>3597</v>
      </c>
      <c r="D343" s="3540">
        <v>133.26</v>
      </c>
      <c r="E343" s="3532" t="s">
        <v>3534</v>
      </c>
      <c r="F343" s="3532" t="s">
        <v>21</v>
      </c>
      <c r="G343" s="3538" t="s">
        <v>3577</v>
      </c>
      <c r="H343" s="3537" t="s">
        <v>3578</v>
      </c>
      <c r="I343" s="3537" t="s">
        <v>3579</v>
      </c>
      <c r="J343" s="3527"/>
    </row>
    <row r="344" spans="1:10">
      <c r="A344" s="3532" t="s">
        <v>3554</v>
      </c>
      <c r="B344" s="3532" t="s">
        <v>3869</v>
      </c>
      <c r="C344" s="3539" t="s">
        <v>3604</v>
      </c>
      <c r="D344" s="3540">
        <v>154.38</v>
      </c>
      <c r="E344" s="3532" t="s">
        <v>3534</v>
      </c>
      <c r="F344" s="3532" t="s">
        <v>21</v>
      </c>
      <c r="G344" s="3532" t="s">
        <v>3749</v>
      </c>
      <c r="H344" s="3532" t="s">
        <v>3880</v>
      </c>
      <c r="I344" s="3541" t="s">
        <v>3881</v>
      </c>
      <c r="J344" s="3527"/>
    </row>
    <row r="345" spans="1:10">
      <c r="A345" s="3532" t="s">
        <v>3554</v>
      </c>
      <c r="B345" s="3532" t="s">
        <v>3869</v>
      </c>
      <c r="C345" s="3539" t="s">
        <v>3605</v>
      </c>
      <c r="D345" s="3540">
        <v>108.41</v>
      </c>
      <c r="E345" s="3532" t="s">
        <v>3534</v>
      </c>
      <c r="F345" s="3532" t="s">
        <v>21</v>
      </c>
      <c r="G345" s="3532" t="s">
        <v>3749</v>
      </c>
      <c r="H345" s="3532" t="s">
        <v>3880</v>
      </c>
      <c r="I345" s="3541" t="s">
        <v>3881</v>
      </c>
      <c r="J345" s="3527"/>
    </row>
    <row r="346" spans="1:10">
      <c r="A346" s="3532" t="s">
        <v>3554</v>
      </c>
      <c r="B346" s="3532" t="s">
        <v>3869</v>
      </c>
      <c r="C346" s="3539" t="s">
        <v>3606</v>
      </c>
      <c r="D346" s="3540">
        <v>108.41</v>
      </c>
      <c r="E346" s="3532" t="s">
        <v>3534</v>
      </c>
      <c r="F346" s="3532" t="s">
        <v>21</v>
      </c>
      <c r="G346" s="3532" t="s">
        <v>3749</v>
      </c>
      <c r="H346" s="3532" t="s">
        <v>3880</v>
      </c>
      <c r="I346" s="3541" t="s">
        <v>3881</v>
      </c>
      <c r="J346" s="3527"/>
    </row>
    <row r="347" spans="1:10">
      <c r="A347" s="3532" t="s">
        <v>3554</v>
      </c>
      <c r="B347" s="3532" t="s">
        <v>3869</v>
      </c>
      <c r="C347" s="3539" t="s">
        <v>3607</v>
      </c>
      <c r="D347" s="3540">
        <v>108.41</v>
      </c>
      <c r="E347" s="3532" t="s">
        <v>3534</v>
      </c>
      <c r="F347" s="3532" t="s">
        <v>21</v>
      </c>
      <c r="G347" s="3532" t="s">
        <v>3749</v>
      </c>
      <c r="H347" s="3532" t="s">
        <v>3880</v>
      </c>
      <c r="I347" s="3541" t="s">
        <v>3881</v>
      </c>
      <c r="J347" s="3527"/>
    </row>
    <row r="348" spans="1:10">
      <c r="A348" s="3532" t="s">
        <v>3554</v>
      </c>
      <c r="B348" s="3532" t="s">
        <v>3869</v>
      </c>
      <c r="C348" s="3539" t="s">
        <v>3608</v>
      </c>
      <c r="D348" s="3540">
        <v>154.33000000000001</v>
      </c>
      <c r="E348" s="3532" t="s">
        <v>3534</v>
      </c>
      <c r="F348" s="3532" t="s">
        <v>21</v>
      </c>
      <c r="G348" s="3532" t="s">
        <v>3749</v>
      </c>
      <c r="H348" s="3532" t="s">
        <v>3880</v>
      </c>
      <c r="I348" s="3541" t="s">
        <v>3881</v>
      </c>
      <c r="J348" s="3527"/>
    </row>
    <row r="349" spans="1:10">
      <c r="A349" s="3532" t="s">
        <v>3554</v>
      </c>
      <c r="B349" s="3532" t="s">
        <v>3869</v>
      </c>
      <c r="C349" s="3539" t="s">
        <v>3609</v>
      </c>
      <c r="D349" s="3540">
        <v>249.29</v>
      </c>
      <c r="E349" s="3532" t="s">
        <v>3534</v>
      </c>
      <c r="F349" s="3532" t="s">
        <v>21</v>
      </c>
      <c r="G349" s="3532" t="s">
        <v>3749</v>
      </c>
      <c r="H349" s="3532" t="s">
        <v>3880</v>
      </c>
      <c r="I349" s="3541" t="s">
        <v>3881</v>
      </c>
      <c r="J349" s="3527"/>
    </row>
    <row r="350" spans="1:10">
      <c r="A350" s="3532" t="s">
        <v>3554</v>
      </c>
      <c r="B350" s="3532" t="s">
        <v>3869</v>
      </c>
      <c r="C350" s="3539" t="s">
        <v>3610</v>
      </c>
      <c r="D350" s="3540">
        <v>103.96</v>
      </c>
      <c r="E350" s="3532" t="s">
        <v>3534</v>
      </c>
      <c r="F350" s="3532" t="s">
        <v>21</v>
      </c>
      <c r="G350" s="3532" t="s">
        <v>3749</v>
      </c>
      <c r="H350" s="3532" t="s">
        <v>3880</v>
      </c>
      <c r="I350" s="3541" t="s">
        <v>3881</v>
      </c>
      <c r="J350" s="3527"/>
    </row>
    <row r="351" spans="1:10">
      <c r="A351" s="3532" t="s">
        <v>3554</v>
      </c>
      <c r="B351" s="3532" t="s">
        <v>3869</v>
      </c>
      <c r="C351" s="3539" t="s">
        <v>3611</v>
      </c>
      <c r="D351" s="3540">
        <v>108.22</v>
      </c>
      <c r="E351" s="3532" t="s">
        <v>3534</v>
      </c>
      <c r="F351" s="3532" t="s">
        <v>21</v>
      </c>
      <c r="G351" s="3532" t="s">
        <v>3749</v>
      </c>
      <c r="H351" s="3532" t="s">
        <v>3880</v>
      </c>
      <c r="I351" s="3541" t="s">
        <v>3881</v>
      </c>
      <c r="J351" s="3527"/>
    </row>
    <row r="352" spans="1:10">
      <c r="A352" s="3532" t="s">
        <v>3554</v>
      </c>
      <c r="B352" s="3532" t="s">
        <v>3869</v>
      </c>
      <c r="C352" s="3539" t="s">
        <v>3612</v>
      </c>
      <c r="D352" s="3540">
        <v>108.22</v>
      </c>
      <c r="E352" s="3532" t="s">
        <v>3534</v>
      </c>
      <c r="F352" s="3532" t="s">
        <v>21</v>
      </c>
      <c r="G352" s="3532" t="s">
        <v>3749</v>
      </c>
      <c r="H352" s="3532" t="s">
        <v>3880</v>
      </c>
      <c r="I352" s="3541" t="s">
        <v>3881</v>
      </c>
      <c r="J352" s="3527"/>
    </row>
    <row r="353" spans="1:10">
      <c r="A353" s="3532" t="s">
        <v>3554</v>
      </c>
      <c r="B353" s="3532" t="s">
        <v>3869</v>
      </c>
      <c r="C353" s="3539" t="s">
        <v>3613</v>
      </c>
      <c r="D353" s="3540">
        <v>244.95</v>
      </c>
      <c r="E353" s="3532" t="s">
        <v>3534</v>
      </c>
      <c r="F353" s="3532" t="s">
        <v>21</v>
      </c>
      <c r="G353" s="3532" t="s">
        <v>3749</v>
      </c>
      <c r="H353" s="3532" t="s">
        <v>3880</v>
      </c>
      <c r="I353" s="3541" t="s">
        <v>3881</v>
      </c>
      <c r="J353" s="3527"/>
    </row>
    <row r="354" spans="1:10" ht="25.5">
      <c r="A354" s="3532" t="s">
        <v>3554</v>
      </c>
      <c r="B354" s="3532" t="s">
        <v>3882</v>
      </c>
      <c r="C354" s="3539" t="s">
        <v>3533</v>
      </c>
      <c r="D354" s="3540">
        <v>113.03</v>
      </c>
      <c r="E354" s="3532" t="s">
        <v>3534</v>
      </c>
      <c r="F354" s="3532" t="s">
        <v>673</v>
      </c>
      <c r="G354" s="3538" t="s">
        <v>3883</v>
      </c>
      <c r="H354" s="3537" t="s">
        <v>3782</v>
      </c>
      <c r="I354" s="3537" t="s">
        <v>3537</v>
      </c>
      <c r="J354" s="3527"/>
    </row>
    <row r="355" spans="1:10" ht="25.5">
      <c r="A355" s="3532" t="s">
        <v>3554</v>
      </c>
      <c r="B355" s="3532" t="s">
        <v>3882</v>
      </c>
      <c r="C355" s="3539" t="s">
        <v>3538</v>
      </c>
      <c r="D355" s="3540">
        <v>88.91</v>
      </c>
      <c r="E355" s="3532" t="s">
        <v>3534</v>
      </c>
      <c r="F355" s="3532" t="s">
        <v>673</v>
      </c>
      <c r="G355" s="3538" t="s">
        <v>3883</v>
      </c>
      <c r="H355" s="3537" t="s">
        <v>3782</v>
      </c>
      <c r="I355" s="3537" t="s">
        <v>3537</v>
      </c>
      <c r="J355" s="3527"/>
    </row>
    <row r="356" spans="1:10" ht="25.5">
      <c r="A356" s="3532" t="s">
        <v>3884</v>
      </c>
      <c r="B356" s="3532"/>
      <c r="C356" s="3534" t="s">
        <v>3533</v>
      </c>
      <c r="D356" s="3535">
        <v>142.16</v>
      </c>
      <c r="E356" s="3532" t="s">
        <v>3534</v>
      </c>
      <c r="F356" s="3532" t="s">
        <v>673</v>
      </c>
      <c r="G356" s="3538" t="s">
        <v>3885</v>
      </c>
      <c r="H356" s="3537" t="s">
        <v>3548</v>
      </c>
      <c r="I356" s="3537" t="s">
        <v>3537</v>
      </c>
      <c r="J356" s="3527"/>
    </row>
    <row r="357" spans="1:10" ht="25.5">
      <c r="A357" s="3532" t="s">
        <v>3884</v>
      </c>
      <c r="B357" s="3532"/>
      <c r="C357" s="3534" t="s">
        <v>3538</v>
      </c>
      <c r="D357" s="3535">
        <v>87.25</v>
      </c>
      <c r="E357" s="3532" t="s">
        <v>3534</v>
      </c>
      <c r="F357" s="3532" t="s">
        <v>673</v>
      </c>
      <c r="G357" s="3538" t="s">
        <v>3885</v>
      </c>
      <c r="H357" s="3537" t="s">
        <v>3548</v>
      </c>
      <c r="I357" s="3537" t="s">
        <v>3537</v>
      </c>
      <c r="J357" s="3527"/>
    </row>
    <row r="358" spans="1:10" ht="25.5">
      <c r="A358" s="3532" t="s">
        <v>3884</v>
      </c>
      <c r="B358" s="3532"/>
      <c r="C358" s="3534" t="s">
        <v>3542</v>
      </c>
      <c r="D358" s="3535">
        <v>71.19</v>
      </c>
      <c r="E358" s="3532" t="s">
        <v>3534</v>
      </c>
      <c r="F358" s="3532" t="s">
        <v>673</v>
      </c>
      <c r="G358" s="3538" t="s">
        <v>3886</v>
      </c>
      <c r="H358" s="3537" t="s">
        <v>3782</v>
      </c>
      <c r="I358" s="3537" t="s">
        <v>3537</v>
      </c>
      <c r="J358" s="3527"/>
    </row>
    <row r="359" spans="1:10" ht="25.5">
      <c r="A359" s="3532" t="s">
        <v>3884</v>
      </c>
      <c r="B359" s="3532"/>
      <c r="C359" s="3534" t="s">
        <v>3543</v>
      </c>
      <c r="D359" s="3535">
        <v>56.14</v>
      </c>
      <c r="E359" s="3532" t="s">
        <v>3534</v>
      </c>
      <c r="F359" s="3532" t="s">
        <v>673</v>
      </c>
      <c r="G359" s="3538" t="s">
        <v>3886</v>
      </c>
      <c r="H359" s="3537" t="s">
        <v>3782</v>
      </c>
      <c r="I359" s="3537" t="s">
        <v>3537</v>
      </c>
      <c r="J359" s="3527"/>
    </row>
    <row r="360" spans="1:10" ht="27">
      <c r="A360" s="3532" t="s">
        <v>3884</v>
      </c>
      <c r="B360" s="3532"/>
      <c r="C360" s="3534" t="s">
        <v>3546</v>
      </c>
      <c r="D360" s="3535">
        <v>127.82</v>
      </c>
      <c r="E360" s="3532" t="s">
        <v>3534</v>
      </c>
      <c r="F360" s="3532" t="s">
        <v>673</v>
      </c>
      <c r="G360" s="3536" t="s">
        <v>3887</v>
      </c>
      <c r="H360" s="3532" t="s">
        <v>3536</v>
      </c>
      <c r="I360" s="3537" t="s">
        <v>3537</v>
      </c>
      <c r="J360" s="3527"/>
    </row>
    <row r="361" spans="1:10" ht="27">
      <c r="A361" s="3532" t="s">
        <v>3884</v>
      </c>
      <c r="B361" s="3532"/>
      <c r="C361" s="3534" t="s">
        <v>3559</v>
      </c>
      <c r="D361" s="3535">
        <v>60.2</v>
      </c>
      <c r="E361" s="3532" t="s">
        <v>3534</v>
      </c>
      <c r="F361" s="3532" t="s">
        <v>673</v>
      </c>
      <c r="G361" s="3542" t="s">
        <v>3888</v>
      </c>
      <c r="H361" s="3532" t="s">
        <v>3889</v>
      </c>
      <c r="I361" s="3537" t="s">
        <v>3537</v>
      </c>
      <c r="J361" s="3527"/>
    </row>
    <row r="362" spans="1:10" ht="27">
      <c r="A362" s="3532" t="s">
        <v>3884</v>
      </c>
      <c r="B362" s="3532"/>
      <c r="C362" s="3534" t="s">
        <v>3562</v>
      </c>
      <c r="D362" s="3535">
        <v>103.37</v>
      </c>
      <c r="E362" s="3532" t="s">
        <v>3534</v>
      </c>
      <c r="F362" s="3532" t="s">
        <v>673</v>
      </c>
      <c r="G362" s="3536" t="s">
        <v>3890</v>
      </c>
      <c r="H362" s="3532" t="s">
        <v>3536</v>
      </c>
      <c r="I362" s="3537" t="s">
        <v>3537</v>
      </c>
      <c r="J362" s="3527"/>
    </row>
    <row r="363" spans="1:10" ht="27">
      <c r="A363" s="3532" t="s">
        <v>3884</v>
      </c>
      <c r="B363" s="3532"/>
      <c r="C363" s="3534" t="s">
        <v>3547</v>
      </c>
      <c r="D363" s="3535">
        <v>203.88</v>
      </c>
      <c r="E363" s="3532" t="s">
        <v>3534</v>
      </c>
      <c r="F363" s="3532" t="s">
        <v>673</v>
      </c>
      <c r="G363" s="3536" t="s">
        <v>3891</v>
      </c>
      <c r="H363" s="3532" t="s">
        <v>3892</v>
      </c>
      <c r="I363" s="3537" t="s">
        <v>3893</v>
      </c>
      <c r="J363" s="3527"/>
    </row>
    <row r="364" spans="1:10" ht="27">
      <c r="A364" s="3532" t="s">
        <v>3884</v>
      </c>
      <c r="B364" s="3532"/>
      <c r="C364" s="3534" t="s">
        <v>3550</v>
      </c>
      <c r="D364" s="3535">
        <v>135.21</v>
      </c>
      <c r="E364" s="3532" t="s">
        <v>3534</v>
      </c>
      <c r="F364" s="3532" t="s">
        <v>673</v>
      </c>
      <c r="G364" s="3536" t="s">
        <v>3891</v>
      </c>
      <c r="H364" s="3532" t="s">
        <v>3892</v>
      </c>
      <c r="I364" s="3537" t="s">
        <v>3893</v>
      </c>
      <c r="J364" s="3527"/>
    </row>
    <row r="365" spans="1:10" ht="27">
      <c r="A365" s="3532" t="s">
        <v>3884</v>
      </c>
      <c r="B365" s="3532"/>
      <c r="C365" s="3534" t="s">
        <v>3551</v>
      </c>
      <c r="D365" s="3535">
        <v>141.46</v>
      </c>
      <c r="E365" s="3532" t="s">
        <v>3534</v>
      </c>
      <c r="F365" s="3532" t="s">
        <v>673</v>
      </c>
      <c r="G365" s="3536" t="s">
        <v>3891</v>
      </c>
      <c r="H365" s="3532" t="s">
        <v>3892</v>
      </c>
      <c r="I365" s="3537" t="s">
        <v>3893</v>
      </c>
      <c r="J365" s="3527"/>
    </row>
    <row r="366" spans="1:10" ht="27">
      <c r="A366" s="3532" t="s">
        <v>3884</v>
      </c>
      <c r="B366" s="3532"/>
      <c r="C366" s="3534" t="s">
        <v>3552</v>
      </c>
      <c r="D366" s="3535">
        <v>141.46</v>
      </c>
      <c r="E366" s="3532" t="s">
        <v>3534</v>
      </c>
      <c r="F366" s="3532" t="s">
        <v>673</v>
      </c>
      <c r="G366" s="3536" t="s">
        <v>3891</v>
      </c>
      <c r="H366" s="3532" t="s">
        <v>3892</v>
      </c>
      <c r="I366" s="3537" t="s">
        <v>3893</v>
      </c>
      <c r="J366" s="3527"/>
    </row>
    <row r="367" spans="1:10" ht="27">
      <c r="A367" s="3532" t="s">
        <v>3884</v>
      </c>
      <c r="B367" s="3532"/>
      <c r="C367" s="3534" t="s">
        <v>3553</v>
      </c>
      <c r="D367" s="3535">
        <v>203.92</v>
      </c>
      <c r="E367" s="3532" t="s">
        <v>3534</v>
      </c>
      <c r="F367" s="3532" t="s">
        <v>673</v>
      </c>
      <c r="G367" s="3536" t="s">
        <v>3891</v>
      </c>
      <c r="H367" s="3532" t="s">
        <v>3892</v>
      </c>
      <c r="I367" s="3537" t="s">
        <v>3893</v>
      </c>
      <c r="J367" s="3527"/>
    </row>
    <row r="368" spans="1:10" ht="14.25">
      <c r="A368" s="3532" t="s">
        <v>3884</v>
      </c>
      <c r="B368" s="3532"/>
      <c r="C368" s="3534" t="s">
        <v>3576</v>
      </c>
      <c r="D368" s="3535">
        <v>159.97999999999999</v>
      </c>
      <c r="E368" s="3532" t="s">
        <v>3534</v>
      </c>
      <c r="F368" s="3532" t="s">
        <v>21</v>
      </c>
      <c r="G368" s="3532" t="s">
        <v>3894</v>
      </c>
      <c r="H368" s="3532" t="s">
        <v>3895</v>
      </c>
      <c r="I368" s="3541" t="s">
        <v>3896</v>
      </c>
      <c r="J368" s="3527"/>
    </row>
    <row r="369" spans="1:10" ht="14.25">
      <c r="A369" s="3532" t="s">
        <v>3884</v>
      </c>
      <c r="B369" s="3532"/>
      <c r="C369" s="3534" t="s">
        <v>3580</v>
      </c>
      <c r="D369" s="3535">
        <v>109.21</v>
      </c>
      <c r="E369" s="3532" t="s">
        <v>3534</v>
      </c>
      <c r="F369" s="3532" t="s">
        <v>21</v>
      </c>
      <c r="G369" s="3532" t="s">
        <v>3894</v>
      </c>
      <c r="H369" s="3532" t="s">
        <v>3895</v>
      </c>
      <c r="I369" s="3541" t="s">
        <v>3896</v>
      </c>
      <c r="J369" s="3527"/>
    </row>
    <row r="370" spans="1:10" ht="14.25">
      <c r="A370" s="3532" t="s">
        <v>3884</v>
      </c>
      <c r="B370" s="3532"/>
      <c r="C370" s="3534" t="s">
        <v>3581</v>
      </c>
      <c r="D370" s="3535">
        <v>113.43</v>
      </c>
      <c r="E370" s="3532" t="s">
        <v>3534</v>
      </c>
      <c r="F370" s="3532" t="s">
        <v>21</v>
      </c>
      <c r="G370" s="3532" t="s">
        <v>3894</v>
      </c>
      <c r="H370" s="3532" t="s">
        <v>3895</v>
      </c>
      <c r="I370" s="3541" t="s">
        <v>3896</v>
      </c>
      <c r="J370" s="3527"/>
    </row>
    <row r="371" spans="1:10" ht="14.25">
      <c r="A371" s="3532" t="s">
        <v>3884</v>
      </c>
      <c r="B371" s="3532"/>
      <c r="C371" s="3534" t="s">
        <v>3582</v>
      </c>
      <c r="D371" s="3535">
        <v>113.43</v>
      </c>
      <c r="E371" s="3532" t="s">
        <v>3534</v>
      </c>
      <c r="F371" s="3532" t="s">
        <v>21</v>
      </c>
      <c r="G371" s="3532" t="s">
        <v>3894</v>
      </c>
      <c r="H371" s="3532" t="s">
        <v>3895</v>
      </c>
      <c r="I371" s="3541" t="s">
        <v>3896</v>
      </c>
      <c r="J371" s="3527"/>
    </row>
    <row r="372" spans="1:10" ht="14.25">
      <c r="A372" s="3532" t="s">
        <v>3884</v>
      </c>
      <c r="B372" s="3532"/>
      <c r="C372" s="3534" t="s">
        <v>3583</v>
      </c>
      <c r="D372" s="3535">
        <v>159.97999999999999</v>
      </c>
      <c r="E372" s="3532" t="s">
        <v>3534</v>
      </c>
      <c r="F372" s="3532" t="s">
        <v>21</v>
      </c>
      <c r="G372" s="3532" t="s">
        <v>3894</v>
      </c>
      <c r="H372" s="3532" t="s">
        <v>3895</v>
      </c>
      <c r="I372" s="3541" t="s">
        <v>3896</v>
      </c>
      <c r="J372" s="3527"/>
    </row>
    <row r="373" spans="1:10" ht="14.25">
      <c r="A373" s="3532" t="s">
        <v>3884</v>
      </c>
      <c r="B373" s="3532"/>
      <c r="C373" s="3534" t="s">
        <v>3584</v>
      </c>
      <c r="D373" s="3535">
        <v>250.19</v>
      </c>
      <c r="E373" s="3532" t="s">
        <v>3534</v>
      </c>
      <c r="F373" s="3532" t="s">
        <v>21</v>
      </c>
      <c r="G373" s="3532" t="s">
        <v>3894</v>
      </c>
      <c r="H373" s="3532" t="s">
        <v>3895</v>
      </c>
      <c r="I373" s="3541" t="s">
        <v>3896</v>
      </c>
      <c r="J373" s="3527"/>
    </row>
    <row r="374" spans="1:10" ht="14.25">
      <c r="A374" s="3532" t="s">
        <v>3884</v>
      </c>
      <c r="B374" s="3532"/>
      <c r="C374" s="3534" t="s">
        <v>3585</v>
      </c>
      <c r="D374" s="3535">
        <v>113.62</v>
      </c>
      <c r="E374" s="3532" t="s">
        <v>3534</v>
      </c>
      <c r="F374" s="3532" t="s">
        <v>21</v>
      </c>
      <c r="G374" s="3532" t="s">
        <v>3894</v>
      </c>
      <c r="H374" s="3532" t="s">
        <v>3895</v>
      </c>
      <c r="I374" s="3541" t="s">
        <v>3896</v>
      </c>
      <c r="J374" s="3527"/>
    </row>
    <row r="375" spans="1:10" ht="14.25">
      <c r="A375" s="3532" t="s">
        <v>3884</v>
      </c>
      <c r="B375" s="3532"/>
      <c r="C375" s="3534" t="s">
        <v>3589</v>
      </c>
      <c r="D375" s="3535">
        <v>113.62</v>
      </c>
      <c r="E375" s="3532" t="s">
        <v>3534</v>
      </c>
      <c r="F375" s="3532" t="s">
        <v>21</v>
      </c>
      <c r="G375" s="3532" t="s">
        <v>3894</v>
      </c>
      <c r="H375" s="3532" t="s">
        <v>3895</v>
      </c>
      <c r="I375" s="3541" t="s">
        <v>3896</v>
      </c>
      <c r="J375" s="3527"/>
    </row>
    <row r="376" spans="1:10" ht="14.25">
      <c r="A376" s="3532" t="s">
        <v>3884</v>
      </c>
      <c r="B376" s="3532"/>
      <c r="C376" s="3534" t="s">
        <v>3592</v>
      </c>
      <c r="D376" s="3535">
        <v>109.26</v>
      </c>
      <c r="E376" s="3532" t="s">
        <v>3534</v>
      </c>
      <c r="F376" s="3532" t="s">
        <v>21</v>
      </c>
      <c r="G376" s="3532" t="s">
        <v>3894</v>
      </c>
      <c r="H376" s="3532" t="s">
        <v>3895</v>
      </c>
      <c r="I376" s="3541" t="s">
        <v>3896</v>
      </c>
      <c r="J376" s="3527"/>
    </row>
    <row r="377" spans="1:10" ht="14.25">
      <c r="A377" s="3532" t="s">
        <v>3884</v>
      </c>
      <c r="B377" s="3532"/>
      <c r="C377" s="3534" t="s">
        <v>3897</v>
      </c>
      <c r="D377" s="3535">
        <v>254.41</v>
      </c>
      <c r="E377" s="3532" t="s">
        <v>3534</v>
      </c>
      <c r="F377" s="3532" t="s">
        <v>21</v>
      </c>
      <c r="G377" s="3532" t="s">
        <v>3894</v>
      </c>
      <c r="H377" s="3532" t="s">
        <v>3895</v>
      </c>
      <c r="I377" s="3541" t="s">
        <v>3896</v>
      </c>
      <c r="J377" s="3527"/>
    </row>
    <row r="378" spans="1:10" ht="14.25">
      <c r="A378" s="3532" t="s">
        <v>3884</v>
      </c>
      <c r="B378" s="3532"/>
      <c r="C378" s="3534" t="s">
        <v>3594</v>
      </c>
      <c r="D378" s="3535">
        <v>159.97999999999999</v>
      </c>
      <c r="E378" s="3532" t="s">
        <v>3534</v>
      </c>
      <c r="F378" s="3532" t="s">
        <v>21</v>
      </c>
      <c r="G378" s="3532" t="s">
        <v>3894</v>
      </c>
      <c r="H378" s="3532" t="s">
        <v>3895</v>
      </c>
      <c r="I378" s="3541" t="s">
        <v>3896</v>
      </c>
      <c r="J378" s="3527"/>
    </row>
    <row r="379" spans="1:10" ht="14.25">
      <c r="A379" s="3532" t="s">
        <v>3884</v>
      </c>
      <c r="B379" s="3532"/>
      <c r="C379" s="3534" t="s">
        <v>3595</v>
      </c>
      <c r="D379" s="3535">
        <v>109.21</v>
      </c>
      <c r="E379" s="3532" t="s">
        <v>3534</v>
      </c>
      <c r="F379" s="3532" t="s">
        <v>21</v>
      </c>
      <c r="G379" s="3532" t="s">
        <v>3894</v>
      </c>
      <c r="H379" s="3532" t="s">
        <v>3895</v>
      </c>
      <c r="I379" s="3541" t="s">
        <v>3896</v>
      </c>
      <c r="J379" s="3527"/>
    </row>
    <row r="380" spans="1:10" ht="14.25">
      <c r="A380" s="3532" t="s">
        <v>3884</v>
      </c>
      <c r="B380" s="3532"/>
      <c r="C380" s="3534" t="s">
        <v>3596</v>
      </c>
      <c r="D380" s="3535">
        <v>113.43</v>
      </c>
      <c r="E380" s="3532" t="s">
        <v>3534</v>
      </c>
      <c r="F380" s="3532" t="s">
        <v>21</v>
      </c>
      <c r="G380" s="3532" t="s">
        <v>3894</v>
      </c>
      <c r="H380" s="3532" t="s">
        <v>3895</v>
      </c>
      <c r="I380" s="3541" t="s">
        <v>3896</v>
      </c>
      <c r="J380" s="3527"/>
    </row>
    <row r="381" spans="1:10" ht="14.25">
      <c r="A381" s="3532" t="s">
        <v>3884</v>
      </c>
      <c r="B381" s="3532"/>
      <c r="C381" s="3534" t="s">
        <v>3597</v>
      </c>
      <c r="D381" s="3535">
        <v>113.43</v>
      </c>
      <c r="E381" s="3532" t="s">
        <v>3534</v>
      </c>
      <c r="F381" s="3532" t="s">
        <v>21</v>
      </c>
      <c r="G381" s="3532" t="s">
        <v>3894</v>
      </c>
      <c r="H381" s="3532" t="s">
        <v>3895</v>
      </c>
      <c r="I381" s="3541" t="s">
        <v>3896</v>
      </c>
      <c r="J381" s="3527"/>
    </row>
    <row r="382" spans="1:10" ht="14.25">
      <c r="A382" s="3532" t="s">
        <v>3884</v>
      </c>
      <c r="B382" s="3532"/>
      <c r="C382" s="3534" t="s">
        <v>3598</v>
      </c>
      <c r="D382" s="3535">
        <v>159.97999999999999</v>
      </c>
      <c r="E382" s="3532" t="s">
        <v>3534</v>
      </c>
      <c r="F382" s="3532" t="s">
        <v>21</v>
      </c>
      <c r="G382" s="3532" t="s">
        <v>3894</v>
      </c>
      <c r="H382" s="3532" t="s">
        <v>3895</v>
      </c>
      <c r="I382" s="3541" t="s">
        <v>3896</v>
      </c>
      <c r="J382" s="3527"/>
    </row>
    <row r="383" spans="1:10" ht="14.25">
      <c r="A383" s="3532" t="s">
        <v>3884</v>
      </c>
      <c r="B383" s="3532"/>
      <c r="C383" s="3534" t="s">
        <v>3599</v>
      </c>
      <c r="D383" s="3535">
        <v>250.19</v>
      </c>
      <c r="E383" s="3532" t="s">
        <v>3534</v>
      </c>
      <c r="F383" s="3532" t="s">
        <v>21</v>
      </c>
      <c r="G383" s="3532" t="s">
        <v>3894</v>
      </c>
      <c r="H383" s="3532" t="s">
        <v>3895</v>
      </c>
      <c r="I383" s="3541" t="s">
        <v>3896</v>
      </c>
      <c r="J383" s="3527"/>
    </row>
    <row r="384" spans="1:10" ht="14.25">
      <c r="A384" s="3532" t="s">
        <v>3884</v>
      </c>
      <c r="B384" s="3532"/>
      <c r="C384" s="3534" t="s">
        <v>3600</v>
      </c>
      <c r="D384" s="3535">
        <v>113.62</v>
      </c>
      <c r="E384" s="3532" t="s">
        <v>3534</v>
      </c>
      <c r="F384" s="3532" t="s">
        <v>21</v>
      </c>
      <c r="G384" s="3532" t="s">
        <v>3894</v>
      </c>
      <c r="H384" s="3532" t="s">
        <v>3895</v>
      </c>
      <c r="I384" s="3541" t="s">
        <v>3896</v>
      </c>
      <c r="J384" s="3527"/>
    </row>
    <row r="385" spans="1:10" ht="14.25">
      <c r="A385" s="3532" t="s">
        <v>3884</v>
      </c>
      <c r="B385" s="3532"/>
      <c r="C385" s="3534" t="s">
        <v>3601</v>
      </c>
      <c r="D385" s="3535">
        <v>113.62</v>
      </c>
      <c r="E385" s="3532" t="s">
        <v>3534</v>
      </c>
      <c r="F385" s="3532" t="s">
        <v>21</v>
      </c>
      <c r="G385" s="3532" t="s">
        <v>3894</v>
      </c>
      <c r="H385" s="3532" t="s">
        <v>3895</v>
      </c>
      <c r="I385" s="3541" t="s">
        <v>3896</v>
      </c>
      <c r="J385" s="3527"/>
    </row>
    <row r="386" spans="1:10" ht="14.25">
      <c r="A386" s="3532" t="s">
        <v>3884</v>
      </c>
      <c r="B386" s="3532"/>
      <c r="C386" s="3534" t="s">
        <v>3602</v>
      </c>
      <c r="D386" s="3535">
        <v>109.26</v>
      </c>
      <c r="E386" s="3532" t="s">
        <v>3534</v>
      </c>
      <c r="F386" s="3532" t="s">
        <v>21</v>
      </c>
      <c r="G386" s="3532" t="s">
        <v>3894</v>
      </c>
      <c r="H386" s="3532" t="s">
        <v>3895</v>
      </c>
      <c r="I386" s="3541" t="s">
        <v>3896</v>
      </c>
      <c r="J386" s="3527"/>
    </row>
    <row r="387" spans="1:10" ht="14.25">
      <c r="A387" s="3532" t="s">
        <v>3884</v>
      </c>
      <c r="B387" s="3532"/>
      <c r="C387" s="3534" t="s">
        <v>3603</v>
      </c>
      <c r="D387" s="3535">
        <v>254.41</v>
      </c>
      <c r="E387" s="3532" t="s">
        <v>3534</v>
      </c>
      <c r="F387" s="3532" t="s">
        <v>21</v>
      </c>
      <c r="G387" s="3532" t="s">
        <v>3894</v>
      </c>
      <c r="H387" s="3532" t="s">
        <v>3895</v>
      </c>
      <c r="I387" s="3541" t="s">
        <v>3896</v>
      </c>
      <c r="J387" s="3527"/>
    </row>
    <row r="388" spans="1:10" ht="14.25">
      <c r="A388" s="3532" t="s">
        <v>3884</v>
      </c>
      <c r="B388" s="3532"/>
      <c r="C388" s="3534" t="s">
        <v>3604</v>
      </c>
      <c r="D388" s="3535">
        <v>160.16999999999999</v>
      </c>
      <c r="E388" s="3532" t="s">
        <v>3534</v>
      </c>
      <c r="F388" s="3532" t="s">
        <v>21</v>
      </c>
      <c r="G388" s="3532" t="s">
        <v>3894</v>
      </c>
      <c r="H388" s="3532" t="s">
        <v>3895</v>
      </c>
      <c r="I388" s="3541" t="s">
        <v>3896</v>
      </c>
      <c r="J388" s="3527"/>
    </row>
    <row r="389" spans="1:10" ht="14.25">
      <c r="A389" s="3532" t="s">
        <v>3884</v>
      </c>
      <c r="B389" s="3532"/>
      <c r="C389" s="3534" t="s">
        <v>3605</v>
      </c>
      <c r="D389" s="3535">
        <v>109.26</v>
      </c>
      <c r="E389" s="3532" t="s">
        <v>3534</v>
      </c>
      <c r="F389" s="3532" t="s">
        <v>21</v>
      </c>
      <c r="G389" s="3532" t="s">
        <v>3894</v>
      </c>
      <c r="H389" s="3532" t="s">
        <v>3895</v>
      </c>
      <c r="I389" s="3541" t="s">
        <v>3896</v>
      </c>
      <c r="J389" s="3527"/>
    </row>
    <row r="390" spans="1:10" ht="14.25">
      <c r="A390" s="3532" t="s">
        <v>3884</v>
      </c>
      <c r="B390" s="3532"/>
      <c r="C390" s="3534" t="s">
        <v>3606</v>
      </c>
      <c r="D390" s="3535">
        <v>113.62</v>
      </c>
      <c r="E390" s="3532" t="s">
        <v>3534</v>
      </c>
      <c r="F390" s="3532" t="s">
        <v>21</v>
      </c>
      <c r="G390" s="3532" t="s">
        <v>3894</v>
      </c>
      <c r="H390" s="3532" t="s">
        <v>3895</v>
      </c>
      <c r="I390" s="3541" t="s">
        <v>3896</v>
      </c>
      <c r="J390" s="3527"/>
    </row>
    <row r="391" spans="1:10" ht="14.25">
      <c r="A391" s="3532" t="s">
        <v>3884</v>
      </c>
      <c r="B391" s="3532"/>
      <c r="C391" s="3534" t="s">
        <v>3607</v>
      </c>
      <c r="D391" s="3535">
        <v>113.62</v>
      </c>
      <c r="E391" s="3532" t="s">
        <v>3534</v>
      </c>
      <c r="F391" s="3532" t="s">
        <v>21</v>
      </c>
      <c r="G391" s="3532" t="s">
        <v>3894</v>
      </c>
      <c r="H391" s="3532" t="s">
        <v>3895</v>
      </c>
      <c r="I391" s="3541" t="s">
        <v>3896</v>
      </c>
      <c r="J391" s="3527"/>
    </row>
    <row r="392" spans="1:10" ht="14.25">
      <c r="A392" s="3532" t="s">
        <v>3884</v>
      </c>
      <c r="B392" s="3532"/>
      <c r="C392" s="3534" t="s">
        <v>3608</v>
      </c>
      <c r="D392" s="3535">
        <v>160.16999999999999</v>
      </c>
      <c r="E392" s="3532" t="s">
        <v>3534</v>
      </c>
      <c r="F392" s="3532" t="s">
        <v>21</v>
      </c>
      <c r="G392" s="3532" t="s">
        <v>3894</v>
      </c>
      <c r="H392" s="3532" t="s">
        <v>3895</v>
      </c>
      <c r="I392" s="3541" t="s">
        <v>3896</v>
      </c>
      <c r="J392" s="3527"/>
    </row>
    <row r="393" spans="1:10" ht="14.25">
      <c r="A393" s="3532" t="s">
        <v>3884</v>
      </c>
      <c r="B393" s="3532"/>
      <c r="C393" s="3534" t="s">
        <v>3609</v>
      </c>
      <c r="D393" s="3535">
        <v>250.02</v>
      </c>
      <c r="E393" s="3532" t="s">
        <v>3534</v>
      </c>
      <c r="F393" s="3532" t="s">
        <v>21</v>
      </c>
      <c r="G393" s="3532" t="s">
        <v>3894</v>
      </c>
      <c r="H393" s="3532" t="s">
        <v>3895</v>
      </c>
      <c r="I393" s="3541" t="s">
        <v>3896</v>
      </c>
      <c r="J393" s="3527"/>
    </row>
    <row r="394" spans="1:10" ht="14.25">
      <c r="A394" s="3532" t="s">
        <v>3884</v>
      </c>
      <c r="B394" s="3532"/>
      <c r="C394" s="3534" t="s">
        <v>3610</v>
      </c>
      <c r="D394" s="3535">
        <v>113.43</v>
      </c>
      <c r="E394" s="3532" t="s">
        <v>3534</v>
      </c>
      <c r="F394" s="3532" t="s">
        <v>21</v>
      </c>
      <c r="G394" s="3532" t="s">
        <v>3894</v>
      </c>
      <c r="H394" s="3532" t="s">
        <v>3895</v>
      </c>
      <c r="I394" s="3541" t="s">
        <v>3896</v>
      </c>
      <c r="J394" s="3527"/>
    </row>
    <row r="395" spans="1:10" ht="14.25">
      <c r="A395" s="3532" t="s">
        <v>3884</v>
      </c>
      <c r="B395" s="3532"/>
      <c r="C395" s="3534" t="s">
        <v>3611</v>
      </c>
      <c r="D395" s="3535">
        <v>113.43</v>
      </c>
      <c r="E395" s="3532" t="s">
        <v>3534</v>
      </c>
      <c r="F395" s="3532" t="s">
        <v>21</v>
      </c>
      <c r="G395" s="3532" t="s">
        <v>3894</v>
      </c>
      <c r="H395" s="3532" t="s">
        <v>3895</v>
      </c>
      <c r="I395" s="3541" t="s">
        <v>3896</v>
      </c>
      <c r="J395" s="3527"/>
    </row>
    <row r="396" spans="1:10" ht="14.25">
      <c r="A396" s="3532" t="s">
        <v>3884</v>
      </c>
      <c r="B396" s="3532"/>
      <c r="C396" s="3534" t="s">
        <v>3612</v>
      </c>
      <c r="D396" s="3535">
        <v>109.21</v>
      </c>
      <c r="E396" s="3532" t="s">
        <v>3534</v>
      </c>
      <c r="F396" s="3532" t="s">
        <v>21</v>
      </c>
      <c r="G396" s="3532" t="s">
        <v>3894</v>
      </c>
      <c r="H396" s="3532" t="s">
        <v>3895</v>
      </c>
      <c r="I396" s="3541" t="s">
        <v>3896</v>
      </c>
      <c r="J396" s="3527"/>
    </row>
    <row r="397" spans="1:10" ht="14.25">
      <c r="A397" s="3532" t="s">
        <v>3884</v>
      </c>
      <c r="B397" s="3532"/>
      <c r="C397" s="3534" t="s">
        <v>3613</v>
      </c>
      <c r="D397" s="3535">
        <v>254.37</v>
      </c>
      <c r="E397" s="3532" t="s">
        <v>3534</v>
      </c>
      <c r="F397" s="3532" t="s">
        <v>21</v>
      </c>
      <c r="G397" s="3532" t="s">
        <v>3894</v>
      </c>
      <c r="H397" s="3532" t="s">
        <v>3895</v>
      </c>
      <c r="I397" s="3541" t="s">
        <v>3896</v>
      </c>
      <c r="J397" s="3527"/>
    </row>
    <row r="398" spans="1:10" ht="14.25">
      <c r="A398" s="3532" t="s">
        <v>3884</v>
      </c>
      <c r="B398" s="3532"/>
      <c r="C398" s="3534" t="s">
        <v>3614</v>
      </c>
      <c r="D398" s="3535">
        <v>160.16999999999999</v>
      </c>
      <c r="E398" s="3532" t="s">
        <v>3534</v>
      </c>
      <c r="F398" s="3532" t="s">
        <v>21</v>
      </c>
      <c r="G398" s="3532" t="s">
        <v>3894</v>
      </c>
      <c r="H398" s="3532" t="s">
        <v>3895</v>
      </c>
      <c r="I398" s="3541" t="s">
        <v>3896</v>
      </c>
      <c r="J398" s="3527"/>
    </row>
    <row r="399" spans="1:10" ht="14.25">
      <c r="A399" s="3532" t="s">
        <v>3884</v>
      </c>
      <c r="B399" s="3532"/>
      <c r="C399" s="3534" t="s">
        <v>3615</v>
      </c>
      <c r="D399" s="3535">
        <v>109.26</v>
      </c>
      <c r="E399" s="3532" t="s">
        <v>3534</v>
      </c>
      <c r="F399" s="3532" t="s">
        <v>21</v>
      </c>
      <c r="G399" s="3532" t="s">
        <v>3894</v>
      </c>
      <c r="H399" s="3532" t="s">
        <v>3895</v>
      </c>
      <c r="I399" s="3541" t="s">
        <v>3896</v>
      </c>
      <c r="J399" s="3527"/>
    </row>
    <row r="400" spans="1:10" ht="14.25">
      <c r="A400" s="3532" t="s">
        <v>3884</v>
      </c>
      <c r="B400" s="3532"/>
      <c r="C400" s="3534" t="s">
        <v>3616</v>
      </c>
      <c r="D400" s="3535">
        <v>113.62</v>
      </c>
      <c r="E400" s="3532" t="s">
        <v>3534</v>
      </c>
      <c r="F400" s="3532" t="s">
        <v>21</v>
      </c>
      <c r="G400" s="3532" t="s">
        <v>3894</v>
      </c>
      <c r="H400" s="3532" t="s">
        <v>3895</v>
      </c>
      <c r="I400" s="3541" t="s">
        <v>3896</v>
      </c>
      <c r="J400" s="3527"/>
    </row>
    <row r="401" spans="1:10" ht="14.25">
      <c r="A401" s="3532" t="s">
        <v>3884</v>
      </c>
      <c r="B401" s="3532"/>
      <c r="C401" s="3534" t="s">
        <v>3617</v>
      </c>
      <c r="D401" s="3535">
        <v>113.62</v>
      </c>
      <c r="E401" s="3532" t="s">
        <v>3534</v>
      </c>
      <c r="F401" s="3532" t="s">
        <v>21</v>
      </c>
      <c r="G401" s="3532" t="s">
        <v>3894</v>
      </c>
      <c r="H401" s="3532" t="s">
        <v>3895</v>
      </c>
      <c r="I401" s="3541" t="s">
        <v>3896</v>
      </c>
      <c r="J401" s="3527"/>
    </row>
    <row r="402" spans="1:10" ht="14.25">
      <c r="A402" s="3532" t="s">
        <v>3884</v>
      </c>
      <c r="B402" s="3532"/>
      <c r="C402" s="3534" t="s">
        <v>3618</v>
      </c>
      <c r="D402" s="3535">
        <v>160.16999999999999</v>
      </c>
      <c r="E402" s="3532" t="s">
        <v>3534</v>
      </c>
      <c r="F402" s="3532" t="s">
        <v>21</v>
      </c>
      <c r="G402" s="3532" t="s">
        <v>3894</v>
      </c>
      <c r="H402" s="3532" t="s">
        <v>3895</v>
      </c>
      <c r="I402" s="3541" t="s">
        <v>3896</v>
      </c>
      <c r="J402" s="3527"/>
    </row>
    <row r="403" spans="1:10" ht="14.25">
      <c r="A403" s="3532" t="s">
        <v>3884</v>
      </c>
      <c r="B403" s="3532"/>
      <c r="C403" s="3534" t="s">
        <v>3619</v>
      </c>
      <c r="D403" s="3535">
        <v>250.02</v>
      </c>
      <c r="E403" s="3532" t="s">
        <v>3534</v>
      </c>
      <c r="F403" s="3532" t="s">
        <v>21</v>
      </c>
      <c r="G403" s="3532" t="s">
        <v>3894</v>
      </c>
      <c r="H403" s="3532" t="s">
        <v>3895</v>
      </c>
      <c r="I403" s="3541" t="s">
        <v>3896</v>
      </c>
      <c r="J403" s="3527"/>
    </row>
    <row r="404" spans="1:10" ht="14.25">
      <c r="A404" s="3532" t="s">
        <v>3884</v>
      </c>
      <c r="B404" s="3532"/>
      <c r="C404" s="3534" t="s">
        <v>3620</v>
      </c>
      <c r="D404" s="3535">
        <v>113.43</v>
      </c>
      <c r="E404" s="3532" t="s">
        <v>3534</v>
      </c>
      <c r="F404" s="3532" t="s">
        <v>21</v>
      </c>
      <c r="G404" s="3532" t="s">
        <v>3894</v>
      </c>
      <c r="H404" s="3532" t="s">
        <v>3895</v>
      </c>
      <c r="I404" s="3541" t="s">
        <v>3896</v>
      </c>
      <c r="J404" s="3527"/>
    </row>
    <row r="405" spans="1:10" ht="14.25">
      <c r="A405" s="3532" t="s">
        <v>3884</v>
      </c>
      <c r="B405" s="3532"/>
      <c r="C405" s="3534" t="s">
        <v>3621</v>
      </c>
      <c r="D405" s="3535">
        <v>113.43</v>
      </c>
      <c r="E405" s="3532" t="s">
        <v>3534</v>
      </c>
      <c r="F405" s="3532" t="s">
        <v>21</v>
      </c>
      <c r="G405" s="3532" t="s">
        <v>3894</v>
      </c>
      <c r="H405" s="3532" t="s">
        <v>3895</v>
      </c>
      <c r="I405" s="3541" t="s">
        <v>3896</v>
      </c>
      <c r="J405" s="3527"/>
    </row>
    <row r="406" spans="1:10" ht="14.25">
      <c r="A406" s="3532" t="s">
        <v>3884</v>
      </c>
      <c r="B406" s="3532"/>
      <c r="C406" s="3534" t="s">
        <v>3622</v>
      </c>
      <c r="D406" s="3535">
        <v>109.21</v>
      </c>
      <c r="E406" s="3532" t="s">
        <v>3534</v>
      </c>
      <c r="F406" s="3532" t="s">
        <v>21</v>
      </c>
      <c r="G406" s="3532" t="s">
        <v>3894</v>
      </c>
      <c r="H406" s="3532" t="s">
        <v>3895</v>
      </c>
      <c r="I406" s="3541" t="s">
        <v>3896</v>
      </c>
      <c r="J406" s="3527"/>
    </row>
    <row r="407" spans="1:10" ht="14.25">
      <c r="A407" s="3532" t="s">
        <v>3884</v>
      </c>
      <c r="B407" s="3532"/>
      <c r="C407" s="3534" t="s">
        <v>3623</v>
      </c>
      <c r="D407" s="3535">
        <v>254.37</v>
      </c>
      <c r="E407" s="3532" t="s">
        <v>3534</v>
      </c>
      <c r="F407" s="3532" t="s">
        <v>21</v>
      </c>
      <c r="G407" s="3532" t="s">
        <v>3894</v>
      </c>
      <c r="H407" s="3532" t="s">
        <v>3895</v>
      </c>
      <c r="I407" s="3541" t="s">
        <v>3896</v>
      </c>
      <c r="J407" s="3527"/>
    </row>
    <row r="408" spans="1:10" ht="14.25">
      <c r="A408" s="3532" t="s">
        <v>3884</v>
      </c>
      <c r="B408" s="3532"/>
      <c r="C408" s="3534" t="s">
        <v>3624</v>
      </c>
      <c r="D408" s="3535">
        <v>254.37</v>
      </c>
      <c r="E408" s="3532" t="s">
        <v>3534</v>
      </c>
      <c r="F408" s="3532" t="s">
        <v>21</v>
      </c>
      <c r="G408" s="3532" t="s">
        <v>3894</v>
      </c>
      <c r="H408" s="3532" t="s">
        <v>3895</v>
      </c>
      <c r="I408" s="3541" t="s">
        <v>3896</v>
      </c>
      <c r="J408" s="3527"/>
    </row>
    <row r="409" spans="1:10" ht="14.25">
      <c r="A409" s="3532" t="s">
        <v>3884</v>
      </c>
      <c r="B409" s="3532"/>
      <c r="C409" s="3534" t="s">
        <v>3625</v>
      </c>
      <c r="D409" s="3535">
        <v>109.21</v>
      </c>
      <c r="E409" s="3532" t="s">
        <v>3534</v>
      </c>
      <c r="F409" s="3532" t="s">
        <v>21</v>
      </c>
      <c r="G409" s="3532" t="s">
        <v>3894</v>
      </c>
      <c r="H409" s="3532" t="s">
        <v>3895</v>
      </c>
      <c r="I409" s="3541" t="s">
        <v>3896</v>
      </c>
      <c r="J409" s="3527"/>
    </row>
    <row r="410" spans="1:10" ht="14.25">
      <c r="A410" s="3532" t="s">
        <v>3884</v>
      </c>
      <c r="B410" s="3532"/>
      <c r="C410" s="3534" t="s">
        <v>3626</v>
      </c>
      <c r="D410" s="3535">
        <v>113.43</v>
      </c>
      <c r="E410" s="3532" t="s">
        <v>3534</v>
      </c>
      <c r="F410" s="3532" t="s">
        <v>21</v>
      </c>
      <c r="G410" s="3532" t="s">
        <v>3894</v>
      </c>
      <c r="H410" s="3532" t="s">
        <v>3895</v>
      </c>
      <c r="I410" s="3541" t="s">
        <v>3896</v>
      </c>
      <c r="J410" s="3527"/>
    </row>
    <row r="411" spans="1:10" ht="14.25">
      <c r="A411" s="3532" t="s">
        <v>3884</v>
      </c>
      <c r="B411" s="3532"/>
      <c r="C411" s="3534" t="s">
        <v>3627</v>
      </c>
      <c r="D411" s="3535">
        <v>111.02</v>
      </c>
      <c r="E411" s="3532" t="s">
        <v>3534</v>
      </c>
      <c r="F411" s="3532" t="s">
        <v>21</v>
      </c>
      <c r="G411" s="3532" t="s">
        <v>3894</v>
      </c>
      <c r="H411" s="3532" t="s">
        <v>3895</v>
      </c>
      <c r="I411" s="3541" t="s">
        <v>3896</v>
      </c>
      <c r="J411" s="3527"/>
    </row>
    <row r="412" spans="1:10" ht="14.25">
      <c r="A412" s="3532" t="s">
        <v>3884</v>
      </c>
      <c r="B412" s="3532"/>
      <c r="C412" s="3534" t="s">
        <v>3628</v>
      </c>
      <c r="D412" s="3535">
        <v>155.02000000000001</v>
      </c>
      <c r="E412" s="3532" t="s">
        <v>3534</v>
      </c>
      <c r="F412" s="3532" t="s">
        <v>21</v>
      </c>
      <c r="G412" s="3532" t="s">
        <v>3894</v>
      </c>
      <c r="H412" s="3532" t="s">
        <v>3895</v>
      </c>
      <c r="I412" s="3541" t="s">
        <v>3896</v>
      </c>
      <c r="J412" s="3527"/>
    </row>
    <row r="413" spans="1:10" ht="14.25">
      <c r="A413" s="3532" t="s">
        <v>3884</v>
      </c>
      <c r="B413" s="3532"/>
      <c r="C413" s="3534" t="s">
        <v>3629</v>
      </c>
      <c r="D413" s="3535">
        <v>250.19</v>
      </c>
      <c r="E413" s="3532" t="s">
        <v>3534</v>
      </c>
      <c r="F413" s="3532" t="s">
        <v>21</v>
      </c>
      <c r="G413" s="3532" t="s">
        <v>3894</v>
      </c>
      <c r="H413" s="3532" t="s">
        <v>3895</v>
      </c>
      <c r="I413" s="3541" t="s">
        <v>3896</v>
      </c>
      <c r="J413" s="3527"/>
    </row>
    <row r="414" spans="1:10" ht="14.25">
      <c r="A414" s="3532" t="s">
        <v>3884</v>
      </c>
      <c r="B414" s="3532"/>
      <c r="C414" s="3534" t="s">
        <v>3630</v>
      </c>
      <c r="D414" s="3535">
        <v>113.62</v>
      </c>
      <c r="E414" s="3532" t="s">
        <v>3534</v>
      </c>
      <c r="F414" s="3532" t="s">
        <v>21</v>
      </c>
      <c r="G414" s="3532" t="s">
        <v>3894</v>
      </c>
      <c r="H414" s="3532" t="s">
        <v>3895</v>
      </c>
      <c r="I414" s="3541" t="s">
        <v>3896</v>
      </c>
      <c r="J414" s="3527"/>
    </row>
    <row r="415" spans="1:10" ht="14.25">
      <c r="A415" s="3532" t="s">
        <v>3884</v>
      </c>
      <c r="B415" s="3532"/>
      <c r="C415" s="3534" t="s">
        <v>3631</v>
      </c>
      <c r="D415" s="3535">
        <v>113.62</v>
      </c>
      <c r="E415" s="3532" t="s">
        <v>3534</v>
      </c>
      <c r="F415" s="3532" t="s">
        <v>21</v>
      </c>
      <c r="G415" s="3532" t="s">
        <v>3894</v>
      </c>
      <c r="H415" s="3532" t="s">
        <v>3895</v>
      </c>
      <c r="I415" s="3541" t="s">
        <v>3896</v>
      </c>
      <c r="J415" s="3527"/>
    </row>
    <row r="416" spans="1:10" ht="14.25">
      <c r="A416" s="3532" t="s">
        <v>3884</v>
      </c>
      <c r="B416" s="3532"/>
      <c r="C416" s="3534" t="s">
        <v>3632</v>
      </c>
      <c r="D416" s="3535">
        <v>109.26</v>
      </c>
      <c r="E416" s="3532" t="s">
        <v>3534</v>
      </c>
      <c r="F416" s="3532" t="s">
        <v>21</v>
      </c>
      <c r="G416" s="3532" t="s">
        <v>3894</v>
      </c>
      <c r="H416" s="3532" t="s">
        <v>3895</v>
      </c>
      <c r="I416" s="3541" t="s">
        <v>3896</v>
      </c>
      <c r="J416" s="3527"/>
    </row>
    <row r="417" spans="1:10" ht="14.25">
      <c r="A417" s="3532" t="s">
        <v>3884</v>
      </c>
      <c r="B417" s="3532"/>
      <c r="C417" s="3534" t="s">
        <v>3633</v>
      </c>
      <c r="D417" s="3535">
        <v>153.72</v>
      </c>
      <c r="E417" s="3532" t="s">
        <v>3534</v>
      </c>
      <c r="F417" s="3532" t="s">
        <v>21</v>
      </c>
      <c r="G417" s="3532" t="s">
        <v>3894</v>
      </c>
      <c r="H417" s="3532" t="s">
        <v>3895</v>
      </c>
      <c r="I417" s="3541" t="s">
        <v>3896</v>
      </c>
      <c r="J417" s="3527"/>
    </row>
    <row r="418" spans="1:10" ht="14.25">
      <c r="A418" s="3532" t="s">
        <v>3884</v>
      </c>
      <c r="B418" s="3532"/>
      <c r="C418" s="3534" t="s">
        <v>3634</v>
      </c>
      <c r="D418" s="3535">
        <v>160.16999999999999</v>
      </c>
      <c r="E418" s="3532" t="s">
        <v>3534</v>
      </c>
      <c r="F418" s="3532" t="s">
        <v>21</v>
      </c>
      <c r="G418" s="3532" t="s">
        <v>3894</v>
      </c>
      <c r="H418" s="3532" t="s">
        <v>3895</v>
      </c>
      <c r="I418" s="3541" t="s">
        <v>3896</v>
      </c>
      <c r="J418" s="3527"/>
    </row>
    <row r="419" spans="1:10" ht="14.25">
      <c r="A419" s="3532" t="s">
        <v>3884</v>
      </c>
      <c r="B419" s="3532"/>
      <c r="C419" s="3534" t="s">
        <v>3635</v>
      </c>
      <c r="D419" s="3535">
        <v>109.26</v>
      </c>
      <c r="E419" s="3532" t="s">
        <v>3534</v>
      </c>
      <c r="F419" s="3532" t="s">
        <v>21</v>
      </c>
      <c r="G419" s="3532" t="s">
        <v>3894</v>
      </c>
      <c r="H419" s="3532" t="s">
        <v>3895</v>
      </c>
      <c r="I419" s="3541" t="s">
        <v>3896</v>
      </c>
      <c r="J419" s="3527"/>
    </row>
    <row r="420" spans="1:10" ht="14.25">
      <c r="A420" s="3532" t="s">
        <v>3884</v>
      </c>
      <c r="B420" s="3532"/>
      <c r="C420" s="3534" t="s">
        <v>3636</v>
      </c>
      <c r="D420" s="3535">
        <v>113.62</v>
      </c>
      <c r="E420" s="3532" t="s">
        <v>3534</v>
      </c>
      <c r="F420" s="3532" t="s">
        <v>21</v>
      </c>
      <c r="G420" s="3532" t="s">
        <v>3894</v>
      </c>
      <c r="H420" s="3532" t="s">
        <v>3895</v>
      </c>
      <c r="I420" s="3541" t="s">
        <v>3896</v>
      </c>
      <c r="J420" s="3527"/>
    </row>
    <row r="421" spans="1:10" ht="14.25">
      <c r="A421" s="3532" t="s">
        <v>3884</v>
      </c>
      <c r="B421" s="3532"/>
      <c r="C421" s="3534" t="s">
        <v>3637</v>
      </c>
      <c r="D421" s="3535">
        <v>113.62</v>
      </c>
      <c r="E421" s="3532" t="s">
        <v>3534</v>
      </c>
      <c r="F421" s="3532" t="s">
        <v>21</v>
      </c>
      <c r="G421" s="3532" t="s">
        <v>3894</v>
      </c>
      <c r="H421" s="3532" t="s">
        <v>3895</v>
      </c>
      <c r="I421" s="3541" t="s">
        <v>3896</v>
      </c>
      <c r="J421" s="3527"/>
    </row>
    <row r="422" spans="1:10" ht="14.25">
      <c r="A422" s="3532" t="s">
        <v>3884</v>
      </c>
      <c r="B422" s="3532"/>
      <c r="C422" s="3534" t="s">
        <v>3638</v>
      </c>
      <c r="D422" s="3535">
        <v>160.16999999999999</v>
      </c>
      <c r="E422" s="3532" t="s">
        <v>3534</v>
      </c>
      <c r="F422" s="3532" t="s">
        <v>21</v>
      </c>
      <c r="G422" s="3532" t="s">
        <v>3894</v>
      </c>
      <c r="H422" s="3532" t="s">
        <v>3895</v>
      </c>
      <c r="I422" s="3541" t="s">
        <v>3896</v>
      </c>
      <c r="J422" s="3527"/>
    </row>
    <row r="423" spans="1:10" ht="14.25">
      <c r="A423" s="3532" t="s">
        <v>3884</v>
      </c>
      <c r="B423" s="3532"/>
      <c r="C423" s="3534" t="s">
        <v>3639</v>
      </c>
      <c r="D423" s="3535">
        <v>250.02</v>
      </c>
      <c r="E423" s="3532" t="s">
        <v>3534</v>
      </c>
      <c r="F423" s="3532" t="s">
        <v>21</v>
      </c>
      <c r="G423" s="3532" t="s">
        <v>3894</v>
      </c>
      <c r="H423" s="3532" t="s">
        <v>3895</v>
      </c>
      <c r="I423" s="3541" t="s">
        <v>3896</v>
      </c>
      <c r="J423" s="3527"/>
    </row>
    <row r="424" spans="1:10" ht="14.25">
      <c r="A424" s="3532" t="s">
        <v>3884</v>
      </c>
      <c r="B424" s="3532"/>
      <c r="C424" s="3534" t="s">
        <v>3640</v>
      </c>
      <c r="D424" s="3535">
        <v>113.43</v>
      </c>
      <c r="E424" s="3532" t="s">
        <v>3534</v>
      </c>
      <c r="F424" s="3532" t="s">
        <v>21</v>
      </c>
      <c r="G424" s="3532" t="s">
        <v>3894</v>
      </c>
      <c r="H424" s="3532" t="s">
        <v>3895</v>
      </c>
      <c r="I424" s="3541" t="s">
        <v>3896</v>
      </c>
      <c r="J424" s="3527"/>
    </row>
    <row r="425" spans="1:10" ht="14.25">
      <c r="A425" s="3532" t="s">
        <v>3884</v>
      </c>
      <c r="B425" s="3532"/>
      <c r="C425" s="3534" t="s">
        <v>3641</v>
      </c>
      <c r="D425" s="3535">
        <v>113.43</v>
      </c>
      <c r="E425" s="3532" t="s">
        <v>3534</v>
      </c>
      <c r="F425" s="3532" t="s">
        <v>21</v>
      </c>
      <c r="G425" s="3532" t="s">
        <v>3894</v>
      </c>
      <c r="H425" s="3532" t="s">
        <v>3895</v>
      </c>
      <c r="I425" s="3541" t="s">
        <v>3896</v>
      </c>
      <c r="J425" s="3527"/>
    </row>
    <row r="426" spans="1:10" ht="14.25">
      <c r="A426" s="3532" t="s">
        <v>3884</v>
      </c>
      <c r="B426" s="3532"/>
      <c r="C426" s="3534" t="s">
        <v>3642</v>
      </c>
      <c r="D426" s="3535">
        <v>109.21</v>
      </c>
      <c r="E426" s="3532" t="s">
        <v>3534</v>
      </c>
      <c r="F426" s="3532" t="s">
        <v>21</v>
      </c>
      <c r="G426" s="3532" t="s">
        <v>3894</v>
      </c>
      <c r="H426" s="3532" t="s">
        <v>3895</v>
      </c>
      <c r="I426" s="3541" t="s">
        <v>3896</v>
      </c>
      <c r="J426" s="3527"/>
    </row>
    <row r="427" spans="1:10" ht="14.25">
      <c r="A427" s="3532" t="s">
        <v>3884</v>
      </c>
      <c r="B427" s="3532"/>
      <c r="C427" s="3534" t="s">
        <v>3643</v>
      </c>
      <c r="D427" s="3535">
        <v>254.37</v>
      </c>
      <c r="E427" s="3532" t="s">
        <v>3534</v>
      </c>
      <c r="F427" s="3532" t="s">
        <v>21</v>
      </c>
      <c r="G427" s="3532" t="s">
        <v>3894</v>
      </c>
      <c r="H427" s="3532" t="s">
        <v>3895</v>
      </c>
      <c r="I427" s="3541" t="s">
        <v>3896</v>
      </c>
      <c r="J427" s="3527"/>
    </row>
  </sheetData>
  <mergeCells count="2">
    <mergeCell ref="A1:I1"/>
    <mergeCell ref="I127:I142"/>
  </mergeCells>
  <phoneticPr fontId="134"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估价结果一览表（市场价值不需“结果表-1”）</v>
      </c>
      <c r="B3" s="3190"/>
      <c r="C3" s="3190"/>
      <c r="D3" s="3190"/>
      <c r="E3" s="3190"/>
    </row>
    <row r="4" spans="1:5" ht="19.5" thickBot="1">
      <c r="A4" s="1391"/>
      <c r="B4" s="3188" t="s">
        <v>917</v>
      </c>
      <c r="C4" s="3188"/>
      <c r="D4" s="3188"/>
      <c r="E4" s="1391"/>
    </row>
    <row r="5" spans="1:5" ht="16.5" thickTop="1">
      <c r="B5" s="3186" t="s">
        <v>909</v>
      </c>
      <c r="C5" s="1392" t="s">
        <v>910</v>
      </c>
      <c r="D5" s="797" t="e">
        <f ca="1">结果表!H101</f>
        <v>#REF!</v>
      </c>
    </row>
    <row r="6" spans="1:5" ht="15.75">
      <c r="B6" s="3186"/>
      <c r="C6" s="1392" t="s">
        <v>911</v>
      </c>
      <c r="D6" s="797" t="e">
        <f ca="1">NUMBERSTRING(INT(D5*10000),2)&amp;"元整"</f>
        <v>#REF!</v>
      </c>
    </row>
    <row r="7" spans="1:5" ht="15.75">
      <c r="B7" s="3191"/>
      <c r="C7" s="1393" t="s">
        <v>912</v>
      </c>
      <c r="D7" s="798" t="e">
        <f ca="1">结果表!H102</f>
        <v>#REF!</v>
      </c>
    </row>
    <row r="8" spans="1:5" ht="15.75">
      <c r="B8" s="3192" t="str">
        <f>结果表!E103</f>
        <v>2.估价师知悉的法定优先受偿款</v>
      </c>
      <c r="C8" s="1394" t="s">
        <v>913</v>
      </c>
      <c r="D8" s="798">
        <f>结果表!H103</f>
        <v>0</v>
      </c>
    </row>
    <row r="9" spans="1:5" ht="15.75">
      <c r="B9" s="319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5" t="str">
        <f>结果表!E107</f>
        <v>3.房地产抵押价值</v>
      </c>
      <c r="C13" s="1397" t="s">
        <v>910</v>
      </c>
      <c r="D13" s="800" t="e">
        <f ca="1">结果表!H107</f>
        <v>#REF!</v>
      </c>
    </row>
    <row r="14" spans="1:5" ht="15.75">
      <c r="B14" s="3186"/>
      <c r="C14" s="1392" t="s">
        <v>911</v>
      </c>
      <c r="D14" s="797" t="e">
        <f ca="1">NUMBERSTRING(INT(D13*10000),2)&amp;"元整"</f>
        <v>#REF!</v>
      </c>
    </row>
    <row r="15" spans="1:5" ht="15">
      <c r="B15" s="3191"/>
      <c r="C15" s="1393" t="s">
        <v>921</v>
      </c>
      <c r="D15" s="806" t="e">
        <f ca="1">结果表!H108</f>
        <v>#REF!</v>
      </c>
    </row>
    <row r="16" spans="1:5" ht="15">
      <c r="B16" s="3192" t="str">
        <f>结果表!E109</f>
        <v>——</v>
      </c>
      <c r="C16" s="1397" t="s">
        <v>922</v>
      </c>
      <c r="D16" s="1398" t="str">
        <f>结果表!H109</f>
        <v>——</v>
      </c>
    </row>
    <row r="17" spans="1:5" ht="15.75">
      <c r="B17" s="3193"/>
      <c r="C17" s="1392" t="s">
        <v>923</v>
      </c>
      <c r="D17" s="797" t="e">
        <f>NUMBERSTRING(INT(D16*10000),2)&amp;"元整"</f>
        <v>#VALUE!</v>
      </c>
    </row>
    <row r="18" spans="1:5" ht="15">
      <c r="B18" s="3194"/>
      <c r="C18" s="1393" t="s">
        <v>912</v>
      </c>
      <c r="D18" s="806" t="str">
        <f>结果表!H110</f>
        <v>——</v>
      </c>
    </row>
    <row r="19" spans="1:5" ht="15.75">
      <c r="B19" s="3185" t="str">
        <f>结果表!E111</f>
        <v>——</v>
      </c>
      <c r="C19" s="1397" t="s">
        <v>910</v>
      </c>
      <c r="D19" s="798" t="str">
        <f>结果表!H111</f>
        <v>——</v>
      </c>
    </row>
    <row r="20" spans="1:5" ht="15.75">
      <c r="B20" s="3186"/>
      <c r="C20" s="1392" t="s">
        <v>923</v>
      </c>
      <c r="D20" s="797" t="e">
        <f>NUMBERSTRING(INT(D19*10000),2)&amp;"元整"</f>
        <v>#VALUE!</v>
      </c>
    </row>
    <row r="21" spans="1:5" ht="15.75" thickBot="1">
      <c r="B21" s="318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5"/>
  <sheetViews>
    <sheetView workbookViewId="0">
      <selection activeCell="J12" sqref="J12"/>
    </sheetView>
  </sheetViews>
  <sheetFormatPr defaultRowHeight="13.5"/>
  <cols>
    <col min="1" max="1" width="26.75" style="2814" customWidth="1"/>
    <col min="2" max="2" width="14.625" style="2814" customWidth="1"/>
    <col min="3" max="3" width="11.75" style="2814" customWidth="1"/>
    <col min="4" max="5" width="14.25" style="2814" customWidth="1"/>
    <col min="6" max="16384" width="9" style="2814"/>
  </cols>
  <sheetData>
    <row r="2" spans="1:7">
      <c r="A2" s="1421" t="s">
        <v>669</v>
      </c>
      <c r="B2" s="1421" t="s">
        <v>3467</v>
      </c>
      <c r="C2" s="1421" t="s">
        <v>3491</v>
      </c>
      <c r="D2" s="1421" t="s">
        <v>3470</v>
      </c>
      <c r="E2" s="1421" t="s">
        <v>3471</v>
      </c>
    </row>
    <row r="3" spans="1:7">
      <c r="A3" s="1421" t="s">
        <v>3460</v>
      </c>
      <c r="B3" s="1421" t="s">
        <v>3468</v>
      </c>
      <c r="C3" s="1421" t="s">
        <v>3469</v>
      </c>
      <c r="D3" s="1421" t="s">
        <v>3473</v>
      </c>
      <c r="E3" s="1421" t="s">
        <v>3472</v>
      </c>
      <c r="F3" s="2814">
        <f>33/30</f>
        <v>1.1000000000000001</v>
      </c>
      <c r="G3" s="1421" t="s">
        <v>3504</v>
      </c>
    </row>
    <row r="4" spans="1:7">
      <c r="A4" s="1421" t="s">
        <v>3506</v>
      </c>
      <c r="B4" s="1421" t="s">
        <v>3474</v>
      </c>
      <c r="C4" s="2814">
        <v>3.8</v>
      </c>
      <c r="D4" s="2814">
        <v>3</v>
      </c>
      <c r="E4" s="1421" t="s">
        <v>3475</v>
      </c>
      <c r="F4" s="2814">
        <v>0.8</v>
      </c>
    </row>
    <row r="5" spans="1:7">
      <c r="A5" s="1421" t="s">
        <v>3507</v>
      </c>
      <c r="B5" s="1421" t="s">
        <v>3477</v>
      </c>
      <c r="C5" s="1421" t="s">
        <v>3478</v>
      </c>
      <c r="D5" s="1421" t="s">
        <v>3479</v>
      </c>
      <c r="E5" s="1421" t="s">
        <v>3476</v>
      </c>
      <c r="F5" s="2814">
        <f>11.75/30</f>
        <v>0.39166666666666666</v>
      </c>
    </row>
    <row r="6" spans="1:7">
      <c r="A6" s="1421" t="s">
        <v>3480</v>
      </c>
      <c r="B6" s="1421" t="s">
        <v>3481</v>
      </c>
      <c r="C6" s="2814">
        <v>2.8</v>
      </c>
      <c r="E6" s="1421"/>
    </row>
    <row r="7" spans="1:7">
      <c r="A7" s="1421" t="s">
        <v>3508</v>
      </c>
      <c r="B7" s="1421" t="s">
        <v>3485</v>
      </c>
      <c r="C7" s="2814">
        <v>3.8</v>
      </c>
      <c r="D7" s="2814">
        <v>3</v>
      </c>
      <c r="E7" s="1421" t="s">
        <v>3475</v>
      </c>
      <c r="F7" s="2814">
        <v>0.8</v>
      </c>
    </row>
    <row r="8" spans="1:7">
      <c r="A8" s="1421" t="s">
        <v>3482</v>
      </c>
      <c r="B8" s="1421" t="s">
        <v>3484</v>
      </c>
      <c r="C8" s="1421" t="s">
        <v>3486</v>
      </c>
      <c r="D8" s="1421" t="s">
        <v>3496</v>
      </c>
      <c r="E8" s="1421" t="s">
        <v>3483</v>
      </c>
      <c r="F8" s="2814">
        <v>1</v>
      </c>
    </row>
    <row r="9" spans="1:7">
      <c r="A9" s="1421" t="s">
        <v>3487</v>
      </c>
      <c r="B9" s="1421" t="s">
        <v>3490</v>
      </c>
      <c r="C9" s="2814">
        <v>4.5999999999999996</v>
      </c>
      <c r="D9" s="2814">
        <v>4</v>
      </c>
      <c r="E9" s="1421" t="s">
        <v>3489</v>
      </c>
      <c r="F9" s="2814">
        <v>0.6</v>
      </c>
      <c r="G9" s="1421" t="s">
        <v>3488</v>
      </c>
    </row>
    <row r="10" spans="1:7">
      <c r="A10" s="1421" t="s">
        <v>3492</v>
      </c>
      <c r="B10" s="1421" t="s">
        <v>3493</v>
      </c>
      <c r="C10" s="1421" t="s">
        <v>3494</v>
      </c>
      <c r="D10" s="1421" t="s">
        <v>3495</v>
      </c>
      <c r="E10" s="1421" t="s">
        <v>3483</v>
      </c>
      <c r="F10" s="2814">
        <v>1</v>
      </c>
    </row>
    <row r="11" spans="1:7">
      <c r="A11" s="1421" t="s">
        <v>3520</v>
      </c>
      <c r="B11" s="1421" t="s">
        <v>3497</v>
      </c>
      <c r="C11" s="1421" t="s">
        <v>3498</v>
      </c>
      <c r="D11" s="1421" t="s">
        <v>3499</v>
      </c>
      <c r="E11" s="1421" t="s">
        <v>3483</v>
      </c>
      <c r="F11" s="2814">
        <v>1</v>
      </c>
    </row>
    <row r="12" spans="1:7">
      <c r="A12" s="1421" t="s">
        <v>3500</v>
      </c>
      <c r="B12" s="1421" t="s">
        <v>3501</v>
      </c>
      <c r="C12" s="1421" t="s">
        <v>3502</v>
      </c>
      <c r="D12" s="1421" t="s">
        <v>3505</v>
      </c>
      <c r="E12" s="1421" t="s">
        <v>3503</v>
      </c>
      <c r="F12" s="2814">
        <v>0.78</v>
      </c>
    </row>
    <row r="13" spans="1:7">
      <c r="A13" s="1421"/>
      <c r="B13" s="1421"/>
      <c r="E13" s="1421"/>
    </row>
    <row r="14" spans="1:7">
      <c r="A14" s="1421"/>
      <c r="B14" s="1421"/>
      <c r="E14" s="1421"/>
    </row>
    <row r="15" spans="1:7">
      <c r="A15" s="1421"/>
      <c r="B15" s="1421"/>
      <c r="E15" s="1421"/>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05" workbookViewId="0">
      <selection activeCell="A213" sqref="A213"/>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28581</v>
      </c>
      <c r="C2" s="2" t="s">
        <v>106</v>
      </c>
      <c r="D2" s="191"/>
      <c r="E2" s="191"/>
      <c r="F2" s="191"/>
      <c r="G2" s="191"/>
    </row>
    <row r="3" spans="1:7" s="192" customFormat="1" ht="18" customHeight="1" thickBot="1">
      <c r="A3" s="195" t="s">
        <v>58</v>
      </c>
      <c r="B3" s="196">
        <f ca="1">ROUND(B2*10000/'数据-汇总表'!E3,0)</f>
        <v>251083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1138.31</v>
      </c>
      <c r="E10" s="217">
        <f>'数据-取费表'!B28</f>
        <v>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23</v>
      </c>
      <c r="D19" s="204">
        <f>'数据-汇总表'!E3</f>
        <v>1138.31</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1330</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3188</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3188</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27889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571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512</v>
      </c>
      <c r="D34" s="209"/>
      <c r="E34" s="212"/>
      <c r="F34" s="249">
        <f>IF('数据-取费表'!B24=0,1,'数据-取费表'!N16)</f>
        <v>1</v>
      </c>
      <c r="G34" s="211" t="s">
        <v>89</v>
      </c>
    </row>
    <row r="35" spans="1:7" ht="13.5" customHeight="1">
      <c r="A35" s="734" t="s">
        <v>351</v>
      </c>
      <c r="B35" s="207" t="s">
        <v>33</v>
      </c>
      <c r="C35" s="212">
        <f>ROUND(C34*F35,0)</f>
        <v>26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23</v>
      </c>
      <c r="D37" s="209">
        <f>'数据-汇总表'!E3</f>
        <v>1138.31</v>
      </c>
      <c r="E37" s="241">
        <f>'数据-取费表'!B35</f>
        <v>200</v>
      </c>
      <c r="F37" s="251"/>
      <c r="G37" s="253" t="s">
        <v>92</v>
      </c>
    </row>
    <row r="38" spans="1:7" ht="13.5" customHeight="1">
      <c r="A38" s="734" t="s">
        <v>354</v>
      </c>
      <c r="B38" s="207" t="s">
        <v>36</v>
      </c>
      <c r="C38" s="212">
        <f>ROUND(C34*F38,0)</f>
        <v>10</v>
      </c>
      <c r="D38" s="212"/>
      <c r="E38" s="212"/>
      <c r="F38" s="251">
        <f>'数据-取费表'!B36</f>
        <v>0.02</v>
      </c>
      <c r="G38" s="211" t="s">
        <v>90</v>
      </c>
    </row>
    <row r="39" spans="1:7" s="206" customFormat="1" ht="13.5" customHeight="1">
      <c r="A39" s="731" t="s">
        <v>338</v>
      </c>
      <c r="B39" s="202" t="s">
        <v>77</v>
      </c>
      <c r="C39" s="224">
        <f>ROUND(C33*F20,0)</f>
        <v>17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19</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18</v>
      </c>
      <c r="D42" s="230"/>
      <c r="E42" s="230"/>
      <c r="F42" s="231"/>
      <c r="G42" s="3366" t="s">
        <v>94</v>
      </c>
    </row>
    <row r="43" spans="1:7" ht="13.5" customHeight="1">
      <c r="A43" s="734" t="s">
        <v>347</v>
      </c>
      <c r="B43" s="207" t="s">
        <v>426</v>
      </c>
      <c r="C43" s="230">
        <f ca="1">ROUND(IF('数据-取费表'!B22&lt;=1,C39*F22*'数据-取费表'!B21/2,C39*(POWER((1+F22),'数据-取费表'!B21/2)-1)),0)</f>
        <v>1</v>
      </c>
      <c r="D43" s="230"/>
      <c r="E43" s="230"/>
      <c r="F43" s="231"/>
      <c r="G43" s="3367"/>
    </row>
    <row r="44" spans="1:7" ht="13.5" customHeight="1">
      <c r="A44" s="734" t="s">
        <v>348</v>
      </c>
      <c r="B44" s="207" t="s">
        <v>428</v>
      </c>
      <c r="C44" s="230">
        <f ca="1">ROUND(IF('数据-取费表'!B22&lt;=1,C40*F22*'数据-取费表'!B21/2,C40*(POWER((1+F22),'数据-取费表'!B21/2)-1)),4)</f>
        <v>5.9999999999999995E-4</v>
      </c>
      <c r="D44" s="230"/>
      <c r="E44" s="230"/>
      <c r="F44" s="231"/>
      <c r="G44" s="3368"/>
    </row>
    <row r="45" spans="1:7" s="206" customFormat="1" ht="13.5" customHeight="1">
      <c r="A45" s="731" t="s">
        <v>341</v>
      </c>
      <c r="B45" s="236" t="s">
        <v>85</v>
      </c>
      <c r="C45" s="237">
        <f>C46</f>
        <v>88</v>
      </c>
      <c r="D45" s="227">
        <f>C47</f>
        <v>3.0000000000000001E-3</v>
      </c>
      <c r="E45" s="228" t="s">
        <v>102</v>
      </c>
      <c r="F45" s="238"/>
      <c r="G45" s="239" t="s">
        <v>434</v>
      </c>
    </row>
    <row r="46" spans="1:7" s="206" customFormat="1" ht="13.5" customHeight="1">
      <c r="A46" s="734" t="s">
        <v>349</v>
      </c>
      <c r="B46" s="240" t="s">
        <v>427</v>
      </c>
      <c r="C46" s="241">
        <f>ROUND((C33+C39)*F27,0)</f>
        <v>88</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752</v>
      </c>
      <c r="D49" s="224"/>
      <c r="E49" s="224"/>
      <c r="F49" s="256"/>
      <c r="G49" s="226" t="s">
        <v>435</v>
      </c>
    </row>
    <row r="50" spans="1:7" s="250" customFormat="1" ht="24">
      <c r="A50" s="731" t="s">
        <v>344</v>
      </c>
      <c r="B50" s="202" t="s">
        <v>97</v>
      </c>
      <c r="C50" s="224"/>
      <c r="D50" s="224"/>
      <c r="E50" s="224"/>
      <c r="F50" s="256">
        <f>IF('数据-取费表'!B24=0,'数据-取费表'!N16,1)</f>
        <v>0.92</v>
      </c>
      <c r="G50" s="239" t="s">
        <v>98</v>
      </c>
    </row>
    <row r="51" spans="1:7" ht="16.5" customHeight="1">
      <c r="A51" s="731" t="s">
        <v>345</v>
      </c>
      <c r="B51" s="202" t="s">
        <v>105</v>
      </c>
      <c r="C51" s="224">
        <f ca="1">ROUND(C49*F50,0)</f>
        <v>692</v>
      </c>
      <c r="D51" s="224"/>
      <c r="E51" s="224"/>
      <c r="F51" s="256"/>
      <c r="G51" s="226" t="s">
        <v>37</v>
      </c>
    </row>
    <row r="52" spans="1:7" s="200" customFormat="1" ht="16.5" thickBot="1">
      <c r="A52" s="257" t="s">
        <v>38</v>
      </c>
      <c r="B52" s="258"/>
      <c r="C52" s="259">
        <f ca="1">C31+C51</f>
        <v>28581</v>
      </c>
      <c r="D52" s="258"/>
      <c r="E52" s="258"/>
      <c r="F52" s="258"/>
      <c r="G52" s="260"/>
    </row>
    <row r="55" spans="1:7" ht="15">
      <c r="B55" s="262" t="s">
        <v>39</v>
      </c>
      <c r="C55" s="263"/>
    </row>
    <row r="56" spans="1:7">
      <c r="B56" s="265" t="s">
        <v>40</v>
      </c>
      <c r="C56" s="266">
        <f ca="1">ROUND(C51/C52,3)</f>
        <v>2.4E-2</v>
      </c>
    </row>
    <row r="57" spans="1:7">
      <c r="B57" s="265" t="s">
        <v>41</v>
      </c>
      <c r="C57" s="267">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05" t="s">
        <v>3180</v>
      </c>
      <c r="B1" s="3505"/>
    </row>
    <row r="2" spans="1:7" ht="14.25" thickBot="1">
      <c r="A2" s="2969"/>
      <c r="B2" s="2969"/>
    </row>
    <row r="3" spans="1:7" ht="14.25" thickBot="1">
      <c r="A3" s="2969"/>
      <c r="B3" s="2969"/>
      <c r="C3" s="2970" t="s">
        <v>2810</v>
      </c>
      <c r="D3" s="2970" t="s">
        <v>2866</v>
      </c>
      <c r="E3" s="2970" t="s">
        <v>2812</v>
      </c>
      <c r="F3" s="2970" t="s">
        <v>2867</v>
      </c>
      <c r="G3" s="2970" t="s">
        <v>2630</v>
      </c>
    </row>
    <row r="4" spans="1:7" ht="14.2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2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2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2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2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2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2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2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2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2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2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506" t="s">
        <v>3231</v>
      </c>
      <c r="B1" s="3506"/>
      <c r="C1" s="3506"/>
      <c r="D1" s="3506"/>
      <c r="E1" s="3506"/>
      <c r="F1" s="3507"/>
    </row>
    <row r="2" spans="1:6">
      <c r="A2" s="3003" t="s">
        <v>3232</v>
      </c>
    </row>
    <row r="3" spans="1:6">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46003</v>
      </c>
      <c r="B1" s="2930" t="s">
        <v>3375</v>
      </c>
      <c r="C1" s="2931"/>
      <c r="D1" s="2931"/>
      <c r="E1" s="2931"/>
      <c r="F1" s="2931"/>
      <c r="G1" s="2931"/>
      <c r="H1" s="2931"/>
      <c r="I1" s="2931"/>
      <c r="J1" s="2897"/>
      <c r="K1" s="2931" t="s">
        <v>454</v>
      </c>
      <c r="L1" s="2931"/>
      <c r="M1" s="2931"/>
      <c r="N1" s="2931"/>
      <c r="O1" s="2931"/>
      <c r="P1" s="2931"/>
      <c r="Q1" s="2897"/>
      <c r="R1" s="3508" t="s">
        <v>456</v>
      </c>
      <c r="S1" s="3509"/>
      <c r="T1" s="3509"/>
      <c r="U1" s="3509"/>
      <c r="V1" s="3509"/>
      <c r="W1" s="3509"/>
      <c r="X1" s="2897"/>
      <c r="Y1" s="3508" t="s">
        <v>457</v>
      </c>
      <c r="Z1" s="3509"/>
      <c r="AA1" s="3509"/>
      <c r="AB1" s="3509"/>
      <c r="AC1" s="3509"/>
      <c r="AD1" s="3509"/>
    </row>
    <row r="2" spans="1:44" s="2010" customFormat="1" ht="14.2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3400</v>
      </c>
      <c r="AG2" t="s">
        <v>673</v>
      </c>
      <c r="AH2" t="s">
        <v>21</v>
      </c>
      <c r="AI2" t="s">
        <v>3401</v>
      </c>
      <c r="AJ2" t="s">
        <v>3</v>
      </c>
      <c r="AK2" t="s">
        <v>3402</v>
      </c>
      <c r="AM2" t="s">
        <v>3400</v>
      </c>
      <c r="AN2" t="s">
        <v>673</v>
      </c>
      <c r="AO2" t="s">
        <v>21</v>
      </c>
      <c r="AP2" t="s">
        <v>3401</v>
      </c>
      <c r="AQ2" t="s">
        <v>3</v>
      </c>
      <c r="AR2" t="s">
        <v>3402</v>
      </c>
    </row>
    <row r="3" spans="1:44" s="2887" customFormat="1" ht="12.75">
      <c r="A3" s="2885" t="s">
        <v>2818</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3399</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3413</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3414</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3404</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3379</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3372</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3368</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3367</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3365</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3364</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3363</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3361</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3352</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3378</v>
      </c>
    </row>
    <row r="27" spans="1:44">
      <c r="I27" s="1405" t="s">
        <v>2824</v>
      </c>
    </row>
    <row r="29" spans="1:44" s="2009" customFormat="1" ht="12.75">
      <c r="B29" s="2930" t="s">
        <v>3376</v>
      </c>
      <c r="C29" s="2931"/>
      <c r="D29" s="2931"/>
      <c r="E29" s="2931"/>
      <c r="F29" s="2931"/>
      <c r="G29" s="2931"/>
      <c r="H29" s="2931"/>
      <c r="I29" s="2931"/>
      <c r="J29" s="2897"/>
      <c r="K29" s="2931" t="s">
        <v>2825</v>
      </c>
      <c r="L29" s="2931"/>
      <c r="M29" s="2931"/>
      <c r="N29" s="2931"/>
      <c r="O29" s="2931"/>
      <c r="P29" s="2931"/>
      <c r="Q29" s="2897"/>
      <c r="R29" s="3508" t="s">
        <v>2826</v>
      </c>
      <c r="S29" s="3509"/>
      <c r="T29" s="3509"/>
      <c r="U29" s="3509"/>
      <c r="V29" s="3509"/>
      <c r="W29" s="3509"/>
      <c r="X29" s="2897"/>
      <c r="Y29" s="3508" t="s">
        <v>2827</v>
      </c>
      <c r="Z29" s="3509"/>
      <c r="AA29" s="3509"/>
      <c r="AB29" s="3509"/>
      <c r="AC29" s="3509"/>
      <c r="AD29" s="3509"/>
    </row>
    <row r="30" spans="1:44" s="2010" customFormat="1" ht="14.2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3401</v>
      </c>
      <c r="AJ30"/>
      <c r="AK30" t="s">
        <v>3402</v>
      </c>
      <c r="AN30" t="s">
        <v>673</v>
      </c>
      <c r="AO30" t="s">
        <v>21</v>
      </c>
      <c r="AP30" t="s">
        <v>3401</v>
      </c>
      <c r="AQ30"/>
      <c r="AR30" t="s">
        <v>3402</v>
      </c>
    </row>
    <row r="31" spans="1:44" s="2887" customFormat="1" ht="12.75">
      <c r="A31" s="2885" t="s">
        <v>2833</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3399</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3415</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3414</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3403</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3404</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3370</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3374</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3371</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3369</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3367</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3366</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3364</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3363</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3362</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3352</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21" t="s">
        <v>2838</v>
      </c>
      <c r="B1" s="3521"/>
      <c r="C1" s="3521"/>
      <c r="D1" s="3521"/>
      <c r="E1" s="3521"/>
      <c r="F1" s="3521"/>
      <c r="G1" s="3522"/>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519"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 thickBot="1">
      <c r="A4" s="3520"/>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46003</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5" t="str">
        <f>IF(项目基本情况!B9="房地产市场价值","估价结果一览表","结果表-2")</f>
        <v>估价结果一览表</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房地产市场价值</v>
      </c>
      <c r="I2" s="3196"/>
    </row>
    <row r="3" spans="1:9" ht="15">
      <c r="A3" s="3197"/>
      <c r="B3" s="3197"/>
      <c r="C3" s="3197"/>
      <c r="D3" s="801" t="s">
        <v>925</v>
      </c>
      <c r="E3" s="801" t="s">
        <v>931</v>
      </c>
      <c r="F3" s="801" t="s">
        <v>925</v>
      </c>
      <c r="G3" s="801" t="s">
        <v>926</v>
      </c>
      <c r="H3" s="801" t="s">
        <v>925</v>
      </c>
      <c r="I3" s="801" t="s">
        <v>926</v>
      </c>
    </row>
    <row r="4" spans="1:9" ht="15">
      <c r="A4" s="1403" t="str">
        <f>项目基本情况!S2</f>
        <v>北京市房地产</v>
      </c>
      <c r="B4" s="801">
        <f>项目基本情况!C17</f>
        <v>1138.31</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7" t="s">
        <v>927</v>
      </c>
      <c r="B5" s="3197"/>
      <c r="C5" s="3197"/>
      <c r="D5" s="3197" t="e">
        <f ca="1">结果表!D119</f>
        <v>#REF!</v>
      </c>
      <c r="E5" s="3197"/>
      <c r="F5" s="3197" t="e">
        <f ca="1">结果表!F119</f>
        <v>#REF!</v>
      </c>
      <c r="G5" s="3197"/>
      <c r="H5" s="3197" t="e">
        <f ca="1">结果表!H119</f>
        <v>#REF!</v>
      </c>
      <c r="I5" s="3197"/>
    </row>
    <row r="6" spans="1:9" ht="15.75">
      <c r="A6" s="3198" t="str">
        <f>结果表!A120</f>
        <v/>
      </c>
      <c r="B6" s="3198"/>
      <c r="C6" s="3198"/>
      <c r="D6" s="3198">
        <f>结果表!D120</f>
        <v>0</v>
      </c>
      <c r="E6" s="3198"/>
      <c r="F6" s="3198"/>
      <c r="G6" s="3198"/>
      <c r="H6" s="3198"/>
      <c r="I6" s="3198"/>
    </row>
    <row r="7" spans="1:9" ht="15">
      <c r="A7" s="3197" t="s">
        <v>927</v>
      </c>
      <c r="B7" s="3197"/>
      <c r="C7" s="3197"/>
      <c r="D7" s="3199" t="str">
        <f>结果表!D121</f>
        <v>零元整</v>
      </c>
      <c r="E7" s="3200"/>
      <c r="F7" s="3200"/>
      <c r="G7" s="3200"/>
      <c r="H7" s="3200"/>
      <c r="I7" s="3201"/>
    </row>
    <row r="8" spans="1:9" ht="15.75">
      <c r="A8" s="3198" t="str">
        <f>结果表!A122</f>
        <v/>
      </c>
      <c r="B8" s="3198"/>
      <c r="C8" s="3198"/>
      <c r="D8" s="3198" t="e">
        <f ca="1">结果表!D122</f>
        <v>#REF!</v>
      </c>
      <c r="E8" s="3198"/>
      <c r="F8" s="3198"/>
      <c r="G8" s="3198"/>
      <c r="H8" s="3198"/>
      <c r="I8" s="3198"/>
    </row>
    <row r="9" spans="1:9" ht="15">
      <c r="A9" s="3197" t="s">
        <v>927</v>
      </c>
      <c r="B9" s="3197"/>
      <c r="C9" s="3197"/>
      <c r="D9" s="3197" t="e">
        <f ca="1">结果表!D123</f>
        <v>#REF!</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7" t="s">
        <v>927</v>
      </c>
      <c r="B11" s="3197"/>
      <c r="C11" s="3197"/>
      <c r="D11" s="3197" t="e">
        <f>结果表!D125</f>
        <v>#VALUE!</v>
      </c>
      <c r="E11" s="3197"/>
      <c r="F11" s="3197"/>
      <c r="G11" s="3197"/>
      <c r="H11" s="3197"/>
      <c r="I11" s="3197"/>
    </row>
    <row r="12" spans="1:9" ht="15.75">
      <c r="A12" s="3198" t="str">
        <f>结果表!A126</f>
        <v/>
      </c>
      <c r="B12" s="3198"/>
      <c r="C12" s="3198"/>
      <c r="D12" s="3198" t="str">
        <f>结果表!D126</f>
        <v>——</v>
      </c>
      <c r="E12" s="3198"/>
      <c r="F12" s="3198"/>
      <c r="G12" s="3198"/>
      <c r="H12" s="3198"/>
      <c r="I12" s="3198"/>
    </row>
    <row r="13" spans="1:9" ht="15.75" thickBot="1">
      <c r="A13" s="3202" t="s">
        <v>927</v>
      </c>
      <c r="B13" s="3202"/>
      <c r="C13" s="3202"/>
      <c r="D13" s="3202" t="e">
        <f>结果表!D127</f>
        <v>#VALUE!</v>
      </c>
      <c r="E13" s="3202"/>
      <c r="F13" s="3202"/>
      <c r="G13" s="3202"/>
      <c r="H13" s="3202"/>
      <c r="I13" s="3202"/>
    </row>
    <row r="14" spans="1:9" ht="15" thickTop="1">
      <c r="A14" s="3203" t="s">
        <v>932</v>
      </c>
      <c r="B14" s="3203"/>
      <c r="C14" s="3203"/>
      <c r="D14" s="3203"/>
      <c r="E14" s="3203"/>
      <c r="F14" s="3203"/>
      <c r="G14" s="3203"/>
      <c r="H14" s="3203"/>
      <c r="I14" s="320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4" t="s">
        <v>949</v>
      </c>
      <c r="B1" s="3204"/>
      <c r="C1" s="3204"/>
      <c r="D1" s="3204"/>
    </row>
    <row r="2" spans="1:4" ht="18">
      <c r="A2" s="3205" t="s">
        <v>933</v>
      </c>
      <c r="B2" s="3205"/>
      <c r="C2" s="3205"/>
      <c r="D2" s="320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5" t="s">
        <v>939</v>
      </c>
      <c r="B6" s="3205"/>
      <c r="C6" s="3205"/>
      <c r="D6" s="320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6" t="s">
        <v>942</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8"/>
      <c r="C12" s="3208"/>
      <c r="D12" s="3208"/>
    </row>
    <row r="13" spans="1:4" ht="30" customHeight="1">
      <c r="A13" s="3207" t="str">
        <f>IF(项目基本情况!B8="抵押","3.抵押双方在办理抵押登记手续时，应使用本公司出具的正式《房地产评估报告》，特提醒报告使用者注意。","——")</f>
        <v>——</v>
      </c>
      <c r="B13" s="3208"/>
      <c r="C13" s="3208"/>
      <c r="D13" s="3208"/>
    </row>
    <row r="14" spans="1:4" ht="15.75" customHeight="1">
      <c r="A14" s="3207" t="str">
        <f>IF(项目基本情况!B8="抵押","4.本次评估估价师所知悉的法定优先受偿款情况说明如下：","——")</f>
        <v>——</v>
      </c>
      <c r="B14" s="3208"/>
      <c r="C14" s="3208"/>
      <c r="D14" s="3208"/>
    </row>
    <row r="15" spans="1:4" ht="42" customHeight="1">
      <c r="A15" s="3207" t="str">
        <f>IF(项目基本情况!B8="抵押","（1）"&amp;CONCATENATE(项目基本情况!L20,项目基本情况!L21,项目基本情况!L22),"——")</f>
        <v>——</v>
      </c>
      <c r="B15" s="3207"/>
      <c r="C15" s="3207"/>
      <c r="D15" s="3207"/>
    </row>
    <row r="16" spans="1:4" ht="30" customHeight="1">
      <c r="A16" s="3210" t="s">
        <v>943</v>
      </c>
      <c r="B16" s="3210"/>
      <c r="C16" s="3210"/>
      <c r="D16" s="3210"/>
    </row>
    <row r="17" spans="1:4" ht="144" customHeight="1">
      <c r="A17" s="3210" t="s">
        <v>944</v>
      </c>
      <c r="B17" s="3210"/>
      <c r="C17" s="3210"/>
      <c r="D17" s="3210"/>
    </row>
    <row r="18" spans="1:4" ht="15.75" customHeight="1">
      <c r="A18" s="3207" t="str">
        <f>IF(项目基本情况!B8="抵押",结果表!K120,"——")</f>
        <v>——</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945</v>
      </c>
      <c r="B22" s="3212"/>
      <c r="C22" s="3212"/>
      <c r="D22" s="321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8" t="s">
        <v>956</v>
      </c>
      <c r="B15" s="3213" t="s">
        <v>109</v>
      </c>
      <c r="C15" s="3214"/>
    </row>
    <row r="16" spans="1:7" ht="13.5">
      <c r="A16" s="3219"/>
      <c r="B16" s="3213" t="s">
        <v>42</v>
      </c>
      <c r="C16" s="3214"/>
    </row>
    <row r="17" spans="1:3" ht="13.5">
      <c r="A17" s="3219"/>
      <c r="B17" s="3216" t="s">
        <v>957</v>
      </c>
      <c r="C17" s="1429" t="s">
        <v>956</v>
      </c>
    </row>
    <row r="18" spans="1:3" ht="13.5">
      <c r="A18" s="3219"/>
      <c r="B18" s="3216"/>
      <c r="C18" s="1429" t="s">
        <v>958</v>
      </c>
    </row>
    <row r="19" spans="1:3" ht="13.5">
      <c r="A19" s="3219"/>
      <c r="B19" s="3216"/>
      <c r="C19" s="1429" t="s">
        <v>959</v>
      </c>
    </row>
    <row r="20" spans="1:3" ht="13.5">
      <c r="A20" s="3220"/>
      <c r="B20" s="3215" t="s">
        <v>960</v>
      </c>
      <c r="C20" s="3214"/>
    </row>
    <row r="21" spans="1:3" ht="13.5">
      <c r="A21" s="1430" t="s">
        <v>961</v>
      </c>
      <c r="B21" s="1431"/>
      <c r="C21" s="1432"/>
    </row>
    <row r="22" spans="1:3" ht="13.5">
      <c r="A22" s="3217" t="s">
        <v>962</v>
      </c>
      <c r="B22" s="3215" t="s">
        <v>963</v>
      </c>
      <c r="C22" s="3214"/>
    </row>
    <row r="23" spans="1:3" ht="13.5">
      <c r="A23" s="3217"/>
      <c r="B23" s="3215" t="s">
        <v>964</v>
      </c>
      <c r="C23" s="3214"/>
    </row>
    <row r="24" spans="1:3" ht="13.5">
      <c r="A24" s="3217"/>
      <c r="B24" s="3215" t="s">
        <v>965</v>
      </c>
      <c r="C24" s="3214"/>
    </row>
    <row r="25" spans="1:3" ht="13.5">
      <c r="A25" s="3217"/>
      <c r="B25" s="3216" t="s">
        <v>966</v>
      </c>
      <c r="C25" s="1429" t="s">
        <v>967</v>
      </c>
    </row>
    <row r="26" spans="1:3" ht="13.5">
      <c r="A26" s="3217"/>
      <c r="B26" s="3216"/>
      <c r="C26" s="1429" t="s">
        <v>968</v>
      </c>
    </row>
    <row r="27" spans="1:3" ht="13.5">
      <c r="A27" s="3217"/>
      <c r="B27" s="3216"/>
      <c r="C27" s="1429" t="s">
        <v>969</v>
      </c>
    </row>
    <row r="28" spans="1:3" ht="13.5">
      <c r="A28" s="3217"/>
      <c r="B28" s="3216"/>
      <c r="C28" s="1429" t="s">
        <v>970</v>
      </c>
    </row>
    <row r="29" spans="1:3" ht="13.5">
      <c r="A29" s="3217"/>
      <c r="B29" s="3216"/>
      <c r="C29" s="1429" t="s">
        <v>971</v>
      </c>
    </row>
    <row r="30" spans="1:3" ht="13.5">
      <c r="A30" s="3217"/>
      <c r="B30" s="3216"/>
      <c r="C30" s="1429" t="s">
        <v>972</v>
      </c>
    </row>
    <row r="31" spans="1:3" ht="13.5">
      <c r="A31" s="3217"/>
      <c r="B31" s="3216"/>
      <c r="C31" s="1429" t="s">
        <v>973</v>
      </c>
    </row>
    <row r="32" spans="1:3" ht="13.5">
      <c r="A32" s="3217"/>
      <c r="B32" s="3216"/>
      <c r="C32" s="1429" t="s">
        <v>974</v>
      </c>
    </row>
    <row r="33" spans="1:3" ht="13.5">
      <c r="A33" s="3217"/>
      <c r="B33" s="321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46006</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t="str">
        <f ca="1">IF(C4&lt;B2,"已过期",1119970066)</f>
        <v>已过期</v>
      </c>
      <c r="C4" s="2162">
        <v>45937</v>
      </c>
      <c r="D4" s="2163" t="str">
        <f ca="1">A4&amp;"（注册号："&amp;B4&amp;"）"</f>
        <v>梁津（注册号：已过期）</v>
      </c>
      <c r="E4" s="2164" t="s">
        <v>2147</v>
      </c>
      <c r="F4" s="1219">
        <f ca="1">IF(G4&lt;B2,"已过期",96010014)</f>
        <v>96010014</v>
      </c>
      <c r="G4" s="2165">
        <v>47118</v>
      </c>
      <c r="H4" s="2166" t="str">
        <f ca="1">E4&amp;"（注册号："&amp;F4&amp;"）"</f>
        <v>梁津（注册号：96010014）</v>
      </c>
    </row>
    <row r="5" spans="1:8" ht="24" customHeight="1">
      <c r="A5" s="1219" t="s">
        <v>2148</v>
      </c>
      <c r="B5" s="1219" t="str">
        <f ca="1">IF(C5&lt;B2,"已过期",1119970111)</f>
        <v>已过期</v>
      </c>
      <c r="C5" s="2162">
        <v>45937</v>
      </c>
      <c r="D5" s="2163" t="str">
        <f t="shared" ref="D5:D15" ca="1" si="0">A5&amp;"（注册号："&amp;B5&amp;"）"</f>
        <v>叶凌（注册号：已过期）</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t="str">
        <f ca="1">IF(C7&lt;B2,"已过期",1120000080)</f>
        <v>已过期</v>
      </c>
      <c r="C7" s="2162">
        <v>45937</v>
      </c>
      <c r="D7" s="2163" t="str">
        <f t="shared" ca="1" si="0"/>
        <v>欧红伟（注册号：已过期）</v>
      </c>
      <c r="E7" s="2164" t="s">
        <v>2150</v>
      </c>
      <c r="F7" s="1219">
        <f ca="1">IF(G7&lt;B2,"已过期",2000110082)</f>
        <v>2000110082</v>
      </c>
      <c r="G7" s="2165">
        <v>46387</v>
      </c>
      <c r="H7" s="2166" t="str">
        <f t="shared" ca="1" si="1"/>
        <v>欧红伟（注册号：2000110082）</v>
      </c>
    </row>
    <row r="8" spans="1:8" ht="24" customHeight="1">
      <c r="A8" s="1219" t="s">
        <v>2151</v>
      </c>
      <c r="B8" s="1219" t="str">
        <f ca="1">IF(C8&lt;B2,"已过期",1419970001)</f>
        <v>已过期</v>
      </c>
      <c r="C8" s="2162">
        <v>45937</v>
      </c>
      <c r="D8" s="2163" t="str">
        <f t="shared" ca="1" si="0"/>
        <v>吴薇（注册号：已过期）</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t="str">
        <f ca="1">IF(C11&lt;B2,"已过期",1120070131)</f>
        <v>已过期</v>
      </c>
      <c r="C11" s="2162">
        <v>45937</v>
      </c>
      <c r="D11" s="2163" t="str">
        <f t="shared" ca="1" si="0"/>
        <v>郑燚（注册号：已过期）</v>
      </c>
      <c r="E11" s="2164" t="s">
        <v>2154</v>
      </c>
      <c r="F11" s="1219">
        <f ca="1">IF(G11&lt;B2,"已过期",2014110011)</f>
        <v>2014110011</v>
      </c>
      <c r="G11" s="2165">
        <v>49302</v>
      </c>
      <c r="H11" s="2166" t="str">
        <f t="shared" ca="1" si="1"/>
        <v>郑燚（注册号：2014110011）</v>
      </c>
    </row>
    <row r="12" spans="1:8" ht="24" customHeight="1">
      <c r="A12" s="1219" t="s">
        <v>2155</v>
      </c>
      <c r="B12" s="1219" t="str">
        <f ca="1">IF(C12&lt;B2,"已过期",1120040230)</f>
        <v>已过期</v>
      </c>
      <c r="C12" s="2167">
        <v>45937</v>
      </c>
      <c r="D12" s="2163" t="str">
        <f t="shared" ca="1" si="0"/>
        <v>苏海（注册号：已过期）</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1" t="s">
        <v>2159</v>
      </c>
      <c r="B17" s="3221"/>
      <c r="C17" s="3221"/>
      <c r="D17" s="3221"/>
      <c r="E17" s="3221"/>
      <c r="F17" s="3221"/>
      <c r="G17" s="3221"/>
      <c r="H17" s="3221"/>
    </row>
    <row r="18" spans="1:8" ht="24" customHeight="1">
      <c r="A18" s="3222" t="s">
        <v>2160</v>
      </c>
      <c r="B18" s="3222"/>
      <c r="C18" s="3222"/>
      <c r="D18" s="2160"/>
      <c r="E18" s="3223" t="s">
        <v>2161</v>
      </c>
      <c r="F18" s="3222"/>
      <c r="G18" s="3222"/>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租赁台账</vt:lpstr>
      <vt:lpstr>中关村集成电路设计园租赁情况表</vt:lpstr>
      <vt:lpstr>市调</vt:lpstr>
      <vt:lpstr>Sheet4</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2025-12-15T05:44:17Z</dcterms:modified>
</cp:coreProperties>
</file>