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61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中指案例" sheetId="77"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_FilterDatabase" localSheetId="32" hidden="1">中指案例!$A$1:$N$87</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I46" i="39"/>
  <c r="G46" i="39"/>
  <c r="E46" i="39"/>
  <c r="I38" i="39"/>
  <c r="G38" i="39"/>
  <c r="E38" i="39"/>
  <c r="C38" i="39"/>
  <c r="C11" i="39"/>
  <c r="C10" i="39"/>
  <c r="I7" i="39"/>
  <c r="G7" i="39"/>
  <c r="E7" i="39"/>
  <c r="I6" i="39"/>
  <c r="G6" i="39"/>
  <c r="E6" i="39"/>
  <c r="N7" i="1"/>
  <c r="D8" i="12"/>
  <c r="C8" i="12"/>
  <c r="G20" i="6"/>
  <c r="AN13" i="3"/>
  <c r="K13" i="3"/>
  <c r="F19" i="6"/>
  <c r="AB7" i="71"/>
  <c r="AB6" i="71"/>
  <c r="AB5" i="71"/>
  <c r="AA6" i="71"/>
  <c r="AA5" i="71"/>
  <c r="Y5" i="71"/>
  <c r="Y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Z6"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M19" i="9"/>
  <c r="C118" i="9"/>
  <c r="C14" i="74"/>
  <c r="E3" i="6"/>
  <c r="M18" i="9"/>
  <c r="B118" i="9"/>
  <c r="B14" i="74"/>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5" i="71"/>
  <c r="P15" i="71"/>
  <c r="O15" i="71"/>
  <c r="N15"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6" i="49"/>
  <c r="E4" i="4"/>
  <c r="B10"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1" i="71"/>
  <c r="D11" i="71"/>
  <c r="D12" i="71"/>
  <c r="D13" i="71"/>
  <c r="U13" i="71"/>
  <c r="S13" i="71"/>
  <c r="T13" i="71"/>
  <c r="AB11" i="71"/>
  <c r="X9" i="71"/>
  <c r="X8" i="71"/>
  <c r="AA9" i="71"/>
  <c r="AA8" i="71"/>
  <c r="X12" i="71"/>
  <c r="Z7" i="71"/>
  <c r="Y8" i="71"/>
  <c r="Z8" i="71"/>
  <c r="AB9" i="71"/>
  <c r="AB8" i="71"/>
  <c r="S9" i="71"/>
  <c r="C94" i="9"/>
  <c r="C92" i="9"/>
  <c r="C20" i="11"/>
  <c r="C28" i="11"/>
  <c r="C27" i="11"/>
  <c r="F10" i="71"/>
  <c r="F9" i="71"/>
  <c r="Y9" i="71"/>
  <c r="Z9" i="71"/>
  <c r="E7" i="49"/>
  <c r="AB3" i="71"/>
  <c r="X3" i="71"/>
  <c r="C10" i="71"/>
  <c r="E10" i="71"/>
  <c r="E9"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C9" i="71"/>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B57" i="39"/>
  <c r="F57" i="39"/>
  <c r="B58" i="39"/>
  <c r="F58" i="39"/>
  <c r="B59" i="39"/>
  <c r="F59" i="39"/>
  <c r="B60" i="39"/>
  <c r="F60" i="39"/>
  <c r="B62" i="39"/>
  <c r="F62" i="39"/>
  <c r="B63" i="39"/>
  <c r="F63" i="39"/>
  <c r="B64" i="39"/>
  <c r="F64" i="39"/>
  <c r="B65" i="39"/>
  <c r="F65" i="39"/>
  <c r="F66" i="39"/>
  <c r="B2" i="39"/>
  <c r="B3" i="39"/>
  <c r="L48" i="67"/>
  <c r="L48" i="15"/>
  <c r="D2" i="34"/>
  <c r="F26" i="67"/>
  <c r="D2" i="33"/>
  <c r="M9" i="67"/>
  <c r="F40" i="15"/>
  <c r="B10" i="76"/>
  <c r="M27" i="67"/>
  <c r="F16" i="15"/>
  <c r="B8" i="76"/>
  <c r="M29" i="67"/>
  <c r="AO7" i="1"/>
  <c r="F20" i="31"/>
  <c r="M21" i="15"/>
  <c r="F5" i="73"/>
  <c r="D2" i="21"/>
  <c r="AO6" i="1"/>
  <c r="E11" i="76"/>
  <c r="F7" i="73"/>
  <c r="F43" i="15"/>
  <c r="F35" i="15"/>
  <c r="F36" i="67"/>
  <c r="M6" i="67"/>
  <c r="AO12" i="1"/>
  <c r="F6" i="67"/>
  <c r="D34" i="9"/>
  <c r="C12" i="12"/>
  <c r="C16" i="12"/>
  <c r="C18" i="12"/>
  <c r="C21" i="12"/>
  <c r="C22" i="12"/>
  <c r="D5" i="73"/>
  <c r="G1" i="73"/>
  <c r="B40" i="1"/>
  <c r="F25" i="12"/>
  <c r="C27" i="12"/>
  <c r="C25" i="12"/>
  <c r="C30" i="12"/>
  <c r="C28" i="12"/>
  <c r="C26" i="12"/>
  <c r="D25" i="12"/>
  <c r="C32" i="12"/>
  <c r="B2" i="12"/>
  <c r="B3" i="12"/>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D19" i="9"/>
  <c r="J15" i="67"/>
  <c r="AO8" i="1"/>
  <c r="F3" i="73"/>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C19" i="9"/>
  <c r="L47" i="67"/>
  <c r="M26" i="15"/>
  <c r="M29" i="15"/>
  <c r="F16" i="67"/>
  <c r="M22" i="67"/>
  <c r="F6" i="73"/>
  <c r="M8" i="67"/>
  <c r="D2" i="37"/>
  <c r="B3" i="68"/>
  <c r="C20" i="9"/>
  <c r="L47" i="15"/>
  <c r="M6" i="15"/>
  <c r="F9" i="67"/>
  <c r="AO9" i="1"/>
  <c r="B11" i="76"/>
  <c r="F37" i="67"/>
  <c r="C14" i="15"/>
  <c r="F37" i="15"/>
  <c r="AO11" i="1"/>
  <c r="F41" i="15"/>
  <c r="D7" i="73"/>
  <c r="D6"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5" i="9"/>
  <c r="D3" i="73"/>
  <c r="F31" i="67"/>
  <c r="F31" i="15"/>
  <c r="E9" i="49"/>
  <c r="E13" i="49"/>
  <c r="B11" i="49"/>
  <c r="E21" i="49"/>
  <c r="E8" i="49"/>
  <c r="E11" i="49"/>
  <c r="E22" i="49"/>
  <c r="B4" i="49"/>
  <c r="C29" i="69"/>
  <c r="D27" i="69"/>
  <c r="R16" i="1"/>
  <c r="C8" i="69"/>
  <c r="C5" i="69"/>
  <c r="K1" i="73"/>
  <c r="C6" i="15"/>
  <c r="F69" i="67"/>
  <c r="F71" i="67"/>
  <c r="B2" i="76"/>
  <c r="E2" i="76"/>
  <c r="E20" i="43"/>
  <c r="C27" i="15"/>
  <c r="I1" i="73"/>
  <c r="B39" i="1"/>
  <c r="B2" i="35"/>
  <c r="B3" i="35"/>
  <c r="F66" i="67"/>
  <c r="B10" i="70"/>
  <c r="F51" i="67"/>
  <c r="F69" i="15"/>
  <c r="B11" i="70"/>
  <c r="F65" i="15"/>
  <c r="C15" i="15"/>
  <c r="C18" i="15"/>
  <c r="F65" i="67"/>
  <c r="B9" i="70"/>
  <c r="N59" i="15"/>
  <c r="M59" i="15"/>
  <c r="L59" i="15"/>
  <c r="L58" i="15"/>
  <c r="C103" i="9"/>
  <c r="G20" i="9"/>
  <c r="B2" i="37"/>
  <c r="B3" i="37"/>
  <c r="M59" i="67"/>
  <c r="L58" i="67"/>
  <c r="N59" i="67"/>
  <c r="L59" i="67"/>
  <c r="D22" i="9"/>
  <c r="G19" i="9"/>
  <c r="C21" i="9"/>
  <c r="C102" i="9"/>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B2" i="21"/>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C20" i="68"/>
  <c r="D19" i="69"/>
  <c r="C17" i="67"/>
  <c r="C16" i="67"/>
  <c r="F59" i="15"/>
  <c r="F59" i="67"/>
  <c r="C14" i="67"/>
  <c r="M17" i="15"/>
  <c r="M17" i="67"/>
  <c r="C17" i="15"/>
  <c r="C16" i="15"/>
  <c r="C19" i="15"/>
  <c r="C15" i="67"/>
  <c r="C18" i="67"/>
  <c r="C19" i="67"/>
  <c r="C19" i="69"/>
  <c r="D37" i="69"/>
  <c r="C37" i="69"/>
  <c r="C33" i="69"/>
  <c r="G21" i="9"/>
  <c r="C32" i="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C46" i="69"/>
  <c r="C45" i="69"/>
  <c r="J10" i="15"/>
  <c r="J18" i="15"/>
  <c r="J5" i="15"/>
  <c r="J26" i="67"/>
  <c r="J29" i="67"/>
  <c r="J24" i="67"/>
  <c r="C53" i="15"/>
  <c r="C48" i="15"/>
  <c r="C10" i="15"/>
  <c r="C5" i="15"/>
  <c r="C10" i="67"/>
  <c r="C5" i="67"/>
  <c r="C53" i="67"/>
  <c r="C48" i="67"/>
  <c r="C35" i="9"/>
  <c r="F118" i="9"/>
  <c r="H118" i="9"/>
  <c r="C20" i="69"/>
  <c r="C28" i="69"/>
  <c r="C27" i="69"/>
  <c r="F24" i="67"/>
  <c r="C24" i="67"/>
  <c r="F24" i="15"/>
  <c r="C24" i="15"/>
  <c r="F22" i="69"/>
  <c r="F22" i="11"/>
  <c r="C20" i="67"/>
  <c r="C26" i="67"/>
  <c r="C20" i="15"/>
  <c r="C34" i="9"/>
  <c r="D118" i="9"/>
  <c r="D4" i="52"/>
  <c r="B47" i="72"/>
  <c r="C23" i="67"/>
  <c r="C25" i="69"/>
  <c r="C29" i="67"/>
  <c r="C66" i="67"/>
  <c r="C60" i="67"/>
  <c r="C23" i="15"/>
  <c r="C26" i="15"/>
  <c r="C29" i="15"/>
  <c r="C44" i="69"/>
  <c r="D41" i="69"/>
  <c r="C26" i="69"/>
  <c r="D22" i="69"/>
  <c r="C23" i="69"/>
  <c r="C24" i="69"/>
  <c r="D14" i="74"/>
  <c r="H119" i="9"/>
  <c r="H5" i="52"/>
  <c r="H4" i="52"/>
  <c r="I118" i="9"/>
  <c r="H101"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38" i="15"/>
  <c r="J26" i="15"/>
  <c r="J29" i="15"/>
  <c r="J24" i="15"/>
  <c r="C41" i="11"/>
  <c r="C49" i="11"/>
  <c r="C51" i="11"/>
  <c r="Q49" i="15"/>
  <c r="J14" i="15"/>
  <c r="C36" i="15"/>
  <c r="C33" i="15"/>
  <c r="C31" i="15"/>
  <c r="C57" i="15"/>
  <c r="J19" i="15"/>
  <c r="J17" i="15"/>
  <c r="C13" i="15"/>
  <c r="J59" i="15"/>
  <c r="J60"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L46"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37" i="15"/>
  <c r="C30" i="15"/>
  <c r="C39" i="15"/>
  <c r="C64" i="15"/>
  <c r="C61" i="15"/>
  <c r="C59" i="15"/>
  <c r="C58" i="15"/>
  <c r="C67" i="15"/>
  <c r="C68" i="15"/>
  <c r="C57" i="68"/>
  <c r="C56" i="68"/>
  <c r="J16" i="67"/>
  <c r="J25" i="67"/>
  <c r="J16" i="15"/>
  <c r="J25" i="15"/>
  <c r="Q69" i="15"/>
  <c r="Q68" i="15"/>
  <c r="C40" i="15"/>
  <c r="Q69" i="67"/>
  <c r="Q68" i="67"/>
  <c r="C40"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2" i="15"/>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<sst xmlns="http://schemas.openxmlformats.org/spreadsheetml/2006/main" count="8130" uniqueCount="3332">
  <si>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</si>
  <si>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</si>
  <si>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</si>
  <si>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</si>
  <si>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</si>
  <si>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</si>
  <si>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</si>
  <si>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</si>
  <si>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</si>
  <si>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</si>
  <si>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</si>
  <si>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</si>
  <si>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</si>
  <si>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</si>
  <si>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</si>
  <si>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</si>
  <si>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</si>
  <si>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</si>
  <si>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</si>
  <si>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</si>
  <si>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</si>
  <si>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</si>
  <si>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</si>
  <si>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</si>
  <si>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</si>
  <si>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</si>
  <si>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</si>
  <si>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</si>
  <si>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</si>
  <si>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</si>
  <si>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</si>
  <si>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</si>
  <si>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</si>
  <si>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</si>
  <si>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</si>
  <si>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</si>
  <si>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</si>
  <si>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</si>
  <si>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</si>
  <si>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</si>
  <si>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</si>
  <si>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</si>
  <si>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</si>
  <si>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</si>
  <si>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</si>
  <si>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</si>
  <si>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</si>
  <si>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</si>
  <si>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</si>
  <si>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</si>
  <si>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</si>
  <si>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</si>
  <si>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</si>
  <si>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</si>
  <si>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</si>
  <si>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</si>
  <si>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</si>
  <si>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</si>
  <si>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</si>
  <si>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</si>
  <si>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</si>
  <si>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</si>
  <si>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</si>
  <si>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</si>
  <si>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</si>
  <si>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</si>
  <si>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</si>
  <si>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</si>
  <si>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</si>
  <si>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</si>
  <si>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</si>
  <si>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</si>
  <si>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</si>
  <si>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</si>
  <si>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</si>
  <si>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</si>
  <si>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</si>
  <si>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</si>
  <si>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</si>
  <si>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</si>
  <si>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</si>
  <si>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</si>
  <si>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</si>
  <si>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</si>
  <si>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</si>
  <si>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</si>
  <si>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</si>
  <si>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</si>
  <si>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</si>
  <si>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</si>
  <si>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</si>
  <si>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</si>
  <si>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</si>
  <si>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</si>
  <si>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</si>
  <si>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</si>
  <si>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</si>
  <si>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</si>
  <si>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</si>
  <si>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</si>
  <si>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</si>
  <si>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</si>
  <si>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</si>
  <si>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</si>
  <si>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</si>
  <si>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</si>
  <si>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</si>
  <si>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</si>
  <si>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</si>
  <si>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</si>
  <si>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</si>
  <si>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</si>
  <si>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</si>
  <si>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</si>
  <si>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</si>
  <si>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</si>
  <si>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</si>
  <si>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</si>
  <si>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</si>
  <si>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</si>
  <si>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</si>
  <si>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</si>
  <si>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</si>
  <si>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</si>
  <si>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</si>
  <si>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</si>
  <si>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</si>
  <si>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</si>
  <si>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</si>
  <si>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</si>
  <si>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</si>
  <si>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</si>
  <si>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</si>
  <si>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</si>
  <si>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</si>
  <si>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</si>
  <si>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</si>
  <si>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</si>
  <si>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</si>
  <si>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</si>
  <si>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</si>
  <si>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</si>
  <si>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</si>
  <si>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</si>
  <si>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</si>
  <si>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</si>
  <si>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</si>
  <si>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</si>
  <si>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</si>
  <si>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</si>
  <si>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</si>
  <si>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</si>
  <si>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</si>
  <si>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</si>
  <si>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</si>
  <si>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</si>
  <si>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</si>
  <si>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</si>
  <si>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</si>
  <si>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</si>
  <si>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</si>
  <si>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</si>
  <si>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</si>
  <si>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</si>
  <si>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</si>
  <si>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</si>
  <si>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</si>
  <si>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</si>
  <si>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</si>
  <si>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</si>
  <si>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</si>
  <si>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</si>
  <si>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</si>
  <si>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</si>
  <si>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</si>
  <si>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</si>
  <si>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</si>
  <si>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</si>
  <si>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</si>
  <si>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</si>
  <si>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</si>
  <si>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</si>
  <si>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</si>
  <si>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</si>
  <si>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</si>
  <si>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</si>
  <si>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</si>
  <si>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</si>
  <si>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</si>
  <si>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</si>
  <si>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</si>
  <si>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</si>
  <si>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</si>
  <si>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</si>
  <si>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</si>
  <si>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</si>
  <si>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</si>
  <si>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</si>
  <si>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</si>
  <si>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</si>
  <si>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</si>
  <si>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</si>
  <si>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</si>
  <si>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</si>
  <si>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</si>
  <si>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</si>
  <si>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</si>
  <si>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</si>
  <si>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</si>
  <si>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</si>
  <si>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</si>
  <si>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</si>
  <si>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</si>
  <si>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</si>
  <si>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</si>
  <si>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</si>
  <si>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</si>
  <si>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</si>
  <si>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</si>
  <si>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</si>
  <si>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</si>
  <si>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</si>
  <si>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</si>
  <si>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</si>
  <si>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</si>
  <si>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</si>
  <si>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</si>
  <si>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</si>
  <si>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</si>
  <si>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</si>
  <si>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</si>
  <si>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</si>
  <si>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</si>
  <si>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</si>
  <si>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</si>
  <si>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</si>
  <si>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</si>
  <si>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</si>
  <si>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</si>
  <si>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</si>
  <si>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</si>
  <si>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</si>
  <si>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</si>
  <si>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</si>
  <si>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</si>
  <si>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</si>
  <si>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</si>
  <si>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</si>
  <si>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</si>
  <si>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</si>
  <si>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</si>
  <si>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</si>
  <si>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</si>
  <si>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</si>
  <si>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</si>
  <si>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</si>
  <si>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</si>
  <si>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</si>
  <si>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</si>
  <si>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</si>
  <si>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</si>
  <si>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</si>
  <si>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</si>
  <si>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</si>
  <si>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</si>
  <si>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</si>
  <si>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</si>
  <si>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</si>
  <si>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</si>
  <si>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</si>
  <si>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</si>
  <si>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</si>
  <si>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</si>
  <si>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</si>
  <si>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</si>
  <si>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</si>
  <si>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</si>
  <si>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</si>
  <si>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</si>
  <si>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</si>
  <si>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</si>
  <si>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</si>
  <si>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</si>
  <si>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</si>
  <si>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</si>
  <si>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</si>
  <si>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</si>
  <si>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</si>
  <si>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</si>
  <si>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</si>
  <si>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</si>
  <si>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</si>
  <si>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</si>
  <si>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</si>
  <si>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</si>
  <si>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</si>
  <si>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</si>
  <si>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</si>
  <si>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</si>
  <si>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</si>
  <si>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</si>
  <si>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</si>
  <si>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</si>
  <si>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</si>
  <si>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</si>
  <si>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</si>
  <si>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</si>
  <si>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</si>
  <si>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</si>
  <si>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</si>
  <si>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</si>
  <si>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</si>
  <si>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</si>
  <si>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</si>
  <si>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</si>
  <si>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</si>
  <si>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</si>
  <si>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</si>
  <si>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</si>
  <si>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</si>
  <si>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</si>
  <si>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</si>
  <si>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</si>
  <si>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</si>
  <si>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</si>
  <si>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</si>
  <si>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</si>
  <si>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</si>
  <si>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</si>
  <si>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</si>
  <si>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</si>
  <si>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</si>
  <si>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</si>
  <si>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</si>
  <si>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</si>
  <si>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</si>
  <si>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</si>
  <si>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</si>
  <si>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</si>
  <si>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</si>
  <si>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</si>
  <si>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</si>
  <si>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</si>
  <si>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</si>
  <si>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</si>
  <si>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</si>
  <si>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</si>
  <si>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</si>
  <si>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</si>
  <si>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</si>
  <si>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</si>
  <si>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</si>
  <si>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</si>
  <si>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</si>
  <si>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</si>
  <si>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</si>
  <si>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</si>
  <si>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</si>
  <si>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</si>
  <si>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</si>
  <si>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</si>
  <si>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</si>
  <si>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</si>
  <si>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</si>
  <si>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</si>
  <si>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</si>
  <si>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</si>
  <si>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</si>
  <si>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</si>
  <si>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</si>
  <si>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</si>
  <si>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</si>
  <si>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</si>
  <si>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</si>
  <si>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</si>
  <si>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</si>
  <si>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</si>
  <si>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</si>
  <si>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</si>
  <si>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</si>
  <si>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</si>
  <si>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</si>
  <si>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</si>
  <si>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</si>
  <si>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</si>
  <si>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</si>
  <si>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</si>
  <si>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</si>
  <si>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</si>
  <si>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</si>
  <si>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</si>
  <si>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</si>
  <si>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</si>
  <si>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</si>
  <si>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</si>
  <si>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</si>
  <si>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</si>
  <si>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</si>
  <si>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</si>
  <si>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</si>
  <si>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</si>
  <si>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</si>
  <si>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</si>
  <si>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</si>
  <si>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</si>
  <si>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</si>
  <si>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</si>
  <si>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</si>
  <si>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</si>
  <si>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</si>
  <si>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</si>
  <si>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</si>
  <si>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</si>
  <si>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</si>
  <si>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</si>
  <si>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</si>
  <si>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</si>
  <si>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</si>
  <si>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</si>
  <si>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</si>
  <si>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</si>
  <si>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</si>
  <si>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</si>
  <si>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</si>
  <si>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</si>
  <si>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</si>
  <si>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</si>
  <si>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</si>
  <si>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</si>
  <si>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</si>
  <si>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</si>
  <si>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</si>
  <si>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</si>
  <si>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</si>
  <si>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</si>
  <si>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</si>
  <si>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</si>
  <si>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</si>
  <si>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</si>
  <si>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</si>
  <si>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</si>
  <si>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</si>
  <si>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</si>
  <si>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</si>
  <si>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</si>
  <si>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</si>
  <si>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</si>
  <si>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</si>
  <si>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</si>
  <si>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</si>
  <si>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</si>
  <si>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</si>
  <si>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</si>
  <si>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</si>
  <si>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</si>
  <si>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</si>
  <si>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</si>
  <si>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</si>
  <si>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</si>
  <si>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</si>
  <si>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</si>
  <si>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</si>
  <si>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</si>
  <si>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</si>
  <si>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</si>
  <si>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</si>
  <si>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</si>
  <si>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</si>
  <si>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</si>
  <si>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</si>
  <si>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</si>
  <si>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</si>
  <si>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</si>
  <si>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</si>
  <si>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</si>
  <si>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</si>
  <si>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</si>
  <si>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</si>
  <si>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</si>
  <si>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</si>
  <si>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</si>
  <si>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</si>
  <si>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</si>
  <si>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</si>
  <si>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</si>
  <si>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</si>
  <si>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</si>
  <si>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</si>
  <si>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</si>
  <si>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</si>
  <si>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</si>
  <si>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</si>
  <si>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</si>
  <si>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</si>
  <si>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</si>
  <si>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</si>
  <si>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</si>
  <si>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</si>
  <si>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</si>
  <si>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</si>
  <si>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</si>
  <si>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</si>
  <si>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</si>
  <si>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</si>
  <si>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</si>
  <si>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</si>
  <si>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</si>
  <si>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</si>
  <si>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</si>
  <si>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</si>
  <si>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</si>
  <si>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</si>
  <si>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</si>
  <si>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</si>
  <si>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</si>
  <si>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</si>
  <si>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</si>
  <si>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</si>
  <si>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</si>
  <si>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</si>
  <si>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</si>
  <si>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</si>
  <si>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</si>
  <si>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</si>
  <si>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</si>
  <si>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</si>
  <si>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</si>
  <si>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</si>
  <si>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</si>
  <si>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</si>
  <si>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</si>
  <si>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</si>
  <si>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</si>
  <si>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</si>
  <si>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</si>
  <si>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</si>
  <si>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</si>
  <si>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</si>
  <si>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</si>
  <si>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</si>
  <si>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</si>
  <si>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</si>
  <si>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</si>
  <si>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</si>
  <si>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</si>
  <si>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</si>
  <si>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</si>
  <si>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</si>
  <si>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</si>
  <si>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</si>
  <si>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</si>
  <si>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</si>
  <si>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</si>
  <si>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</si>
  <si>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</si>
  <si>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</si>
  <si>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</si>
  <si>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</si>
  <si>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</si>
  <si>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</si>
  <si>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</si>
  <si>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</si>
  <si>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</si>
  <si>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</si>
  <si>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</si>
  <si>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</si>
  <si>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</si>
  <si>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</si>
  <si>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</si>
  <si>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</si>
  <si>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</si>
  <si>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</si>
  <si>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</si>
  <si>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</si>
  <si>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</si>
  <si>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</si>
  <si>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</si>
  <si>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</si>
  <si>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</si>
  <si>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</si>
  <si>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</si>
  <si>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</si>
  <si>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</si>
  <si>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</si>
  <si>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</si>
  <si>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</si>
  <si>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</si>
  <si>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</si>
  <si>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</si>
  <si>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</si>
  <si>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</si>
  <si>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</si>
  <si>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</si>
  <si>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</si>
  <si>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</si>
  <si>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</si>
  <si>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</si>
  <si>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</si>
  <si>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</si>
  <si>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</si>
  <si>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</si>
  <si>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</si>
  <si>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</si>
  <si>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</si>
  <si>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</si>
  <si>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</si>
  <si>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</si>
  <si>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</si>
  <si>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</si>
  <si>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</si>
  <si>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</si>
  <si>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</si>
  <si>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</si>
  <si>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</si>
  <si>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</si>
  <si>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</si>
  <si>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</si>
  <si>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</si>
  <si>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</si>
  <si>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</si>
  <si>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</si>
  <si>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</si>
  <si>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</si>
  <si>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</si>
  <si>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</si>
  <si>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</si>
  <si>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</si>
  <si>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</si>
  <si>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</si>
  <si>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</si>
  <si>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</si>
  <si>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</si>
  <si>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</si>
  <si>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</si>
  <si>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</si>
  <si>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</si>
  <si>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</si>
  <si>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</si>
  <si>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</si>
  <si>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</si>
  <si>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</si>
  <si>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</si>
  <si>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</si>
  <si>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</si>
  <si>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</si>
  <si>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</si>
  <si>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</si>
  <si>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</si>
  <si>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</si>
  <si>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</si>
  <si>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</si>
  <si>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</si>
  <si>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</si>
  <si>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</si>
  <si>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</si>
  <si>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</si>
  <si>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</si>
  <si>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</si>
  <si>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</si>
  <si>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</si>
  <si>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</si>
  <si>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</si>
  <si>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</si>
  <si>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</si>
  <si>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</si>
  <si>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</si>
  <si>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</si>
  <si>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</si>
  <si>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</si>
  <si>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</si>
  <si>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</si>
  <si>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</si>
  <si>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</si>
  <si>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</si>
  <si>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</si>
  <si>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</si>
  <si>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</si>
  <si>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</si>
  <si>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</si>
  <si>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</si>
  <si>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</si>
  <si>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</si>
  <si>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</si>
  <si>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</si>
  <si>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</si>
  <si>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</si>
  <si>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</si>
  <si>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</si>
  <si>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</si>
  <si>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</si>
  <si>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</si>
  <si>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</si>
  <si>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</si>
  <si>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</si>
  <si>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</si>
  <si>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</si>
  <si>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</si>
  <si>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</si>
  <si>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</si>
  <si>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</si>
  <si>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</si>
  <si>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</si>
  <si>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</si>
  <si>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</si>
  <si>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</si>
  <si>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</si>
  <si>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</si>
  <si>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</si>
  <si>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</si>
  <si>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</si>
  <si>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</si>
  <si>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</si>
  <si>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</si>
  <si>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</si>
  <si>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</si>
  <si>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</si>
  <si>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</si>
  <si>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</si>
  <si>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</si>
  <si>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</si>
  <si>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</si>
  <si>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</si>
  <si>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</si>
  <si>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</si>
  <si>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</si>
  <si>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</si>
  <si>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</si>
  <si>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</si>
  <si>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</si>
  <si>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</si>
  <si>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</si>
  <si>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</si>
  <si>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</si>
  <si>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</si>
  <si>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</si>
  <si>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</si>
  <si>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</si>
  <si>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</si>
  <si>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</si>
  <si>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</si>
  <si>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</si>
  <si>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</si>
  <si>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</si>
  <si>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</si>
  <si>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</si>
  <si>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</si>
  <si>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</si>
  <si>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</si>
  <si>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</si>
  <si>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</si>
  <si>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</si>
  <si>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</si>
  <si>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</si>
  <si>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</si>
  <si>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</si>
  <si>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</si>
  <si>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</si>
  <si>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</si>
  <si>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</si>
  <si>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</si>
  <si>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</si>
  <si>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</si>
  <si>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</si>
  <si>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</si>
  <si>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</si>
  <si>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</si>
  <si>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</si>
  <si>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</si>
  <si>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</si>
  <si>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</si>
  <si>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</si>
  <si>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</si>
  <si>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</si>
  <si>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</si>
  <si>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</si>
  <si>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</si>
  <si>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</si>
  <si>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</si>
  <si>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</si>
  <si>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</si>
  <si>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</si>
  <si>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</si>
  <si>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</si>
  <si>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</si>
  <si>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</si>
  <si>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</si>
  <si>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</si>
  <si>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</si>
  <si>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</si>
  <si>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</si>
  <si>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</si>
  <si>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</si>
  <si>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</si>
  <si>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</si>
  <si>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</si>
  <si>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</si>
  <si>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</si>
  <si>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</si>
  <si>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</si>
  <si>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</si>
  <si>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</si>
  <si>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</si>
  <si>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</si>
  <si>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</si>
  <si>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</si>
  <si>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</si>
  <si>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</si>
  <si>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</si>
  <si>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</si>
  <si>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</si>
  <si>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</si>
  <si>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</si>
  <si>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</si>
  <si>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</si>
  <si>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</si>
  <si>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</si>
  <si>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</si>
  <si>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</si>
  <si>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</si>
  <si>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</si>
  <si>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</si>
  <si>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</si>
  <si>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</si>
  <si>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</si>
  <si>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</si>
  <si>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</si>
  <si>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</si>
  <si>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</si>
  <si>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</si>
  <si>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</si>
  <si>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</si>
  <si>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</si>
  <si>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</si>
  <si>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</si>
  <si>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</si>
  <si>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</si>
  <si>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</si>
  <si>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</si>
  <si>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</si>
  <si>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</si>
  <si>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</si>
  <si>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</si>
  <si>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</si>
  <si>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</si>
  <si>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</si>
  <si>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</si>
  <si>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</si>
  <si>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</si>
  <si>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</si>
  <si>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</si>
  <si>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</si>
  <si>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</si>
  <si>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</si>
  <si>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</si>
  <si>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</si>
  <si>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</si>
  <si>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</si>
  <si>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</si>
  <si>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</si>
  <si>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</si>
  <si>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</si>
  <si>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</si>
  <si>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</si>
  <si>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</si>
  <si>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</si>
  <si>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</si>
  <si>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</si>
  <si>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</si>
  <si>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</si>
  <si>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</si>
  <si>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</si>
  <si>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</si>
  <si>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</si>
  <si>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</si>
  <si>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</si>
  <si>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</si>
  <si>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</si>
  <si>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</si>
  <si>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</si>
  <si>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</si>
  <si>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</si>
  <si>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</si>
  <si>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</si>
  <si>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</si>
  <si>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</si>
  <si>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</si>
  <si>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</si>
  <si>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</si>
  <si>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</si>
  <si>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</si>
  <si>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</si>
  <si>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</si>
  <si>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</si>
  <si>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</si>
  <si>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</si>
  <si>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</si>
  <si>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</si>
  <si>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</si>
  <si>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</si>
  <si>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</si>
  <si>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</si>
  <si>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</si>
  <si>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</si>
  <si>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</si>
  <si>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</si>
  <si>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</si>
  <si>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</si>
  <si>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</si>
  <si>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</si>
  <si>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</si>
  <si>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</si>
  <si>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</si>
  <si>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</si>
  <si>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</si>
  <si>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</si>
  <si>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</si>
  <si>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</si>
  <si>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</si>
  <si>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</si>
  <si>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</si>
  <si>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</si>
  <si>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</si>
  <si>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</si>
  <si>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</si>
  <si>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</si>
  <si>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</si>
  <si>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</si>
  <si>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</si>
  <si>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</si>
  <si>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</si>
  <si>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</si>
  <si>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</si>
  <si>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</si>
  <si>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</si>
  <si>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</si>
  <si>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</si>
  <si>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</si>
  <si>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</si>
  <si>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</si>
  <si>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</si>
  <si>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</si>
  <si>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</si>
  <si>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</si>
  <si>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</si>
  <si>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</si>
  <si>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</si>
  <si>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</si>
  <si>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</si>
  <si>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</si>
  <si>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</si>
  <si>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</si>
  <si>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</si>
  <si>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</si>
  <si>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</si>
  <si>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</si>
  <si>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</si>
  <si>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</si>
  <si>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</si>
  <si>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</si>
  <si>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</si>
  <si>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</si>
  <si>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</si>
  <si>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</si>
  <si>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</si>
  <si>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</si>
  <si>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</si>
  <si>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</si>
  <si>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</si>
  <si>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</si>
  <si>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</si>
  <si>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</si>
  <si>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</si>
  <si>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</si>
  <si>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</si>
  <si>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</si>
  <si>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</si>
  <si>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</si>
  <si>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</si>
  <si>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</si>
  <si>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</si>
  <si>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</si>
  <si>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</si>
  <si>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</si>
  <si>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</si>
  <si>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</si>
  <si>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</si>
  <si>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</si>
  <si>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</si>
  <si>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</si>
  <si>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</si>
  <si>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</si>
  <si>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</si>
  <si>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</si>
  <si>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</si>
  <si>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</si>
  <si>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</si>
  <si>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</si>
  <si>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</si>
  <si>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</si>
  <si>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</si>
  <si>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</si>
  <si>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</si>
  <si>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</si>
  <si>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</si>
  <si>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</si>
  <si>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</si>
  <si>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</si>
  <si>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</si>
  <si>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</si>
  <si>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</si>
  <si>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</si>
  <si>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</si>
  <si>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</si>
  <si>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</si>
  <si>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</si>
  <si>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</si>
  <si>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</si>
  <si>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</si>
  <si>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</si>
  <si>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</si>
  <si>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</si>
  <si>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</si>
  <si>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</si>
  <si>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</si>
  <si>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</si>
  <si>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</si>
  <si>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</si>
  <si>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</si>
  <si>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</si>
  <si>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</si>
  <si>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</si>
  <si>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</si>
  <si>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</si>
  <si>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</si>
  <si>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</si>
  <si>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</si>
  <si>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</si>
  <si>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</si>
  <si>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</si>
  <si>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</si>
  <si>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</si>
  <si>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</si>
  <si>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</si>
  <si>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</si>
  <si>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</si>
  <si>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</si>
  <si>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</si>
  <si>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</si>
  <si>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</si>
  <si>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</si>
  <si>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</si>
  <si>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</si>
  <si>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</si>
  <si>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</si>
  <si>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</si>
  <si>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</si>
  <si>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</si>
  <si>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</si>
  <si>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</si>
  <si>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</si>
  <si>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</si>
  <si>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</si>
  <si>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</si>
  <si>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</si>
  <si>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</si>
  <si>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</si>
  <si>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</si>
  <si>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</si>
  <si>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</si>
  <si>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</si>
  <si>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</si>
  <si>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</si>
  <si>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</si>
  <si>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</si>
  <si>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</si>
  <si>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</si>
  <si>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</si>
  <si>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</si>
  <si>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</si>
  <si>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</si>
  <si>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</si>
  <si>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</si>
  <si>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</si>
  <si>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</si>
  <si>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</si>
  <si>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</si>
  <si>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</si>
  <si>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</si>
  <si>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</si>
  <si>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</si>
  <si>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</si>
  <si>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</si>
  <si>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</si>
  <si>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</si>
  <si>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</si>
  <si>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</si>
  <si>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</si>
  <si>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</si>
  <si>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</si>
  <si>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</si>
  <si>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</si>
  <si>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</si>
  <si>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</si>
  <si>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</si>
  <si>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</si>
  <si>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</si>
  <si>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</si>
  <si>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</si>
  <si>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</si>
  <si>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</si>
  <si>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</si>
  <si>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</si>
  <si>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</si>
  <si>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</si>
  <si>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</si>
  <si>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</si>
  <si>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</si>
  <si>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</si>
  <si>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</si>
  <si>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</si>
  <si>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</si>
  <si>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</si>
  <si>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</si>
  <si>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</si>
  <si>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</si>
  <si>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</si>
  <si>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</si>
  <si>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</si>
  <si>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</si>
  <si>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</si>
  <si>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</si>
  <si>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</si>
  <si>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</si>
  <si>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</si>
  <si>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</si>
  <si>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</si>
  <si>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</si>
  <si>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</si>
  <si>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</si>
  <si>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</si>
  <si>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</si>
  <si>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</si>
  <si>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</si>
  <si>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</si>
  <si>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</si>
  <si>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</si>
  <si>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</si>
  <si>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</si>
  <si>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</si>
  <si>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</si>
  <si>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</si>
  <si>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</si>
  <si>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</si>
  <si>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</si>
  <si>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</si>
  <si>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</si>
  <si>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</si>
  <si>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</si>
  <si>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</si>
  <si>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</si>
  <si>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</si>
  <si>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</si>
  <si>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</si>
  <si>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</si>
  <si>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</si>
  <si>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</si>
  <si>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</si>
  <si>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</si>
  <si>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</si>
  <si>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</si>
  <si>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</si>
  <si>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</si>
  <si>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</si>
  <si>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</si>
  <si>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</si>
  <si>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</si>
  <si>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</si>
  <si>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</si>
  <si>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</si>
  <si>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</si>
  <si>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</si>
  <si>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</si>
  <si>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</si>
  <si>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</si>
  <si>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</si>
  <si>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</si>
  <si>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</si>
  <si>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</si>
  <si>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</si>
  <si>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</si>
  <si>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</si>
  <si>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</si>
  <si>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</si>
  <si>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</si>
  <si>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</si>
  <si>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</si>
  <si>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</si>
  <si>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</si>
  <si>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</si>
  <si>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</si>
  <si>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</si>
  <si>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</si>
  <si>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</si>
  <si>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</si>
  <si>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</si>
  <si>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</si>
  <si>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</si>
  <si>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</si>
  <si>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</si>
  <si>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</si>
  <si>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</si>
  <si>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</si>
  <si>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</si>
  <si>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</si>
  <si>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</si>
  <si>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</si>
  <si>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</si>
  <si>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</si>
  <si>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</si>
  <si>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</si>
  <si>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</si>
  <si>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</si>
  <si>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</si>
  <si>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</si>
  <si>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</si>
  <si>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</si>
  <si>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</si>
  <si>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</si>
  <si>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</si>
  <si>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</si>
  <si>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</si>
  <si>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</si>
  <si>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</si>
  <si>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</si>
  <si>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</si>
  <si>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</si>
  <si>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</si>
  <si>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</si>
  <si>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</si>
  <si>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</si>
  <si>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</si>
  <si>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</si>
  <si>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</si>
  <si>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</si>
  <si>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</si>
  <si>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</si>
  <si>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</si>
  <si>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</si>
  <si>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</si>
  <si>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</si>
  <si>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</si>
  <si>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</si>
  <si>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</si>
  <si>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</si>
  <si>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</si>
  <si>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</si>
  <si>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</si>
  <si>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</si>
  <si>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</si>
  <si>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</si>
  <si>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</si>
  <si>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</si>
  <si>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</si>
  <si>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</si>
  <si>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</si>
  <si>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</si>
  <si>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</si>
  <si>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</si>
  <si>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</si>
  <si>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</si>
  <si>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</si>
  <si>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</si>
  <si>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</si>
  <si>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</si>
  <si>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</si>
  <si>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</si>
  <si>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</si>
  <si>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</si>
  <si>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</si>
  <si>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</si>
  <si>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</si>
  <si>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</si>
  <si>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</si>
  <si>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</si>
  <si>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</si>
  <si>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</si>
  <si>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</si>
  <si>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</si>
  <si>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</si>
  <si>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</si>
  <si>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</si>
  <si>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</si>
  <si>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</si>
  <si>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</si>
  <si>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</si>
  <si>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</si>
  <si>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</si>
  <si>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</si>
  <si>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</si>
  <si>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</si>
  <si>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</si>
  <si>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</si>
  <si>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</si>
  <si>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</si>
  <si>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</si>
  <si>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</si>
  <si>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</si>
  <si>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</si>
  <si>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</si>
  <si>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</si>
  <si>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</si>
  <si>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</si>
  <si>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</si>
  <si>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</si>
  <si>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</si>
  <si>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</si>
  <si>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</si>
  <si>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</si>
  <si>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</si>
  <si>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</si>
  <si>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</si>
  <si>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</si>
  <si>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</si>
  <si>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</si>
  <si>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</si>
  <si>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</si>
  <si>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</si>
  <si>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</si>
  <si>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</si>
  <si>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</si>
  <si>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</si>
  <si>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</si>
  <si>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</si>
  <si>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</si>
  <si>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</si>
  <si>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</si>
  <si>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</si>
  <si>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</si>
  <si>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</si>
  <si>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</si>
  <si>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</si>
  <si>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</si>
  <si>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</si>
  <si>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</si>
  <si>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</si>
  <si>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</si>
  <si>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</si>
  <si>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</si>
  <si>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</si>
  <si>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</si>
  <si>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</si>
  <si>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</si>
  <si>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</si>
  <si>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</si>
  <si>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</si>
  <si>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</si>
  <si>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</si>
  <si>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</si>
  <si>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</si>
  <si>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</si>
  <si>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</si>
  <si>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</si>
  <si>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</si>
  <si>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</si>
  <si>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</si>
  <si>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</si>
  <si>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</si>
  <si>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</si>
  <si>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</si>
  <si>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</si>
  <si>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</si>
  <si>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</si>
  <si>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</si>
  <si>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</si>
  <si>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</si>
  <si>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</si>
  <si>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</si>
  <si>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</si>
  <si>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</si>
  <si>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</si>
  <si>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</si>
  <si>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</si>
  <si>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</si>
  <si>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</si>
  <si>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</si>
  <si>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</si>
  <si>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</si>
  <si>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</si>
  <si>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</si>
  <si>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</si>
  <si>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</si>
  <si>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</si>
  <si>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</si>
  <si>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</si>
  <si>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</si>
  <si>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</si>
  <si>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</si>
  <si>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</si>
  <si>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</si>
  <si>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</si>
  <si>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</si>
  <si>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</si>
  <si>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</si>
  <si>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</si>
  <si>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</si>
  <si>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</si>
  <si>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</si>
  <si>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</si>
  <si>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</si>
  <si>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</si>
  <si>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</si>
  <si>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</si>
  <si>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</si>
  <si>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</si>
  <si>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</si>
  <si>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</si>
  <si>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</si>
  <si>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</si>
  <si>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</si>
  <si>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</si>
  <si>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</si>
  <si>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</si>
  <si>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</si>
  <si>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</si>
  <si>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</si>
  <si>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</si>
  <si>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</si>
  <si>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</si>
  <si>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</si>
  <si>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</si>
  <si>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</si>
  <si>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</si>
  <si>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</si>
  <si>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</si>
  <si>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</si>
  <si>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</si>
  <si>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</si>
  <si>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</si>
  <si>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</si>
  <si>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</si>
  <si>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</si>
  <si>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</si>
  <si>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</si>
  <si>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</si>
  <si>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</si>
  <si>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</si>
  <si>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</si>
  <si>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</si>
  <si>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</si>
  <si>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</si>
  <si>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</si>
  <si>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</si>
  <si>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</si>
  <si>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</si>
  <si>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</si>
  <si>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</si>
  <si>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</si>
  <si>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</si>
  <si>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</si>
  <si>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</si>
  <si>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</si>
  <si>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</si>
  <si>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</si>
  <si>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</si>
  <si>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</si>
  <si>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</si>
  <si>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</si>
  <si>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</si>
  <si>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</si>
  <si>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</si>
  <si>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</si>
  <si>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</si>
  <si>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</si>
  <si>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</si>
  <si>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</si>
  <si>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</si>
  <si>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</si>
  <si>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</si>
  <si>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</si>
  <si>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</si>
  <si>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</si>
  <si>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</si>
  <si>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</si>
  <si>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</si>
  <si>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</si>
  <si>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</si>
  <si>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</si>
  <si>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</si>
  <si>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</si>
  <si>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</si>
  <si>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</si>
  <si>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</si>
  <si>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</si>
  <si>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</si>
  <si>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</si>
  <si>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</si>
  <si>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</si>
  <si>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</si>
  <si>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</si>
  <si>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</si>
  <si>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</si>
  <si>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</si>
  <si>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</si>
  <si>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</si>
  <si>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</si>
  <si>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</si>
  <si>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</si>
  <si>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</si>
  <si>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</si>
  <si>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</si>
  <si>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</si>
  <si>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</si>
  <si>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</si>
  <si>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</si>
  <si>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</si>
  <si>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</si>
  <si>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</si>
  <si>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</si>
  <si>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</si>
  <si>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</si>
  <si>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</si>
  <si>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</si>
  <si>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</si>
  <si>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</si>
  <si>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</si>
  <si>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</si>
  <si>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</si>
  <si>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</si>
  <si>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</si>
  <si>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</si>
  <si>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</si>
  <si>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</si>
  <si>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</si>
  <si>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</si>
  <si>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</si>
  <si>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</si>
  <si>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</si>
  <si>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</si>
  <si>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</si>
  <si>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</si>
  <si>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</si>
  <si>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</si>
  <si>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</si>
  <si>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</si>
  <si>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</si>
  <si>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</si>
  <si>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</si>
  <si>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</si>
  <si>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</si>
  <si>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</si>
  <si>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</si>
  <si>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</si>
  <si>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</si>
  <si>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</si>
  <si>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</si>
  <si>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</si>
  <si>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</si>
  <si>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</si>
  <si>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</si>
  <si>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</si>
  <si>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</si>
  <si>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</si>
  <si>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</si>
  <si>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</si>
  <si>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</si>
  <si>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</si>
  <si>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</si>
  <si>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</si>
  <si>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</si>
  <si>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</si>
  <si>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</si>
  <si>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</si>
  <si>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</si>
  <si>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</si>
  <si>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</si>
  <si>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</si>
  <si>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</si>
  <si>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</si>
  <si>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</si>
  <si>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</si>
  <si>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</si>
  <si>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</si>
  <si>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</si>
  <si>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</si>
  <si>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</si>
  <si>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</si>
  <si>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</si>
  <si>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</si>
  <si>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</si>
  <si>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</si>
  <si>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</si>
  <si>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</si>
  <si>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</si>
  <si>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</si>
  <si>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</si>
  <si>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</si>
  <si>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</si>
  <si>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</si>
  <si>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</si>
  <si>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</si>
  <si>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</si>
  <si>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</si>
  <si>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</si>
  <si>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</si>
  <si>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</si>
  <si>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</si>
  <si>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</si>
  <si>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</si>
  <si>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</si>
  <si>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</si>
  <si>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</si>
  <si>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</si>
  <si>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</si>
  <si>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</si>
  <si>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</si>
  <si>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</si>
  <si>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</si>
  <si>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</si>
  <si>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</si>
  <si>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</si>
  <si>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</si>
  <si>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</si>
  <si>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</si>
  <si>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</si>
  <si>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</si>
  <si>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</si>
  <si>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</si>
  <si>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</si>
  <si>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</si>
  <si>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</si>
  <si>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</si>
  <si>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</si>
  <si>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</si>
  <si>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</si>
  <si>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</si>
  <si>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</si>
  <si>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</si>
  <si>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</si>
  <si>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</si>
  <si>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</si>
  <si>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</si>
  <si>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</si>
  <si>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</si>
  <si>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</si>
  <si>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</si>
  <si>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</si>
  <si>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</si>
  <si>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</si>
  <si>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</si>
  <si>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</si>
  <si>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</si>
  <si>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</si>
  <si>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</si>
  <si>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</si>
  <si>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</si>
  <si>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</si>
  <si>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</si>
  <si>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</si>
  <si>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</si>
  <si>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</si>
  <si>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</si>
  <si>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</si>
  <si>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</si>
  <si>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</si>
  <si>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</si>
  <si>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</si>
  <si>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</si>
  <si>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</si>
  <si>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</si>
  <si>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</si>
  <si>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</si>
  <si>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</si>
  <si>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</si>
  <si>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</si>
  <si>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</si>
  <si>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</si>
  <si>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</si>
  <si>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</si>
  <si>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</si>
  <si>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</si>
  <si>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</si>
  <si>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</si>
  <si>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</si>
  <si>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</si>
  <si>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</si>
  <si>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</si>
  <si>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</si>
  <si>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</si>
  <si>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</si>
  <si>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</si>
  <si>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</si>
  <si>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</si>
  <si>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</si>
  <si>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</si>
  <si>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</si>
  <si>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</si>
  <si>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</si>
  <si>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</si>
  <si>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</si>
  <si>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</si>
  <si>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</si>
  <si>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</si>
  <si>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</si>
  <si>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</si>
  <si>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</si>
  <si>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</si>
  <si>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</si>
  <si>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</si>
  <si>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</si>
  <si>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</si>
  <si>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</si>
  <si>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</si>
  <si>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</si>
  <si>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</si>
  <si>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</si>
  <si>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</si>
  <si>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</si>
  <si>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</si>
  <si>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</si>
  <si>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</si>
  <si>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</si>
  <si>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</si>
  <si>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</si>
  <si>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</si>
  <si>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</si>
  <si>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</si>
  <si>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</si>
  <si>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</si>
  <si>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</si>
  <si>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</si>
  <si>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</si>
  <si>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</si>
  <si>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</si>
  <si>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</si>
  <si>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</si>
  <si>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</si>
  <si>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</si>
  <si>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</si>
  <si>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</si>
  <si>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</si>
  <si>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</si>
  <si>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</si>
  <si>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</si>
  <si>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</si>
  <si>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</si>
  <si>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</si>
  <si>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</si>
  <si>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</si>
  <si>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</si>
  <si>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</si>
  <si>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</si>
  <si>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</si>
  <si>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</si>
  <si>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</si>
  <si>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</si>
  <si>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</si>
  <si>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</si>
  <si>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</si>
  <si>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</si>
  <si>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</si>
  <si>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</si>
  <si>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</si>
  <si>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</si>
  <si>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</si>
  <si>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</si>
  <si>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</si>
  <si>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</si>
  <si>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</si>
  <si>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</si>
  <si>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</si>
  <si>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</si>
  <si>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</si>
  <si>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</si>
  <si>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</si>
  <si>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</si>
  <si>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</si>
  <si>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</si>
  <si>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</si>
  <si>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</si>
  <si>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</si>
  <si>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</si>
  <si>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</si>
  <si>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</si>
  <si>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</si>
  <si>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</si>
  <si>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</si>
  <si>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</si>
  <si>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</si>
  <si>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</si>
  <si>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</si>
  <si>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</si>
  <si>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</si>
  <si>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</si>
  <si>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</si>
  <si>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</si>
  <si>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</si>
  <si>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</si>
  <si>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</si>
  <si>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</si>
  <si>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</si>
  <si>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</si>
  <si>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</si>
  <si>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</si>
  <si>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</si>
  <si>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</si>
  <si>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</si>
  <si>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</si>
  <si>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</si>
  <si>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</si>
  <si>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</si>
  <si>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</si>
  <si>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</si>
  <si>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</si>
  <si>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</si>
  <si>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</si>
  <si>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</si>
  <si>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</si>
  <si>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</si>
  <si>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</si>
  <si>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</si>
  <si>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</si>
  <si>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</si>
  <si>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</si>
  <si>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</si>
  <si>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</si>
  <si>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</si>
  <si>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</si>
  <si>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</si>
  <si>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</si>
  <si>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</si>
  <si>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</si>
  <si>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</si>
  <si>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</si>
  <si>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</si>
  <si>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</si>
  <si>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</si>
  <si>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</si>
  <si>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</si>
  <si>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</si>
  <si>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</si>
  <si>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</si>
  <si>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</si>
  <si>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</si>
  <si>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</si>
  <si>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</si>
  <si>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</si>
  <si>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</si>
  <si>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</si>
  <si>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</si>
  <si>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</si>
  <si>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</si>
  <si>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</si>
  <si>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</si>
  <si>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</si>
  <si>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</si>
  <si>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</si>
  <si>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</si>
  <si>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</si>
  <si>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</si>
  <si>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</si>
  <si>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</si>
  <si>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</si>
  <si>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</si>
  <si>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</si>
  <si>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</si>
  <si>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</si>
  <si>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</si>
  <si>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</si>
  <si>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</si>
  <si>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</si>
  <si>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</si>
  <si>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</si>
  <si>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</si>
  <si>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</si>
  <si>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</si>
  <si>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</si>
  <si>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</si>
  <si>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</si>
  <si>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</si>
  <si>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</si>
  <si>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</si>
  <si>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</si>
  <si>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</si>
  <si>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</si>
  <si>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</si>
  <si>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</si>
  <si>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</si>
  <si>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</si>
  <si>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</si>
  <si>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</si>
  <si>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</si>
  <si>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</si>
  <si>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</si>
  <si>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</si>
  <si>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</si>
  <si>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</si>
  <si>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</si>
  <si>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</si>
  <si>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</si>
  <si>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</si>
  <si>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</si>
  <si>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</si>
  <si>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</si>
  <si>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</si>
  <si>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</si>
  <si>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</si>
  <si>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</si>
  <si>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</si>
  <si>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</si>
  <si>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</si>
  <si>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</si>
  <si>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</si>
  <si>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</si>
  <si>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</si>
  <si>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</si>
  <si>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</si>
  <si>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</si>
  <si>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</si>
  <si>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</si>
  <si>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</si>
  <si>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</si>
  <si>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</si>
  <si>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</si>
  <si>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</si>
  <si>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</si>
  <si>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</si>
  <si>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</si>
  <si>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</si>
  <si>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</si>
  <si>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</si>
  <si>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</si>
  <si>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</si>
  <si>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</si>
  <si>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</si>
  <si>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</si>
  <si>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</si>
  <si>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</si>
  <si>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</si>
  <si>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</si>
  <si>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</si>
  <si>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</si>
  <si>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</si>
  <si>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</si>
  <si>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</si>
  <si>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</si>
  <si>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</si>
  <si>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</si>
  <si>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</si>
  <si>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</si>
  <si>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</si>
  <si>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</si>
  <si>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</si>
  <si>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</si>
  <si>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</si>
  <si>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</si>
  <si>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</si>
  <si>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</si>
  <si>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</si>
  <si>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</si>
  <si>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</si>
  <si>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</si>
  <si>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</si>
  <si>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</si>
  <si>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</si>
  <si>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</si>
  <si>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</si>
  <si>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</si>
  <si>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</si>
  <si>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</si>
  <si>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</si>
  <si>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</si>
  <si>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</si>
  <si>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</si>
  <si>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</si>
  <si>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</si>
  <si>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</si>
  <si>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</si>
  <si>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</si>
  <si>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</si>
  <si>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</si>
  <si>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</si>
  <si>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</si>
  <si>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</si>
  <si>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</si>
  <si>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</si>
  <si>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</si>
  <si>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</si>
  <si>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</si>
  <si>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</si>
  <si>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</si>
  <si>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</si>
  <si>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</si>
  <si>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</si>
  <si>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</si>
  <si>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</si>
  <si>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</si>
  <si>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</si>
  <si>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</si>
  <si>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</si>
  <si>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</si>
  <si>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</si>
  <si>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</si>
  <si>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</si>
  <si>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</si>
  <si>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</si>
  <si>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</si>
  <si>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</si>
  <si>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</si>
  <si>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</si>
  <si>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</si>
  <si>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</si>
  <si>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</si>
  <si>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</si>
  <si>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</si>
  <si>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</si>
  <si>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</si>
  <si>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</si>
  <si>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</si>
  <si>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</si>
  <si>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</si>
  <si>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</si>
  <si>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</si>
  <si>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</si>
  <si>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</si>
  <si>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</si>
  <si>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</si>
  <si>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</si>
  <si>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</si>
  <si>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</si>
  <si>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</si>
  <si>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</si>
  <si>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</si>
  <si>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</si>
  <si>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</si>
  <si>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</si>
  <si>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</si>
  <si>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</si>
  <si>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</si>
  <si>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</si>
  <si>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</si>
  <si>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</si>
  <si>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</si>
  <si>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</si>
  <si>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</si>
  <si>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</si>
  <si>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</si>
  <si>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</si>
  <si>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</si>
  <si>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</si>
  <si>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</si>
  <si>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</si>
  <si>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</si>
  <si>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</si>
  <si>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</si>
  <si>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</si>
  <si>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</si>
  <si>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</si>
  <si>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</si>
  <si>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</si>
  <si>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</si>
  <si>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</si>
  <si>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</si>
  <si>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</si>
  <si>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</si>
  <si>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</si>
  <si>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</si>
  <si>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</si>
  <si>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</si>
  <si>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</si>
  <si>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</si>
  <si>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</si>
  <si>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</si>
  <si>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</si>
  <si>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</si>
  <si>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</si>
  <si>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</si>
  <si>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</si>
  <si>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</si>
  <si>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</si>
  <si>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</si>
  <si>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</si>
  <si>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</si>
  <si>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</si>
  <si>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</si>
  <si>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</si>
  <si>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</si>
  <si>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</si>
  <si>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</si>
  <si>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</si>
  <si>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</si>
  <si>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</si>
  <si>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</si>
  <si>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</si>
  <si>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</si>
  <si>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</si>
  <si>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</si>
  <si>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</si>
  <si>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</si>
  <si>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</si>
  <si>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</si>
  <si>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</si>
  <si>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</si>
  <si>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</si>
  <si>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</si>
  <si>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</si>
  <si>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</si>
  <si>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</si>
  <si>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</si>
  <si>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</si>
  <si>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</si>
  <si>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</si>
  <si>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</si>
  <si>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</si>
  <si>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</si>
  <si>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</si>
  <si>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</si>
  <si>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</si>
  <si>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</si>
  <si>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</si>
  <si>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</si>
  <si>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</si>
  <si>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</si>
  <si>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</si>
  <si>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</si>
  <si>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</si>
  <si>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</si>
  <si>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</si>
  <si>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</si>
  <si>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</si>
  <si>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</si>
  <si>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</si>
  <si>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</si>
  <si>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</si>
  <si>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</si>
  <si>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</si>
  <si>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</si>
  <si>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</si>
  <si>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</si>
  <si>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</si>
  <si>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</si>
  <si>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</si>
  <si>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</si>
  <si>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</si>
  <si>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</si>
  <si>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</si>
  <si>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</si>
  <si>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</si>
  <si>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</si>
  <si>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</si>
  <si>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</si>
  <si>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</si>
  <si>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</si>
  <si>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</si>
  <si>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</si>
  <si>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</si>
  <si>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</si>
  <si>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</si>
  <si>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</si>
  <si>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</si>
  <si>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</si>
  <si>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</si>
  <si>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</si>
  <si>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</si>
  <si>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</si>
  <si>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</si>
  <si>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</si>
  <si>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</si>
  <si>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</si>
  <si>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</si>
  <si>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</si>
  <si>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</si>
  <si>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</si>
  <si>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</si>
  <si>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</si>
  <si>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</si>
  <si>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</si>
  <si>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</si>
  <si>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</si>
  <si>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</si>
  <si>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</si>
  <si>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</si>
  <si>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</si>
  <si>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</si>
  <si>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</si>
  <si>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</si>
  <si>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</si>
  <si>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</si>
  <si>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</si>
  <si>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</si>
  <si>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</si>
  <si>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</si>
  <si>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</si>
  <si>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</si>
  <si>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</si>
  <si>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</si>
  <si>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</si>
  <si>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</si>
  <si>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</si>
  <si>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</si>
  <si>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</si>
  <si>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</si>
  <si>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</si>
  <si>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</si>
  <si>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</si>
  <si>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</si>
  <si>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</si>
  <si>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</si>
  <si>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</si>
  <si>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</si>
  <si>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</si>
  <si>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</si>
  <si>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</si>
  <si>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</si>
  <si>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</si>
  <si>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</si>
  <si>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</si>
  <si>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</si>
  <si>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</si>
  <si>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</si>
  <si>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</si>
  <si>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</si>
  <si>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</si>
  <si>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</si>
  <si>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</si>
  <si>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</si>
  <si>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</si>
  <si>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</si>
  <si>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</si>
  <si>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</si>
  <si>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</si>
  <si>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</si>
  <si>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</si>
  <si>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</si>
  <si>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</si>
  <si>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</si>
  <si>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</si>
  <si>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</si>
  <si>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</si>
  <si>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</si>
  <si>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</si>
  <si>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</si>
  <si>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</si>
  <si>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</si>
  <si>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</si>
  <si>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</si>
  <si>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</si>
  <si>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</si>
  <si>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</si>
  <si>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</si>
  <si>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</si>
  <si>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</si>
  <si>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</si>
  <si>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</si>
  <si>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</si>
  <si>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</si>
  <si>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</si>
  <si>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</si>
  <si>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</si>
  <si>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</si>
  <si>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</si>
  <si>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</si>
  <si>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</si>
  <si>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</si>
  <si>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</si>
  <si>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</si>
  <si>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</si>
  <si>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</si>
  <si>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</si>
  <si>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</si>
  <si>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</si>
  <si>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</si>
  <si>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</si>
  <si>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</si>
  <si>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</si>
  <si>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</si>
  <si>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</si>
  <si>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</si>
  <si>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</si>
  <si>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</si>
  <si>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</si>
  <si>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</si>
  <si>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</si>
  <si>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</si>
  <si>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</si>
  <si>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</si>
  <si>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</si>
  <si>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</si>
  <si>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</si>
  <si>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</si>
  <si>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</si>
  <si>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</si>
  <si>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</si>
  <si>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</si>
  <si>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</si>
  <si>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</si>
  <si>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</si>
  <si>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</si>
  <si>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</si>
  <si>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</si>
  <si>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</si>
  <si>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</si>
  <si>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</si>
  <si>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</si>
  <si>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</si>
  <si>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</si>
  <si>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</si>
  <si>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</si>
  <si>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</si>
  <si>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</si>
  <si>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</si>
  <si>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</si>
  <si>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</si>
  <si>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</si>
  <si>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</si>
  <si>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</si>
  <si>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</si>
  <si>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</si>
  <si>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</si>
  <si>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</si>
  <si>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</si>
  <si>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</si>
  <si>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</si>
  <si>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</si>
  <si>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</si>
  <si>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</si>
  <si>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</si>
  <si>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</si>
  <si>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</si>
  <si>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</si>
  <si>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</si>
  <si>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</si>
  <si>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</si>
  <si>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</si>
  <si>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</si>
  <si>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</si>
  <si>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</si>
  <si>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</si>
  <si>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</si>
  <si>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</si>
  <si>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</si>
  <si>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</si>
  <si>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</si>
  <si>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</si>
  <si>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</si>
  <si>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</si>
  <si>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</si>
  <si>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</si>
  <si>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</si>
  <si>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</si>
  <si>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</si>
  <si>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</si>
  <si>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</si>
  <si>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</si>
  <si>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</si>
  <si>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</si>
  <si>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</si>
  <si>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</si>
  <si>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</si>
  <si>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</si>
  <si>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</si>
  <si>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</si>
  <si>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</si>
  <si>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</si>
  <si>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</si>
  <si>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</si>
  <si>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</si>
  <si>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</si>
  <si>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</si>
  <si>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</si>
  <si>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</si>
  <si>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</si>
  <si>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</si>
  <si>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</si>
  <si>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</si>
  <si>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</si>
  <si>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</si>
  <si>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</si>
  <si>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</si>
  <si>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</si>
  <si>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</si>
  <si>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</si>
  <si>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</si>
  <si>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</si>
  <si>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</si>
  <si>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</si>
  <si>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</si>
  <si>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</si>
  <si>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</si>
  <si>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</si>
  <si>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</si>
  <si>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</si>
  <si>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</si>
  <si>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</si>
  <si>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</si>
  <si>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</si>
  <si>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</si>
  <si>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</si>
  <si>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</si>
  <si>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</si>
  <si>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</si>
  <si>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</si>
  <si>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</si>
  <si>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</si>
  <si>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</si>
  <si>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</si>
  <si>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</si>
  <si>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</si>
  <si>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</si>
  <si>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</si>
  <si>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</si>
  <si>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</si>
  <si>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</si>
  <si>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</si>
  <si>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</si>
  <si>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</si>
  <si>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</si>
  <si>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</si>
  <si>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</si>
  <si>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</si>
  <si>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</si>
  <si>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</si>
  <si>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</si>
  <si>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</si>
  <si>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</si>
  <si>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</si>
  <si>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</si>
  <si>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</si>
  <si>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</si>
  <si>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</si>
  <si>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</si>
  <si>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</si>
  <si>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</si>
  <si>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</si>
  <si>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</si>
  <si>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</si>
  <si>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</si>
  <si>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</si>
  <si>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</si>
  <si>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</si>
  <si>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</si>
  <si>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</si>
  <si>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</si>
  <si>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</si>
  <si>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</si>
  <si>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</si>
  <si>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</si>
  <si>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</si>
  <si>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</si>
  <si>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</si>
  <si>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</si>
  <si>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</si>
  <si>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</si>
  <si>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</si>
  <si>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</si>
  <si>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</si>
  <si>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</si>
  <si>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</si>
  <si>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</si>
  <si>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</si>
  <si>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</si>
  <si>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</si>
  <si>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</si>
  <si>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</si>
  <si>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</si>
  <si>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</si>
  <si>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</si>
  <si>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</si>
  <si>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</si>
  <si>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</si>
  <si>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</si>
  <si>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</si>
  <si>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</si>
  <si>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</si>
  <si>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</si>
  <si>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</si>
  <si>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</si>
  <si>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</si>
  <si>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</si>
  <si>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</si>
  <si>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</si>
  <si>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</si>
  <si>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</si>
  <si>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</si>
  <si>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</si>
  <si>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</si>
  <si>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</si>
  <si>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</si>
  <si>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</si>
  <si>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</si>
  <si>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</si>
  <si>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</si>
  <si>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</si>
  <si>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</si>
  <si>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</si>
  <si>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</si>
  <si>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</si>
  <si>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</si>
  <si>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</si>
  <si>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</si>
  <si>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</si>
  <si>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</si>
  <si>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</si>
  <si>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</si>
  <si>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</si>
  <si>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</si>
  <si>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</si>
  <si>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</si>
  <si>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</si>
  <si>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</si>
  <si>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</si>
  <si>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</si>
  <si>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</si>
  <si>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</si>
  <si>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</si>
  <si>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</si>
  <si>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</si>
  <si>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</si>
  <si>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</si>
  <si>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</si>
  <si>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</si>
  <si>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</si>
  <si>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</si>
  <si>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</si>
  <si>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</si>
  <si>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</si>
  <si>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</si>
  <si>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</si>
  <si>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</si>
  <si>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</si>
  <si>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</si>
  <si>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</si>
  <si>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</si>
  <si>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</si>
  <si>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</si>
  <si>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</si>
  <si>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</si>
  <si>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</si>
  <si>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</si>
  <si>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</si>
  <si>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</si>
  <si>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</si>
  <si>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</si>
  <si>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</si>
  <si>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</si>
  <si>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</si>
  <si>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</si>
  <si>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</si>
  <si>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</si>
  <si>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</si>
  <si>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</si>
  <si>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</si>
  <si>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</si>
  <si>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</si>
  <si>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</si>
  <si>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</si>
  <si>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</si>
  <si>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</si>
  <si>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</si>
  <si>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</si>
  <si>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</si>
  <si>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</si>
  <si>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</si>
  <si>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</si>
  <si>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</si>
  <si>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</si>
  <si>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</si>
  <si>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</si>
  <si>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</si>
  <si>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</si>
  <si>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</si>
  <si>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</si>
  <si>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</si>
  <si>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</si>
  <si>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</si>
  <si>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</si>
  <si>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</si>
  <si>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</si>
  <si>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</si>
  <si>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</si>
  <si>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</si>
  <si>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</si>
  <si>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</si>
  <si>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</si>
  <si>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</si>
  <si>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</si>
  <si>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</si>
  <si>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</si>
  <si>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</si>
  <si>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</si>
  <si>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</si>
  <si>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</si>
  <si>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</si>
  <si>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</si>
  <si>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</si>
  <si>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</si>
  <si>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</si>
  <si>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</si>
  <si>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</si>
  <si>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</si>
  <si>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</si>
  <si>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</si>
  <si>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</si>
  <si>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</si>
  <si>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</si>
  <si>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</si>
  <si>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</si>
  <si>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</si>
  <si>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</si>
  <si>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</si>
  <si>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</si>
  <si>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</si>
  <si>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</si>
  <si>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</si>
  <si>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</si>
  <si>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</si>
  <si>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</si>
  <si>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</si>
  <si>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</si>
  <si>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</si>
  <si>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</si>
  <si>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</si>
  <si>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</si>
  <si>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</si>
  <si>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</si>
  <si>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</si>
  <si>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</si>
  <si>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</si>
  <si>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</si>
  <si>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</si>
  <si>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</si>
  <si>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</si>
  <si>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</si>
  <si>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</si>
  <si>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</si>
  <si>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</si>
  <si>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</si>
  <si>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</si>
  <si>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</si>
  <si>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</si>
  <si>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</si>
  <si>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</si>
  <si>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</si>
  <si>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</si>
  <si>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</si>
  <si>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</si>
  <si>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</si>
  <si>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</si>
  <si>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</si>
  <si>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</si>
  <si>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</si>
  <si>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</si>
  <si>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</si>
  <si>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</si>
  <si>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</si>
  <si>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</si>
  <si>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</si>
  <si>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</si>
  <si>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</si>
  <si>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</si>
  <si>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</si>
  <si>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</si>
  <si>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</si>
  <si>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</si>
  <si>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</si>
  <si>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</si>
  <si>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</si>
  <si>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</si>
  <si>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</si>
  <si>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</si>
  <si>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</si>
  <si>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</si>
  <si>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</si>
  <si>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</si>
  <si>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</si>
  <si>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</si>
  <si>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</si>
  <si>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</si>
  <si>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</si>
  <si>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</si>
  <si>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</si>
  <si>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</si>
  <si>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</si>
  <si>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</si>
  <si>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</si>
  <si>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</si>
  <si>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</si>
  <si>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</si>
  <si>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</si>
  <si>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</si>
  <si>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</si>
  <si>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</si>
  <si>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</si>
  <si>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</si>
  <si>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</si>
  <si>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</si>
  <si>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</si>
  <si>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</si>
  <si>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</si>
  <si>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</si>
  <si>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</si>
  <si>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</si>
  <si>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</si>
  <si>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</si>
  <si>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</si>
  <si>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</si>
  <si>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</si>
  <si>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</si>
  <si>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</si>
  <si>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</si>
  <si>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</si>
  <si>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</si>
  <si>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</si>
  <si>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</si>
  <si>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</si>
  <si>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</si>
  <si>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</si>
  <si>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</si>
  <si>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</si>
  <si>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</si>
  <si>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</si>
  <si>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</si>
  <si>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</si>
  <si>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</si>
  <si>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</si>
  <si>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</si>
  <si>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</si>
  <si>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</si>
  <si>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</si>
  <si>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</si>
  <si>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</si>
  <si>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</si>
  <si>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</si>
  <si>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</si>
  <si>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</si>
  <si>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</si>
  <si>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</si>
  <si>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</si>
  <si>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</si>
  <si>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</si>
  <si>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</si>
  <si>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</si>
  <si>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</si>
  <si>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</si>
  <si>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</si>
  <si>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</si>
  <si>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</si>
  <si>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</si>
  <si>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</si>
  <si>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</si>
  <si>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</si>
  <si>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</si>
  <si>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</si>
  <si>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</si>
  <si>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</si>
  <si>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</si>
  <si>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</si>
  <si>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</si>
  <si>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</si>
  <si>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</si>
  <si>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</si>
  <si>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</si>
  <si>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</si>
  <si>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</si>
  <si>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</si>
  <si>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</si>
  <si>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</si>
  <si>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</si>
  <si>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</si>
  <si>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</si>
  <si>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</si>
  <si>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</si>
  <si>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</si>
  <si>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</si>
  <si>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</si>
  <si>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</si>
  <si>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</si>
  <si>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</si>
  <si>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</si>
  <si>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</si>
  <si>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</si>
  <si>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</si>
  <si>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</si>
  <si>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</si>
  <si>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</si>
  <si>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</si>
  <si>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</si>
  <si>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</si>
  <si>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</si>
  <si>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</si>
  <si>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</si>
  <si>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</si>
  <si>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</si>
  <si>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</si>
  <si>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</si>
  <si>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</si>
  <si>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</si>
  <si>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</si>
  <si>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</si>
  <si>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</si>
  <si>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</si>
  <si>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</si>
  <si>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</si>
  <si>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</si>
  <si>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</si>
  <si>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</si>
  <si>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</si>
  <si>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</si>
  <si>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</si>
  <si>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</si>
  <si>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</si>
  <si>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</si>
  <si>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</si>
  <si>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</si>
  <si>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</si>
  <si>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</si>
  <si>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</si>
  <si>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</si>
  <si>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</si>
  <si>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</si>
  <si>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</si>
  <si>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</si>
  <si>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</si>
  <si>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</si>
  <si>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</si>
  <si>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</si>
  <si>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</si>
  <si>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</si>
  <si>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</si>
  <si>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</si>
  <si>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</si>
  <si>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</si>
  <si>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</si>
  <si>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</si>
  <si>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</si>
  <si>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</si>
  <si>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</si>
  <si>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</si>
  <si>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</si>
  <si>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</si>
  <si>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</si>
  <si>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</si>
  <si>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</si>
  <si>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</si>
  <si>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</si>
  <si>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</si>
  <si>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</si>
  <si>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</si>
  <si>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</si>
  <si>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</si>
  <si>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</si>
  <si>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</si>
  <si>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</si>
  <si>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</si>
  <si>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</si>
  <si>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</si>
  <si>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</si>
  <si>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</si>
  <si>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</si>
  <si>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</si>
  <si>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</si>
  <si>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</si>
  <si>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</si>
  <si>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</si>
  <si>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</si>
  <si>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</si>
  <si>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</si>
  <si>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</si>
  <si>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</si>
  <si>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</si>
  <si>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</si>
  <si>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</si>
  <si>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</si>
  <si>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</si>
  <si>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</si>
  <si>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</si>
  <si>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</si>
  <si>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</si>
  <si>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</si>
  <si>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</si>
  <si>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</si>
  <si>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</si>
  <si>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</si>
  <si>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</si>
  <si>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</si>
  <si>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</si>
  <si>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</si>
  <si>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</si>
  <si>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</si>
  <si>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</si>
  <si>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</si>
  <si>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</si>
  <si>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</si>
  <si>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</si>
  <si>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</si>
  <si>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</si>
  <si>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</si>
  <si>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</si>
  <si>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</si>
  <si>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</si>
  <si>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</si>
  <si>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</si>
  <si>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</si>
  <si>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</si>
  <si>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</si>
  <si>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</si>
  <si>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</si>
  <si>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</si>
  <si>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</si>
  <si>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</si>
  <si>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</si>
  <si>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</si>
  <si>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</si>
  <si>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</si>
  <si>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</si>
  <si>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</si>
  <si>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</si>
  <si>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</si>
  <si>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</si>
  <si>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</si>
  <si>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</si>
  <si>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</si>
  <si>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</si>
  <si>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</si>
  <si>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</si>
  <si>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</si>
  <si>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</si>
  <si>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</si>
  <si>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</si>
  <si>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</si>
  <si>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</si>
  <si>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</si>
  <si>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</si>
  <si>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</si>
  <si>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</si>
  <si>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</si>
  <si>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</si>
  <si>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</si>
  <si>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</si>
  <si>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</si>
  <si>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</si>
  <si>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</si>
  <si>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</si>
  <si>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</si>
  <si>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</si>
  <si>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</si>
  <si>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</si>
  <si>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</si>
  <si>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</si>
  <si>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</si>
  <si>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</si>
  <si>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</si>
  <si>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</si>
  <si>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</si>
  <si>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</si>
  <si>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</si>
  <si>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</si>
  <si>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</si>
  <si>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</si>
  <si>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</si>
  <si>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</si>
  <si>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</si>
  <si>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</si>
  <si>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</si>
  <si>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</si>
  <si>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</si>
  <si>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</si>
  <si>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</si>
  <si>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</si>
  <si>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</si>
  <si>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</si>
  <si>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</si>
  <si>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</si>
  <si>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</si>
  <si>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</si>
  <si>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</si>
  <si>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</si>
  <si>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</si>
  <si>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</si>
  <si>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</si>
  <si>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</si>
  <si>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</si>
  <si>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</si>
  <si>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</si>
  <si>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</si>
  <si>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</si>
  <si>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</si>
  <si>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</si>
  <si>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</si>
  <si>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</si>
  <si>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</si>
  <si>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</si>
  <si>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</si>
  <si>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</si>
  <si>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</si>
  <si>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</si>
  <si>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</si>
  <si>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</si>
  <si>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</si>
  <si>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</si>
  <si>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</si>
  <si>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</si>
  <si>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</si>
  <si>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</si>
  <si>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</si>
  <si>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</si>
  <si>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</si>
  <si>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</si>
  <si>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</si>
  <si>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</si>
  <si>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</si>
  <si>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</si>
  <si>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</si>
  <si>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</si>
  <si>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</si>
  <si>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</si>
  <si>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</si>
  <si>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</si>
  <si>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</si>
  <si>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</si>
  <si>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</si>
  <si>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</si>
  <si>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</si>
  <si>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</si>
  <si>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</si>
  <si>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</si>
  <si>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</si>
  <si>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</si>
  <si>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</si>
  <si>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</si>
  <si>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</si>
  <si>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</si>
  <si>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</si>
  <si>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</si>
  <si>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</si>
  <si>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</si>
  <si>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</si>
  <si>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</si>
  <si>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</si>
  <si>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</si>
  <si>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</si>
  <si>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</si>
  <si>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</si>
  <si>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</si>
  <si>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</si>
  <si>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</si>
  <si>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</si>
  <si>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</si>
  <si>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</si>
  <si>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</si>
  <si>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</si>
  <si>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</si>
  <si>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</si>
  <si>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</si>
  <si>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</si>
  <si>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</si>
  <si>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</si>
  <si>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陈颖</t>
  </si>
  <si>
    <t>叶凌</t>
  </si>
  <si>
    <t>核定资产</t>
  </si>
  <si>
    <t>房地产市场价值</t>
  </si>
  <si>
    <t>其他：</t>
  </si>
  <si>
    <t>山西省长治市</t>
    <phoneticPr fontId="6" type="noConversion"/>
  </si>
  <si>
    <t>企业</t>
  </si>
  <si>
    <t>出让</t>
  </si>
  <si>
    <t>否</t>
  </si>
  <si>
    <r>
      <rPr>
        <sz val="10"/>
        <color indexed="8"/>
        <rFont val="宋体"/>
        <family val="3"/>
        <charset val="134"/>
      </rPr>
      <t>长治高新区国用（</t>
    </r>
    <r>
      <rPr>
        <sz val="10"/>
        <color indexed="8"/>
        <rFont val="Arial"/>
        <family val="2"/>
      </rPr>
      <t>2014</t>
    </r>
    <r>
      <rPr>
        <sz val="10"/>
        <color indexed="8"/>
        <rFont val="宋体"/>
        <family val="3"/>
        <charset val="134"/>
      </rPr>
      <t>）第</t>
    </r>
    <r>
      <rPr>
        <sz val="10"/>
        <color indexed="8"/>
        <rFont val="Arial"/>
        <family val="2"/>
      </rPr>
      <t>1010430040101</t>
    </r>
    <phoneticPr fontId="3" type="noConversion"/>
  </si>
  <si>
    <t>是</t>
  </si>
  <si>
    <t>地上</t>
  </si>
  <si>
    <t>办公</t>
    <phoneticPr fontId="7" type="noConversion"/>
  </si>
  <si>
    <t>地下</t>
  </si>
  <si>
    <t>车库</t>
  </si>
  <si>
    <t>车库</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</si>
  <si>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</si>
  <si>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</si>
  <si>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</si>
  <si>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</si>
  <si>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</si>
  <si>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</si>
  <si>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</si>
  <si>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</si>
  <si>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</si>
  <si>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</si>
  <si>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</si>
  <si>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</si>
  <si>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</si>
  <si>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</si>
  <si>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长治市太行西街南侧</t>
  </si>
  <si>
    <t>长治市</t>
  </si>
  <si>
    <t>住宅用地</t>
  </si>
  <si>
    <t>大于1并且小于或等于2</t>
  </si>
  <si>
    <t>拍卖</t>
  </si>
  <si>
    <t>2020-02-25</t>
  </si>
  <si>
    <t>长治市中兴房地产开发有限公司</t>
  </si>
  <si>
    <t>4星</t>
  </si>
  <si>
    <t>长治市潞州区五针街道路北侧</t>
  </si>
  <si>
    <t>大于1并且小于或等于2.8</t>
  </si>
  <si>
    <t>2019-11-26</t>
  </si>
  <si>
    <t>长治市世纪景源房地产开发有限公司</t>
  </si>
  <si>
    <t>山西宝佳房地产开发有限公司</t>
  </si>
  <si>
    <t>洛阳星展房地产开发有限公司</t>
  </si>
  <si>
    <t>长治市潞州区大辛庄镇小神村</t>
  </si>
  <si>
    <t>商业/办公用地</t>
  </si>
  <si>
    <t>大于1并且小于或等于4.8</t>
  </si>
  <si>
    <t>挂牌</t>
  </si>
  <si>
    <t>2019-11-25</t>
  </si>
  <si>
    <t>长治市鑫聚源房地产开发有限公司</t>
  </si>
  <si>
    <t>2星</t>
  </si>
  <si>
    <t>大于1并且小于或等于4.35</t>
  </si>
  <si>
    <t>长治市太行西街</t>
  </si>
  <si>
    <t>大于或等于1并且小于或等于2.9</t>
  </si>
  <si>
    <t>2019-09-26</t>
  </si>
  <si>
    <t>长治市天晚集北路</t>
  </si>
  <si>
    <t>大于或等于1并且小于或等于3</t>
  </si>
  <si>
    <t>长治市兴城惠民建设开发有限公司</t>
  </si>
  <si>
    <t>3星</t>
  </si>
  <si>
    <t>小于或等于4</t>
  </si>
  <si>
    <t>2019-09-23</t>
  </si>
  <si>
    <t>长治市财通置业有限责任公司</t>
  </si>
  <si>
    <t>小于或等于2</t>
  </si>
  <si>
    <t>长治市潞州区西旺村南侧</t>
  </si>
  <si>
    <t>工业用地</t>
  </si>
  <si>
    <t>大于或等于0.8</t>
  </si>
  <si>
    <t>招标</t>
  </si>
  <si>
    <t>2019-09-17</t>
  </si>
  <si>
    <t>长治市山安建设发展有限公司</t>
  </si>
  <si>
    <t>0星</t>
  </si>
  <si>
    <t>小于或等于0.8</t>
  </si>
  <si>
    <t>2019-09-05</t>
  </si>
  <si>
    <t>长治市同森茂冷链储藏有限公司</t>
  </si>
  <si>
    <t>长治市府后东街与英雄路交叉口</t>
  </si>
  <si>
    <t>其它用地</t>
  </si>
  <si>
    <t>小于或等于0.4</t>
  </si>
  <si>
    <t>2019-07-17</t>
  </si>
  <si>
    <t>长治市财通投资控股集团有限公司</t>
  </si>
  <si>
    <t>长治市府后东495号</t>
  </si>
  <si>
    <t>小于或等于2.8</t>
  </si>
  <si>
    <t>2019-07-03</t>
  </si>
  <si>
    <t>长治市兴泰房地产开发有限公司</t>
  </si>
  <si>
    <t>长治市南一环与丰恒路东北角</t>
  </si>
  <si>
    <t>大于或等于1</t>
  </si>
  <si>
    <t>2019-02-02</t>
  </si>
  <si>
    <t>长治县黎都城市建设投资开发有限公司</t>
  </si>
  <si>
    <t>长治市屯留区旧城</t>
  </si>
  <si>
    <t>大于1并且小于或等于2.53</t>
  </si>
  <si>
    <t>2019-01-23</t>
  </si>
  <si>
    <t>屯留县屯泰房地产开发有限公司</t>
  </si>
  <si>
    <t>1星</t>
  </si>
  <si>
    <t>长治高新区漳泽工业园</t>
  </si>
  <si>
    <t>2019-01-07</t>
  </si>
  <si>
    <t>长治高新区园区建设发展有限公司</t>
  </si>
  <si>
    <t>山西安得瑞防护设备有限公司</t>
  </si>
  <si>
    <t>长治高新区翟店工业园</t>
  </si>
  <si>
    <t>长治市智能终端产业园发展有限公司</t>
  </si>
  <si>
    <t>大于或等于0.7</t>
  </si>
  <si>
    <t>山西中科潞安紫外光电科技有限公司</t>
  </si>
  <si>
    <t>山西潞安太阳能科技有限责任公司</t>
  </si>
  <si>
    <t>山西中科潞安半导体技术研究院有限公司</t>
  </si>
  <si>
    <t>长治县韩店镇韩川村</t>
  </si>
  <si>
    <t>大于或等于0.6</t>
  </si>
  <si>
    <t>2018-12-21</t>
  </si>
  <si>
    <t>桑运芳</t>
  </si>
  <si>
    <t>长治市城区马坊头村</t>
  </si>
  <si>
    <t>大于1并且小于或等于3.5</t>
  </si>
  <si>
    <t>2018-12-03</t>
  </si>
  <si>
    <t>长治市美隆房地产开发有限公司</t>
  </si>
  <si>
    <t>大于1并且小于或等于3.4</t>
  </si>
  <si>
    <t>2018-12-01</t>
  </si>
  <si>
    <t>长治县北呈乡须村</t>
  </si>
  <si>
    <t>大于1并且小于或等于1.5</t>
  </si>
  <si>
    <t>2018-10-19</t>
  </si>
  <si>
    <t>常志伟</t>
  </si>
  <si>
    <t>长治县苏店镇小坟上村</t>
  </si>
  <si>
    <t>大于或等于0.5</t>
  </si>
  <si>
    <t>长治市莱克粉末冶金有限公司</t>
  </si>
  <si>
    <t>长治县八义镇官道村</t>
  </si>
  <si>
    <t>2018-09-13</t>
  </si>
  <si>
    <t>长治县万方建材有限公司</t>
  </si>
  <si>
    <t>长治县郝家庄乡安城村东北、207国道东侧</t>
  </si>
  <si>
    <t>长治县苏店镇南董村西</t>
  </si>
  <si>
    <t>2018-08-10</t>
  </si>
  <si>
    <t>陈树兵</t>
  </si>
  <si>
    <t>小于或等于1.5</t>
  </si>
  <si>
    <t>2018-08-06</t>
  </si>
  <si>
    <t>长治市泽泰橡塑制品有限公司</t>
  </si>
  <si>
    <t>长治县苏店镇西贾村</t>
  </si>
  <si>
    <t>2018-07-16</t>
  </si>
  <si>
    <t>长治县宏申洗煤有限责任公司</t>
  </si>
  <si>
    <t>长治县韩店镇经坊村(民生大厦东侧)</t>
  </si>
  <si>
    <t>大于1并且小于或等于2.5</t>
  </si>
  <si>
    <t>长治市郊区老顶山镇壶口村</t>
  </si>
  <si>
    <t>大于或等于1并且小于或等于2.2</t>
  </si>
  <si>
    <t>2018-05-18</t>
  </si>
  <si>
    <t>长治市合富房地产开发有限公司</t>
  </si>
  <si>
    <t>大于或等于1并且小于或等于1.5</t>
  </si>
  <si>
    <t>长治县太行山物流园区横一路与纵三路交叉口东南</t>
  </si>
  <si>
    <t>2018-01-18</t>
  </si>
  <si>
    <t>山西锦东融兴物贸有限公司</t>
  </si>
  <si>
    <t>长治县苏店镇南庄村</t>
  </si>
  <si>
    <t>长治县新黎都能源有限公司</t>
  </si>
  <si>
    <t>长治县韩川村西南(长陵公路西侧)</t>
  </si>
  <si>
    <t>小于或等于0.34</t>
  </si>
  <si>
    <t>长治县平安汽车综合性能检测(站)有限公司</t>
  </si>
  <si>
    <t>长治县八义镇南泉庄村207国道东侧</t>
  </si>
  <si>
    <t>小于或等于0.3</t>
  </si>
  <si>
    <t>长治县恒发燃气有限公司</t>
  </si>
  <si>
    <t>长治县八义镇官道村东</t>
  </si>
  <si>
    <t>山西五龙山农业开发有限公司</t>
  </si>
  <si>
    <t>长治县东和乡东和村东,长陵路东</t>
  </si>
  <si>
    <t>长治市诚创木制品有限公司</t>
  </si>
  <si>
    <t>长治县苏店镇西申家庄村迎泽街南</t>
  </si>
  <si>
    <t>大于1并且小于或等于3.02</t>
  </si>
  <si>
    <t>2018-01-15</t>
  </si>
  <si>
    <t>长治市华森房地产开发有限公司</t>
  </si>
  <si>
    <t>长治县韩店镇韩店村(207国道与新韩西街交叉口)</t>
  </si>
  <si>
    <t>大于1并且小于或等于5</t>
  </si>
  <si>
    <t>长治市恒达房地产开发有限公司</t>
  </si>
  <si>
    <t>长治县宋家庄村(南一环北,天晚集西,规划横二路南)</t>
  </si>
  <si>
    <t>2017-12-11</t>
  </si>
  <si>
    <t>山西仁德信房地产开发有限公司</t>
  </si>
  <si>
    <t>长治县宋家庄村(南一环北,天晚集西,规划横二路北)</t>
  </si>
  <si>
    <t>长治县韩店镇经坊村西北(黎都东街南侧)</t>
  </si>
  <si>
    <t>大于或等于1并且小于或等于6.8</t>
  </si>
  <si>
    <t>2017-11-20</t>
  </si>
  <si>
    <t>长治市尚诚房地产开发有限公司</t>
  </si>
  <si>
    <t>长治县南宋乡子乐沟村</t>
  </si>
  <si>
    <t>2017-09-07</t>
  </si>
  <si>
    <t>山西煤层气(天然气)集输有限公司</t>
  </si>
  <si>
    <t>长治县南宋乡南宋村北</t>
  </si>
  <si>
    <t>大于或等于0.5并且小于或等于1</t>
  </si>
  <si>
    <t>长治县南宋鑫通企业经营公司加油站</t>
  </si>
  <si>
    <t>长治县韩店镇经坊村(交通小区西侧)</t>
  </si>
  <si>
    <t>大于或等于1并且小于或等于3.5</t>
  </si>
  <si>
    <t>2017-07-10</t>
  </si>
  <si>
    <t>山西恒业国瑞置业有限公司</t>
  </si>
  <si>
    <t>长治高新区史家庄村</t>
  </si>
  <si>
    <t>大于1并且小于或等于3.7</t>
  </si>
  <si>
    <t>2017-06-16</t>
  </si>
  <si>
    <t>山西兆盛房地产开发有限公司</t>
  </si>
  <si>
    <t>长治高新区西式工业园</t>
  </si>
  <si>
    <t>长治县荫城镇王坊村北(长陵路东侧)</t>
  </si>
  <si>
    <t>2017-01-05</t>
  </si>
  <si>
    <t>山西长治雅瑞地毯有限公司</t>
  </si>
  <si>
    <t>长治县荫城镇荫城村朝阳路与规划路十字路东南角处</t>
  </si>
  <si>
    <t>山西仁爱金座房地产有限公司</t>
  </si>
  <si>
    <t>长治县东和乡辛呈村东(长晋二级路西侧)</t>
  </si>
  <si>
    <t>小于或等于1</t>
  </si>
  <si>
    <t>山西源通洁净能源有限公司</t>
  </si>
  <si>
    <t>长治高新区大化村</t>
  </si>
  <si>
    <t>2016-12-13</t>
  </si>
  <si>
    <t>中国石油天然气股份有限公司长治煤层气勘探开发分公司</t>
  </si>
  <si>
    <t>长治市郊区大辛庄镇小辛庄村果园村</t>
  </si>
  <si>
    <t>2016-11-11</t>
  </si>
  <si>
    <t>长治市郊区住房保障和城乡建设管理局</t>
  </si>
  <si>
    <t>长治市华丰北路</t>
  </si>
  <si>
    <t>大于1并且小于或等于4.2</t>
  </si>
  <si>
    <t>2016-06-15</t>
  </si>
  <si>
    <t>长治市国谐置业有限公司</t>
  </si>
  <si>
    <t>长治县城南环路与新建南路交叉路口西南角处</t>
  </si>
  <si>
    <t>大于或等于1并且小于或等于6.2</t>
  </si>
  <si>
    <t>2015-12-09</t>
  </si>
  <si>
    <t>长治市新领房地产开发有限公司</t>
  </si>
  <si>
    <t>长治县农业物流园区内,横二路与纵二路交叉路口东南角东处</t>
  </si>
  <si>
    <t>大于或等于1并且小于或等于3.7</t>
  </si>
  <si>
    <t>山西太行山农产品有限公司</t>
  </si>
  <si>
    <t>长治县城黎都西街路北,县检察院西侧</t>
  </si>
  <si>
    <t>小于或等于1.2</t>
  </si>
  <si>
    <t>长治山煤凯德世家房地产开发有限公司</t>
  </si>
  <si>
    <t>长治县东师路辉河村段路南,辉河村西南处</t>
  </si>
  <si>
    <t>长治县民爆器材专营分公司</t>
  </si>
  <si>
    <t>长治县农业物流园区内,横二路与纵二路交叉路口东南角处</t>
  </si>
  <si>
    <t>长治县长长路北呈乡北和村段路北</t>
  </si>
  <si>
    <t>长治县潞泽小杂粮储藏有限公司</t>
  </si>
  <si>
    <t>长治县县城体育二路南50米,世纪苑住宅小区西侧</t>
  </si>
  <si>
    <t>小于或等于2.5</t>
  </si>
  <si>
    <t>2015-09-30</t>
  </si>
  <si>
    <t>长治市文汇学校</t>
  </si>
  <si>
    <t>长治县城光明北路路东(县大医院西南)</t>
  </si>
  <si>
    <t>长治县中元房地产开发有限公司</t>
  </si>
  <si>
    <t>长治县韩店镇韩川村,长陵路东</t>
  </si>
  <si>
    <t>大于或等于1并且小于或等于2</t>
  </si>
  <si>
    <t>宋路样</t>
  </si>
  <si>
    <t>长治市城区屈家庄村北</t>
  </si>
  <si>
    <t>小于或等于3</t>
  </si>
  <si>
    <t>2015-06-29</t>
  </si>
  <si>
    <t>山西潞宝集团焦化有限公司</t>
  </si>
  <si>
    <t>长治市郊区堠北庄镇湛上村</t>
  </si>
  <si>
    <t>大于1并且小于或等于4</t>
  </si>
  <si>
    <t>中电科鹿泉房地产开发有限公司</t>
  </si>
  <si>
    <t>长治市郊区关村</t>
  </si>
  <si>
    <t>2015-03-31</t>
  </si>
  <si>
    <t>山西启东房地产开发有限公司</t>
  </si>
  <si>
    <t>长治市郊区大辛庄镇梁家庄村</t>
  </si>
  <si>
    <t>大于1并且小于或等于3.8</t>
  </si>
  <si>
    <t>长治市府后西街</t>
  </si>
  <si>
    <t>2014-10-20</t>
  </si>
  <si>
    <t>山西潞安房地产开发有限公司</t>
  </si>
  <si>
    <t>长治市英雄中路与府后东街交界处</t>
  </si>
  <si>
    <t>大于或等于1并且小于或等于3.54</t>
  </si>
  <si>
    <t>2014-09-18</t>
  </si>
  <si>
    <t>长治市中宏房地产开发有限公司</t>
  </si>
  <si>
    <t>长治县县城新建南路路西,县污水处理厂北侧</t>
  </si>
  <si>
    <t>大于或等于1并且小于或等于3.2</t>
  </si>
  <si>
    <t>2014-09-06</t>
  </si>
  <si>
    <t>长治县永恒房地产开发有限公司</t>
  </si>
  <si>
    <t>长治县县城东汉村金海岸住宅小区北侧</t>
  </si>
  <si>
    <t>长治县金海岸房地产有限公司</t>
  </si>
  <si>
    <t>长治县县城新建南路路东,金申嘉园住宅小区南处</t>
  </si>
  <si>
    <t>大于或等于2.5并且小于或等于3</t>
  </si>
  <si>
    <t>山西东岳房地产开发有限公司</t>
  </si>
  <si>
    <t>长治县县城金海岸住宅小区西南角处</t>
  </si>
  <si>
    <t>已全部缴纳</t>
  </si>
  <si>
    <t>正常</t>
  </si>
  <si>
    <t>科教用地</t>
  </si>
  <si>
    <t>科教用地</t>
    <phoneticPr fontId="31" type="noConversion"/>
  </si>
  <si>
    <t>商业办公用地</t>
  </si>
  <si>
    <t>商业办公用地</t>
    <phoneticPr fontId="31" type="noConversion"/>
  </si>
  <si>
    <t>一般</t>
  </si>
  <si>
    <t>较好</t>
  </si>
  <si>
    <t>五通</t>
  </si>
  <si>
    <t>较规则</t>
  </si>
  <si>
    <t>较规则</t>
    <phoneticPr fontId="31" type="noConversion"/>
  </si>
  <si>
    <t>五通</t>
    <phoneticPr fontId="31" type="noConversion"/>
  </si>
  <si>
    <t>长治市潞州区大辛庄镇小神村</t>
    <phoneticPr fontId="143" type="noConversion"/>
  </si>
  <si>
    <t>长治市太行西街</t>
    <phoneticPr fontId="143" type="noConversion"/>
  </si>
  <si>
    <r>
      <rPr>
        <sz val="10"/>
        <rFont val="宋体"/>
        <family val="3"/>
        <charset val="134"/>
      </rPr>
      <t>物流园区星淮海彩灯艺术有限公司东</t>
    </r>
    <r>
      <rPr>
        <sz val="10"/>
        <rFont val="Arial"/>
        <family val="2"/>
      </rPr>
      <t>,</t>
    </r>
    <r>
      <rPr>
        <sz val="10"/>
        <rFont val="宋体"/>
        <family val="3"/>
        <charset val="134"/>
      </rPr>
      <t>长治市海珠商贸有限公司西北</t>
    </r>
    <phoneticPr fontId="143" type="noConversion"/>
  </si>
  <si>
    <t>高新区北二环路与太行北路交叉口东南角</t>
    <phoneticPr fontId="6" type="noConversion"/>
  </si>
  <si>
    <t>楼面地价</t>
  </si>
  <si>
    <t>全部缴纳</t>
  </si>
  <si>
    <t>已包含在土地取得成本中</t>
  </si>
  <si>
    <t>未包含在土地购买价格中</t>
  </si>
  <si>
    <t>成本法</t>
  </si>
  <si>
    <t>假设开发法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</si>
</sst>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56" fillId="7" borderId="0" xfId="17" applyFill="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 fillId="5" borderId="0" xfId="17" applyFon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513172</xdr:colOff>
      <xdr:row>36</xdr:row>
      <xdr:rowOff>123039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28572" cy="6295239"/>
        </a:xfrm>
        <a:prstGeom prst="rect">
          <a:avLst/>
        </a:prstGeom>
      </xdr:spPr>
    </xdr:pic>
    <xdr:clientData/>
  </xdr:twoCellAnchor>
  <xdr:twoCellAnchor editAs="oneCell">
    <xdr:from>
      <xdr:col>0</xdr:col>
      <xdr:colOff>0</xdr:colOff>
      <xdr:row>38</xdr:row>
      <xdr:rowOff>0</xdr:rowOff>
    </xdr:from>
    <xdr:to>
      <xdr:col>14</xdr:col>
      <xdr:colOff>122610</xdr:colOff>
      <xdr:row>66</xdr:row>
      <xdr:rowOff>170829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9723810" cy="4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山西省长治市高新区北二环路与太行北路交叉口东南角出让国有建设用地使用权及在建建筑物房地产市场价值预评估</v>
      </c>
    </row>
    <row r="3" spans="1:2" s="1593" customFormat="1">
      <c r="A3" s="1591" t="s">
        <v>1216</v>
      </c>
      <c r="B3" s="1592">
        <f>'预评函-封皮'!B40</f>
        <v>0</v>
      </c>
    </row>
    <row r="4" spans="1:2" s="1593" customFormat="1">
      <c r="A4" s="1591" t="s">
        <v>1217</v>
      </c>
      <c r="B4" s="1592" t="str">
        <f ca="1">'预评函-封皮'!B46</f>
        <v>陈颖（注册号：1120060040)、叶凌（注册号：1119970111)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受贵公司委托，我公司对山西省长治市高新区北二环路与太行北路交叉口东南角出让国有建设用地使用权及在建建筑物房地产抵押价值进行了预评估。</v>
      </c>
    </row>
    <row r="7" spans="1:2" s="1593" customFormat="1">
      <c r="A7" s="1591" t="s">
        <v>1259</v>
      </c>
      <c r="B7" s="1592" t="str">
        <f>'预评函-1'!A7</f>
        <v>估价对象为山西省长治市高新区北二环路与太行北路交叉口东南角出让国有建设用地使用权及在建建筑物房地产，为所有。根据《国有土地使用证》[]，估价对象（分摊）出让国有建设用地使用权面积为15680.97平方米，建筑面积为36467.32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山西省长治市高新区北二环路与太行北路交叉口东南角出让国有建设用地使用权及在建建筑物房地产,属开发建设的，该项目尚在开发建设中。根据《国有土地使用证》[]，估价对象（分摊）出让国有建设用地使用权面积为15680.97平方米，规划建筑面积为36467.32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2020年5月15日</v>
      </c>
    </row>
    <row r="13" spans="1:2" s="1593" customFormat="1">
      <c r="A13" s="1591" t="s">
        <v>1222</v>
      </c>
      <c r="B13" s="1592" t="str">
        <f>'预评函-1'!A18</f>
        <v>本次估价的“房地产价值”是指在正常市场情况下，在价值时点2020年5月15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本次评估采用的主估价方法为成本法和假设开发法。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22282</v>
      </c>
    </row>
    <row r="21" spans="1:2" s="1593" customFormat="1">
      <c r="A21" s="1591" t="s">
        <v>1230</v>
      </c>
      <c r="B21" s="1592">
        <f ca="1">'预评函-2'!D7</f>
        <v>6110</v>
      </c>
    </row>
    <row r="22" spans="1:2" s="1593" customFormat="1">
      <c r="A22" s="1591" t="s">
        <v>1231</v>
      </c>
      <c r="B22" s="1592" t="str">
        <f ca="1">'预评函-2'!D6</f>
        <v>贰亿贰仟贰佰捌拾贰万元整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22282</v>
      </c>
    </row>
    <row r="31" spans="1:2" s="1593" customFormat="1">
      <c r="A31" s="1591" t="s">
        <v>1269</v>
      </c>
      <c r="B31" s="1592">
        <f ca="1">'预评函-2'!D15</f>
        <v>6110</v>
      </c>
    </row>
    <row r="32" spans="1:2" s="1593" customFormat="1">
      <c r="A32" s="1591" t="s">
        <v>1236</v>
      </c>
      <c r="B32" s="1592" t="str">
        <f ca="1">'预评函-2'!D14</f>
        <v>贰亿贰仟贰佰捌拾贰万元整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山西省长治市高新区北二环路与太行北路交叉口东南角出让国有建设用地使用权及在建建筑物房地产</v>
      </c>
    </row>
    <row r="42" spans="1:2" s="1593" customFormat="1">
      <c r="A42" s="1591" t="s">
        <v>1283</v>
      </c>
      <c r="B42" s="1592" t="str">
        <f>'预评函-3'!B2</f>
        <v>建筑面积</v>
      </c>
    </row>
    <row r="43" spans="1:2" s="1593" customFormat="1">
      <c r="A43" s="1591" t="s">
        <v>1284</v>
      </c>
      <c r="B43" s="1592">
        <f>'预评函-3'!B4</f>
        <v>36467.32</v>
      </c>
    </row>
    <row r="44" spans="1:2" s="1593" customFormat="1">
      <c r="A44" s="1591" t="s">
        <v>1268</v>
      </c>
      <c r="B44" s="1592" t="str">
        <f>'预评函-3'!C2</f>
        <v>(分摊)土地面积</v>
      </c>
    </row>
    <row r="45" spans="1:2" s="1593" customFormat="1">
      <c r="A45" s="1591" t="s">
        <v>1240</v>
      </c>
      <c r="B45" s="1592">
        <f>'预评函-3'!C4</f>
        <v>15680.97</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陈颖</v>
      </c>
    </row>
    <row r="71" spans="1:2">
      <c r="A71" s="1591" t="s">
        <v>1256</v>
      </c>
      <c r="B71" s="1592">
        <f ca="1">'预评函-4'!B4</f>
        <v>1120060040</v>
      </c>
    </row>
    <row r="72" spans="1:2">
      <c r="A72" s="1591" t="s">
        <v>1257</v>
      </c>
      <c r="B72" s="1600" t="str">
        <f>'预评函-4'!A5</f>
        <v>叶凌</v>
      </c>
    </row>
    <row r="73" spans="1:2" s="1587" customFormat="1" ht="15" thickBot="1">
      <c r="A73" s="1594" t="s">
        <v>1258</v>
      </c>
      <c r="B73" s="1595">
        <f ca="1">'预评函-4'!B5</f>
        <v>1119970111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西省长治市高新区北二环路与太行北路交叉口东南角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1" t="s">
        <v>860</v>
      </c>
      <c r="C54" s="2018" t="s">
        <v>1276</v>
      </c>
    </row>
    <row r="55" spans="1:4">
      <c r="A55" s="2996"/>
      <c r="B55" s="2021" t="s">
        <v>861</v>
      </c>
      <c r="C55" s="2018" t="s">
        <v>1277</v>
      </c>
    </row>
    <row r="56" spans="1:4">
      <c r="A56" s="2996"/>
      <c r="B56" s="2021" t="s">
        <v>862</v>
      </c>
      <c r="C56" s="2018" t="s">
        <v>1281</v>
      </c>
    </row>
    <row r="57" spans="1:4">
      <c r="A57" s="299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05" t="str">
        <f>IF(B10="北京市","北京市",C10)&amp;F10&amp;IF(结果表!G1="在建","出让国有建设用地使用权及在建建筑物",IF(结果表!G1="土地","出让国有建设用地使用权",))&amp;B9&amp;"预评估"</f>
        <v>山西省长治市高新区北二环路与太行北路交叉口东南角出让国有建设用地使用权及在建建筑物房地产市场价值预评估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山西省长治市高新区北二环路与太行北路交叉口东南角出让国有建设用地使用权及在建建筑物房地产抵押价值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山西省长治市高新区北二环路与太行北路交叉口东南角出让国有建设用地使用权及在建建筑物房地产</v>
      </c>
    </row>
    <row r="3" spans="1:19" ht="18" customHeight="1">
      <c r="A3" s="2034" t="s">
        <v>1772</v>
      </c>
      <c r="B3" s="2035"/>
      <c r="C3" s="2036" t="s">
        <v>1773</v>
      </c>
      <c r="D3" s="2035">
        <v>43966</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1120060040</v>
      </c>
      <c r="D4" s="2038" t="s">
        <v>3057</v>
      </c>
      <c r="E4" s="1038">
        <f ca="1">SUMIF(注册房地产估价师,D4,估价师及机构信息!B3:B24)</f>
        <v>1119970111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陈颖（注册号：1120060040)、叶凌（注册号：1119970111)</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08"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09"/>
      <c r="E9" s="2058"/>
      <c r="F9" s="2060"/>
      <c r="G9" s="2061"/>
      <c r="H9" s="2061"/>
      <c r="I9" s="2061"/>
      <c r="J9" s="2041"/>
      <c r="K9" s="2053"/>
      <c r="L9" s="2027"/>
      <c r="M9" s="2027"/>
      <c r="N9" s="2028"/>
      <c r="O9" s="2029"/>
      <c r="P9" s="2028"/>
      <c r="Q9" s="2028"/>
      <c r="R9" s="2028"/>
    </row>
    <row r="10" spans="1:19" ht="18" customHeight="1" thickTop="1">
      <c r="A10" s="2062" t="s">
        <v>1781</v>
      </c>
      <c r="B10" s="2063" t="s">
        <v>3060</v>
      </c>
      <c r="C10" s="3282" t="s">
        <v>3061</v>
      </c>
      <c r="D10" s="2046"/>
      <c r="E10" s="2064" t="s">
        <v>1782</v>
      </c>
      <c r="F10" s="3283" t="s">
        <v>3325</v>
      </c>
      <c r="G10" s="2065"/>
      <c r="H10" s="2066"/>
      <c r="I10" s="2046"/>
      <c r="J10" s="2041"/>
      <c r="K10" s="2053"/>
      <c r="L10" s="2027"/>
      <c r="M10" s="2027"/>
      <c r="N10" s="2028"/>
      <c r="O10" s="2029"/>
      <c r="P10" s="2028"/>
      <c r="Q10" s="2028"/>
      <c r="R10" s="2028"/>
    </row>
    <row r="11" spans="1:19" ht="18" customHeight="1">
      <c r="A11" s="2067" t="s">
        <v>1783</v>
      </c>
      <c r="B11" s="2068" t="s">
        <v>3062</v>
      </c>
      <c r="C11" s="2069"/>
      <c r="D11" s="2070"/>
      <c r="E11" s="2041"/>
      <c r="F11" s="2041"/>
      <c r="G11" s="2041"/>
      <c r="H11" s="2041"/>
      <c r="I11" s="2041"/>
      <c r="J11" s="2041"/>
      <c r="K11" s="2053"/>
      <c r="L11" s="2027"/>
      <c r="M11" s="2027"/>
      <c r="N11" s="2028"/>
      <c r="O11" s="2029"/>
      <c r="P11" s="2028"/>
      <c r="Q11" s="2028"/>
      <c r="R11" s="2028"/>
    </row>
    <row r="12" spans="1:19" ht="18" customHeight="1">
      <c r="A12" s="2071" t="s">
        <v>1784</v>
      </c>
      <c r="B12" s="2068" t="s">
        <v>3063</v>
      </c>
      <c r="C12" s="2072" t="s">
        <v>1785</v>
      </c>
      <c r="D12" s="2073" t="s">
        <v>1786</v>
      </c>
      <c r="E12" s="2073" t="s">
        <v>1787</v>
      </c>
      <c r="F12" s="2073" t="s">
        <v>1788</v>
      </c>
      <c r="G12" s="2073" t="s">
        <v>1789</v>
      </c>
      <c r="H12" s="2073" t="s">
        <v>1790</v>
      </c>
      <c r="I12" s="2073" t="s">
        <v>1791</v>
      </c>
      <c r="J12" s="2041"/>
      <c r="K12" s="2053"/>
      <c r="L12" s="2027"/>
      <c r="M12" s="2027"/>
      <c r="N12" s="2028"/>
      <c r="O12" s="2029"/>
      <c r="P12" s="2028"/>
      <c r="Q12" s="2028"/>
      <c r="R12" s="2028"/>
    </row>
    <row r="13" spans="1:19" ht="18" customHeight="1">
      <c r="A13" s="2074"/>
      <c r="B13" s="2075"/>
      <c r="C13" s="2076" t="s">
        <v>1792</v>
      </c>
      <c r="D13" s="2077"/>
      <c r="E13" s="2077"/>
      <c r="F13" s="2077">
        <v>59444</v>
      </c>
      <c r="G13" s="2077">
        <v>59444</v>
      </c>
      <c r="H13" s="2077"/>
      <c r="I13" s="1047"/>
      <c r="J13" s="2041"/>
      <c r="K13" s="2053"/>
      <c r="L13" s="2027"/>
      <c r="M13" s="2027"/>
      <c r="N13" s="2028"/>
      <c r="O13" s="2029"/>
      <c r="P13" s="2028"/>
      <c r="Q13" s="2028"/>
      <c r="R13" s="2028"/>
    </row>
    <row r="14" spans="1:19" ht="18" customHeight="1">
      <c r="A14" s="2074"/>
      <c r="B14" s="2075"/>
      <c r="C14" s="2076" t="s">
        <v>1793</v>
      </c>
      <c r="D14" s="1050"/>
      <c r="E14" s="1050"/>
      <c r="F14" s="1050">
        <v>50</v>
      </c>
      <c r="G14" s="1050"/>
      <c r="H14" s="1050"/>
      <c r="I14" s="1050"/>
      <c r="J14" s="2041"/>
      <c r="K14" s="2078"/>
      <c r="L14" s="2027"/>
      <c r="M14" s="2027"/>
      <c r="N14" s="2028"/>
      <c r="O14" s="2029"/>
      <c r="P14" s="2028"/>
      <c r="Q14" s="2028"/>
      <c r="R14" s="2028"/>
    </row>
    <row r="15" spans="1:19" ht="18" customHeight="1">
      <c r="A15" s="2062"/>
      <c r="B15" s="2079"/>
      <c r="C15" s="2076" t="s">
        <v>1794</v>
      </c>
      <c r="D15" s="1049" t="str">
        <f>IF(B12="出让",IF(D13="","",ROUNDDOWN(MIN((D13-$D$3)/365,D14),2)),D14)</f>
        <v/>
      </c>
      <c r="E15" s="1049" t="str">
        <f>IF(B12="出让",IF(E13="","",ROUNDDOWN(MIN((E13-$D$3)/365,E14),2)),E14)</f>
        <v/>
      </c>
      <c r="F15" s="1049">
        <f>IF(B12="出让",IF(F13="","",ROUNDDOWN(MIN((F13-$D$3)/365,F14),2)),F14)</f>
        <v>42.4</v>
      </c>
      <c r="G15" s="1049">
        <f>IF(B12="出让",IF(G13="","",ROUNDDOWN(MIN((G13-$D$3)/365,G14),2)),G14)</f>
        <v>42.4</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15"/>
      <c r="C16" s="3016"/>
      <c r="D16" s="3017"/>
      <c r="E16" s="2083" t="s">
        <v>1796</v>
      </c>
      <c r="F16" s="3018"/>
      <c r="G16" s="3019"/>
      <c r="H16" s="3019"/>
      <c r="I16" s="3020"/>
      <c r="J16" s="2028"/>
      <c r="K16" s="2080"/>
      <c r="L16" s="2081"/>
      <c r="M16" s="2081"/>
      <c r="N16" s="2082"/>
      <c r="O16" s="2081"/>
      <c r="P16" s="2082"/>
      <c r="Q16" s="2028"/>
      <c r="R16" s="2028"/>
    </row>
    <row r="17" spans="1:22" ht="18" customHeight="1">
      <c r="A17" s="2084" t="s">
        <v>1797</v>
      </c>
      <c r="B17" s="2034" t="s">
        <v>1798</v>
      </c>
      <c r="C17" s="1054">
        <f>'数据-汇总表'!E3</f>
        <v>36467.32</v>
      </c>
      <c r="D17" s="2085" t="s">
        <v>1799</v>
      </c>
      <c r="E17" s="3021" t="s">
        <v>1800</v>
      </c>
      <c r="F17" s="3022"/>
      <c r="G17" s="3022"/>
      <c r="H17" s="3022"/>
      <c r="I17" s="3023"/>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15680.97</v>
      </c>
      <c r="D18" s="2088" t="s">
        <v>1799</v>
      </c>
      <c r="E18" s="3024" t="s">
        <v>1803</v>
      </c>
      <c r="F18" s="3025"/>
      <c r="G18" s="3025"/>
      <c r="H18" s="3025"/>
      <c r="I18" s="3026"/>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3064</v>
      </c>
      <c r="D19" s="2090" t="s">
        <v>1806</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1807</v>
      </c>
      <c r="B20" s="3011" t="s">
        <v>1808</v>
      </c>
      <c r="C20" s="3012"/>
      <c r="D20" s="3013" t="s">
        <v>1809</v>
      </c>
      <c r="E20" s="3014"/>
      <c r="F20" s="2095" t="s">
        <v>1810</v>
      </c>
      <c r="G20" s="2041"/>
      <c r="H20" s="2041"/>
      <c r="I20" s="2041"/>
      <c r="J20" s="2041"/>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2998" t="s">
        <v>1823</v>
      </c>
      <c r="B27" s="2062"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2998"/>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2998"/>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2999"/>
      <c r="B30" s="2034" t="s">
        <v>1827</v>
      </c>
      <c r="C30" s="3000"/>
      <c r="D30" s="3001"/>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02" t="s">
        <v>1828</v>
      </c>
      <c r="B31" s="2124"/>
      <c r="C31" s="2125" t="str">
        <f>IF(B31="现房","成新及维护状况正常否",IF(B31="在建","工程状态是否正常",IF(B31="土地","是否闲置","-")))</f>
        <v>-</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03"/>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03"/>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2997" t="s">
        <v>1837</v>
      </c>
      <c r="T34" s="2132" t="str">
        <f>NUMBERSTRING(7-K34,1)&amp;"通"</f>
        <v>七通</v>
      </c>
      <c r="U34" s="2028"/>
      <c r="V34" s="2028"/>
    </row>
    <row r="35" spans="1:22" ht="18" customHeight="1">
      <c r="A35" s="2133"/>
      <c r="B35" s="3004" t="s">
        <v>1838</v>
      </c>
      <c r="C35" s="3004"/>
      <c r="D35" s="3004"/>
      <c r="E35" s="3004"/>
      <c r="F35" s="2134" t="str">
        <f>C10</f>
        <v>山西省长治市</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15680.97</v>
      </c>
      <c r="B3" s="14">
        <f>IF(C3="否",G5-AT5,G5)</f>
        <v>36467.32</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36467.32</v>
      </c>
      <c r="H5" s="16">
        <f t="shared" ref="H5:AT5" si="0">SUM(H13:H656)</f>
        <v>35343.68</v>
      </c>
      <c r="I5" s="16">
        <f t="shared" si="0"/>
        <v>32963.68</v>
      </c>
      <c r="J5" s="16">
        <f t="shared" si="0"/>
        <v>0</v>
      </c>
      <c r="K5" s="16">
        <f t="shared" si="0"/>
        <v>2380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1123.6399999999999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1123.6399999999999</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36467.32</v>
      </c>
      <c r="BA5" s="18">
        <f t="shared" si="1"/>
        <v>35343.68</v>
      </c>
      <c r="BB5" s="18">
        <f t="shared" si="1"/>
        <v>32963.68</v>
      </c>
      <c r="BC5" s="18">
        <f t="shared" si="1"/>
        <v>2380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1123.6399999999999</v>
      </c>
      <c r="BM5" s="18">
        <f t="shared" si="1"/>
        <v>0</v>
      </c>
      <c r="BN5" s="18">
        <f t="shared" si="1"/>
        <v>0</v>
      </c>
      <c r="BO5" s="18">
        <f t="shared" si="1"/>
        <v>0</v>
      </c>
      <c r="BP5" s="18">
        <f t="shared" si="1"/>
        <v>0</v>
      </c>
      <c r="BQ5" s="18">
        <f t="shared" si="1"/>
        <v>0</v>
      </c>
      <c r="BR5" s="18">
        <f t="shared" si="1"/>
        <v>1123.6399999999999</v>
      </c>
      <c r="BS5" s="18">
        <f t="shared" si="1"/>
        <v>0</v>
      </c>
      <c r="BT5" s="19">
        <f t="shared" si="1"/>
        <v>0</v>
      </c>
    </row>
    <row r="6" spans="1:72" s="2175" customFormat="1" ht="12.75">
      <c r="A6" s="15" t="s">
        <v>1875</v>
      </c>
      <c r="B6" s="2172"/>
      <c r="C6" s="2172"/>
      <c r="D6" s="2173"/>
      <c r="E6" s="16">
        <f>H6+AC6+AT6</f>
        <v>15680.97</v>
      </c>
      <c r="F6" s="16" t="s">
        <v>1</v>
      </c>
      <c r="G6" s="16" t="s">
        <v>2</v>
      </c>
      <c r="H6" s="20">
        <f>SUMIF(I$12:AB$12,"总值",I6:AB6)</f>
        <v>15197.8</v>
      </c>
      <c r="I6" s="16">
        <f t="shared" ref="I6:AB6" si="2">ROUND($A$3*I5/$B$3,2)</f>
        <v>14174.4</v>
      </c>
      <c r="J6" s="16">
        <f t="shared" si="2"/>
        <v>0</v>
      </c>
      <c r="K6" s="16">
        <f t="shared" si="2"/>
        <v>1023.4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483.17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483.17</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15680.97</v>
      </c>
      <c r="AZ6" s="16" t="s">
        <v>3</v>
      </c>
      <c r="BA6" s="16">
        <f>ROUND($AY$6*BA5/$AZ$5,2)</f>
        <v>15197.8</v>
      </c>
      <c r="BB6" s="16">
        <f>ROUND($AY$6*BB5/$AZ$5,2)</f>
        <v>14174.4</v>
      </c>
      <c r="BC6" s="16">
        <f t="shared" ref="BC6:BH6" si="4">ROUND($AY$6*BC5/$AZ$5,2)</f>
        <v>1023.4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483.17</v>
      </c>
      <c r="BM6" s="16">
        <f t="shared" si="5"/>
        <v>0</v>
      </c>
      <c r="BN6" s="16">
        <f t="shared" si="5"/>
        <v>0</v>
      </c>
      <c r="BO6" s="16">
        <f t="shared" si="5"/>
        <v>0</v>
      </c>
      <c r="BP6" s="16">
        <f t="shared" si="5"/>
        <v>0</v>
      </c>
      <c r="BQ6" s="16">
        <f t="shared" si="5"/>
        <v>0</v>
      </c>
      <c r="BR6" s="16">
        <f t="shared" si="5"/>
        <v>483.17</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3067</v>
      </c>
      <c r="J9" s="981"/>
      <c r="K9" s="2189" t="s">
        <v>3069</v>
      </c>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3070</v>
      </c>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70</v>
      </c>
      <c r="J11" s="2201"/>
      <c r="K11" s="2200" t="s">
        <v>70</v>
      </c>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v>
      </c>
      <c r="BC12" s="2210" t="str">
        <f>K11</f>
        <v>——</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63.75">
      <c r="A13" s="1272" t="s">
        <v>3065</v>
      </c>
      <c r="B13" s="1272"/>
      <c r="C13" s="1272"/>
      <c r="D13" s="2211" t="s">
        <v>3066</v>
      </c>
      <c r="E13" s="16">
        <f>IF($C$3="是",ROUND($A$3*G13/$B$3,2),ROUND($A$3*(G13-AT13)/$B$3,2))</f>
        <v>15680.97</v>
      </c>
      <c r="F13" s="32"/>
      <c r="G13" s="33">
        <f>H13+AC13+AT13</f>
        <v>36467.32</v>
      </c>
      <c r="H13" s="20">
        <f>SUMIF(I$12:AB$12,"总值",I13:AB13)</f>
        <v>35343.68</v>
      </c>
      <c r="I13" s="2212">
        <v>32963.68</v>
      </c>
      <c r="J13" s="2212"/>
      <c r="K13" s="2212">
        <f>68*35</f>
        <v>2380</v>
      </c>
      <c r="L13" s="2212"/>
      <c r="M13" s="2212"/>
      <c r="N13" s="2212"/>
      <c r="O13" s="2212"/>
      <c r="P13" s="2212"/>
      <c r="Q13" s="2212"/>
      <c r="R13" s="2212"/>
      <c r="S13" s="2212"/>
      <c r="T13" s="2212"/>
      <c r="U13" s="2212"/>
      <c r="V13" s="2212"/>
      <c r="W13" s="2212"/>
      <c r="X13" s="2212"/>
      <c r="Y13" s="2212"/>
      <c r="Z13" s="2212"/>
      <c r="AA13" s="2212"/>
      <c r="AB13" s="2212"/>
      <c r="AC13" s="16">
        <f>SUMIF(AD$12:AS$12,"总值",AD13:AS13)</f>
        <v>1123.6399999999999</v>
      </c>
      <c r="AD13" s="2213"/>
      <c r="AE13" s="2213"/>
      <c r="AF13" s="2213"/>
      <c r="AG13" s="2213"/>
      <c r="AH13" s="2213"/>
      <c r="AI13" s="2213"/>
      <c r="AJ13" s="2213"/>
      <c r="AK13" s="2213"/>
      <c r="AL13" s="2213"/>
      <c r="AM13" s="2213"/>
      <c r="AN13" s="2213">
        <f>3503.64-K13</f>
        <v>1123.6399999999999</v>
      </c>
      <c r="AO13" s="2213"/>
      <c r="AP13" s="2213"/>
      <c r="AQ13" s="2213"/>
      <c r="AR13" s="2213"/>
      <c r="AS13" s="2213"/>
      <c r="AT13" s="2214"/>
      <c r="AU13" s="2215"/>
      <c r="AV13" s="11" t="str">
        <f t="shared" ref="AV13:AX17" si="6">A13</f>
        <v>长治高新区国用（2014）第1010430040101</v>
      </c>
      <c r="AW13" s="11">
        <f t="shared" si="6"/>
        <v>0</v>
      </c>
      <c r="AX13" s="11">
        <f t="shared" si="6"/>
        <v>0</v>
      </c>
      <c r="AY13" s="1806">
        <f>ROUND($AY$6*AZ13/$AZ$5,2)</f>
        <v>15680.97</v>
      </c>
      <c r="AZ13" s="16">
        <f>BA13+BL13</f>
        <v>36467.32</v>
      </c>
      <c r="BA13" s="16">
        <f>SUM(BB13:BK13)</f>
        <v>35343.68</v>
      </c>
      <c r="BB13" s="16">
        <f>IF($D13="是",I13-J13,0)</f>
        <v>32963.68</v>
      </c>
      <c r="BC13" s="16">
        <f>IF($D13="是",K13-L13,0)</f>
        <v>2380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1123.6399999999999</v>
      </c>
      <c r="BM13" s="16">
        <f>IF($D13="是",AD13-AE13,0)</f>
        <v>0</v>
      </c>
      <c r="BN13" s="16">
        <f>IF($D13="是",AF13-AG13,0)</f>
        <v>0</v>
      </c>
      <c r="BO13" s="16">
        <f>IF($D13="是",AH13-AI13,0)</f>
        <v>0</v>
      </c>
      <c r="BP13" s="16">
        <f>IF($D13="是",AJ13-AK13,0)</f>
        <v>0</v>
      </c>
      <c r="BQ13" s="16">
        <f>IF($D13="是",AL13-AM13,0)</f>
        <v>0</v>
      </c>
      <c r="BR13" s="16">
        <f>IF($D13="是",AN13-AO13,0)</f>
        <v>1123.6399999999999</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38" t="s">
        <v>1934</v>
      </c>
      <c r="B2" s="3038"/>
      <c r="C2" s="3038"/>
      <c r="D2" s="967" t="s">
        <v>1910</v>
      </c>
      <c r="E2" s="2225" t="s">
        <v>1911</v>
      </c>
      <c r="F2" s="1392"/>
      <c r="G2" s="2226"/>
      <c r="H2" s="2227"/>
      <c r="I2" s="2228" t="s">
        <v>1935</v>
      </c>
      <c r="J2" s="1392"/>
      <c r="K2" s="1392"/>
      <c r="L2" s="1392"/>
      <c r="M2" s="1392"/>
      <c r="N2" s="1427"/>
      <c r="O2" s="1392"/>
      <c r="P2" s="1392"/>
    </row>
    <row r="3" spans="1:16" ht="15.75" thickBot="1">
      <c r="A3" s="3039" t="s">
        <v>1908</v>
      </c>
      <c r="B3" s="3039"/>
      <c r="C3" s="3039"/>
      <c r="D3" s="46">
        <f>'数据-基础表'!AY6</f>
        <v>15680.97</v>
      </c>
      <c r="E3" s="46">
        <f>'数据-基础表'!AZ5</f>
        <v>36467.32</v>
      </c>
      <c r="F3" s="1392"/>
      <c r="G3" s="1399"/>
      <c r="H3" s="1247" t="s">
        <v>1909</v>
      </c>
      <c r="I3" s="55">
        <f>ROUND('数据-基础表'!B3/'数据-基础表'!A3,2)</f>
        <v>2.33</v>
      </c>
      <c r="J3" s="1392"/>
      <c r="K3" s="1392"/>
      <c r="L3" s="1392"/>
      <c r="M3" s="1392"/>
      <c r="N3" s="1427"/>
      <c r="O3" s="1392"/>
      <c r="P3" s="1392"/>
    </row>
    <row r="4" spans="1:16" ht="15">
      <c r="A4" s="3040"/>
      <c r="B4" s="3041"/>
      <c r="C4" s="3042"/>
      <c r="D4" s="2229" t="s">
        <v>1910</v>
      </c>
      <c r="E4" s="2230" t="s">
        <v>1911</v>
      </c>
      <c r="F4" s="1392"/>
      <c r="G4" s="2231" t="s">
        <v>1936</v>
      </c>
      <c r="H4" s="1247" t="s">
        <v>1916</v>
      </c>
      <c r="I4" s="55">
        <f>ROUND(SUMIF('数据-基础表'!I9:AS9,"地上",'数据-基础表'!I5:AS5)/'数据-基础表'!A3,2)</f>
        <v>2.1</v>
      </c>
      <c r="J4" s="1392"/>
      <c r="K4" s="1392"/>
      <c r="L4" s="1392"/>
      <c r="M4" s="1392"/>
      <c r="N4" s="1427"/>
      <c r="O4" s="1392"/>
      <c r="P4" s="1392"/>
    </row>
    <row r="5" spans="1:16">
      <c r="A5" s="47" t="s">
        <v>1912</v>
      </c>
      <c r="B5" s="3043" t="s">
        <v>1913</v>
      </c>
      <c r="C5" s="3043"/>
      <c r="D5" s="48">
        <f>ROUND($D$3*E5/$E$3,2)</f>
        <v>0</v>
      </c>
      <c r="E5" s="49">
        <f>SUMIF('数据-基础表'!$11:$11,"住宅",'数据-基础表'!$5:$5)</f>
        <v>0</v>
      </c>
      <c r="F5" s="1392"/>
      <c r="G5" s="1399"/>
      <c r="H5" s="1247" t="s">
        <v>1909</v>
      </c>
      <c r="I5" s="55">
        <f>ROUND(E31/D31,2)</f>
        <v>2.33</v>
      </c>
      <c r="J5" s="1392"/>
      <c r="K5" s="1392"/>
      <c r="L5" s="1392"/>
      <c r="M5" s="1392"/>
      <c r="N5" s="1392"/>
      <c r="O5" s="1392"/>
      <c r="P5" s="1392"/>
    </row>
    <row r="6" spans="1:16" ht="15" thickBot="1">
      <c r="A6" s="2232"/>
      <c r="B6" s="3043" t="s">
        <v>1914</v>
      </c>
      <c r="C6" s="3043"/>
      <c r="D6" s="48">
        <f>ROUND($D$3*E6/$E$3,2)</f>
        <v>15680.97</v>
      </c>
      <c r="E6" s="49">
        <f>E3-E5</f>
        <v>36467.32</v>
      </c>
      <c r="F6" s="1392"/>
      <c r="G6" s="2233" t="s">
        <v>1915</v>
      </c>
      <c r="H6" s="1399" t="s">
        <v>1916</v>
      </c>
      <c r="I6" s="939">
        <f>ROUND(F31/D31,2)</f>
        <v>2.1</v>
      </c>
      <c r="J6" s="1392"/>
      <c r="K6" s="1392"/>
      <c r="L6" s="1392"/>
      <c r="M6" s="1392"/>
      <c r="N6" s="1392"/>
      <c r="O6" s="1392"/>
      <c r="P6" s="1392"/>
    </row>
    <row r="7" spans="1:16" ht="15">
      <c r="A7" s="3035"/>
      <c r="B7" s="3036"/>
      <c r="C7" s="3037"/>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14174.4</v>
      </c>
      <c r="E8" s="51">
        <f>SUMIF('数据-基础表'!BB10:BK10,"地上",'数据-基础表'!BB5:BK5)</f>
        <v>32963.68</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1023.4</v>
      </c>
      <c r="E13" s="51">
        <f>SUMPRODUCT(('数据-基础表'!BB10:BK10="地下")*('数据-基础表'!BB11:BK11="车库")*('数据-基础表'!BB5:BK5))</f>
        <v>2380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15197.8</v>
      </c>
      <c r="E16" s="53">
        <f>SUM(E8:E15)</f>
        <v>35343.68</v>
      </c>
      <c r="F16" s="1392"/>
      <c r="G16" s="2235"/>
      <c r="H16" s="2238" t="s">
        <v>1938</v>
      </c>
      <c r="I16" s="2239"/>
      <c r="J16" s="1392"/>
      <c r="K16" s="3032" t="s">
        <v>1938</v>
      </c>
      <c r="L16" s="3033"/>
      <c r="M16" s="3033"/>
      <c r="N16" s="3033"/>
      <c r="O16" s="3033"/>
      <c r="P16" s="3034"/>
    </row>
    <row r="17" spans="1:19" ht="15">
      <c r="A17" s="2240" t="s">
        <v>1939</v>
      </c>
      <c r="B17" s="2241" t="s">
        <v>1940</v>
      </c>
      <c r="C17" s="2242" t="s">
        <v>1941</v>
      </c>
      <c r="D17" s="2243" t="s">
        <v>1929</v>
      </c>
      <c r="E17" s="2244" t="s">
        <v>1930</v>
      </c>
      <c r="F17" s="2245"/>
      <c r="G17" s="2246"/>
      <c r="H17" s="2247" t="s">
        <v>1942</v>
      </c>
      <c r="I17" s="2248" t="s">
        <v>1927</v>
      </c>
      <c r="J17" s="1392"/>
      <c r="K17" s="3029" t="s">
        <v>1943</v>
      </c>
      <c r="L17" s="3030"/>
      <c r="M17" s="3031"/>
      <c r="N17" s="3029" t="s">
        <v>1944</v>
      </c>
      <c r="O17" s="3030"/>
      <c r="P17" s="3031"/>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3284" t="s">
        <v>3068</v>
      </c>
      <c r="D19" s="48">
        <f>ROUND($D$3*E19/$E$3,2)</f>
        <v>14174.4</v>
      </c>
      <c r="E19" s="56">
        <f t="shared" ref="E19:E26" si="1">SUM(F19:G19)</f>
        <v>32963.68</v>
      </c>
      <c r="F19" s="57">
        <f>'数据-基础表'!I5</f>
        <v>32963.68</v>
      </c>
      <c r="G19" s="58"/>
      <c r="H19" s="723">
        <f>ROUND($D$3*I19/$E$3,2)</f>
        <v>450.63</v>
      </c>
      <c r="I19" s="51">
        <f t="shared" ref="I19:I26" si="2">IF($I$17="自定义",P19,M19)</f>
        <v>1047.98</v>
      </c>
      <c r="J19" s="1392"/>
      <c r="K19" s="1391">
        <f t="shared" ref="K19:K26" si="3">ROUND(E$28*E19/E$27,2)</f>
        <v>1047.98</v>
      </c>
      <c r="L19" s="1247">
        <f t="shared" ref="L19:L26" si="4">ROUND(IF(COUNTIF(C19,"*住宅*")&gt;0,E$29*E19/E$32,0),2)</f>
        <v>0</v>
      </c>
      <c r="M19" s="1403">
        <f>K19+L19</f>
        <v>1047.98</v>
      </c>
      <c r="N19" s="2259"/>
      <c r="O19" s="2260"/>
      <c r="P19" s="1403">
        <f>N19+O19</f>
        <v>0</v>
      </c>
      <c r="R19" s="1247">
        <f t="shared" ref="R19:S26" si="5">D19+H19</f>
        <v>14625.029999999999</v>
      </c>
      <c r="S19" s="1248">
        <f t="shared" si="5"/>
        <v>34011.660000000003</v>
      </c>
    </row>
    <row r="20" spans="1:19">
      <c r="A20" s="2261"/>
      <c r="B20" s="50" t="s">
        <v>1956</v>
      </c>
      <c r="C20" s="3284" t="s">
        <v>3071</v>
      </c>
      <c r="D20" s="48">
        <f t="shared" ref="D20:D26" si="6">ROUND($D$3*E20/$E$3,2)</f>
        <v>1023.4</v>
      </c>
      <c r="E20" s="56">
        <f t="shared" si="1"/>
        <v>2380</v>
      </c>
      <c r="F20" s="57"/>
      <c r="G20" s="58">
        <f>'数据-基础表'!K5</f>
        <v>2380</v>
      </c>
      <c r="H20" s="723">
        <f t="shared" ref="H20:H26" si="7">ROUND($D$3*I20/$E$3,2)</f>
        <v>32.53</v>
      </c>
      <c r="I20" s="51">
        <f t="shared" si="2"/>
        <v>75.66</v>
      </c>
      <c r="J20" s="1392"/>
      <c r="K20" s="1391">
        <f t="shared" si="3"/>
        <v>75.66</v>
      </c>
      <c r="L20" s="1247">
        <f t="shared" si="4"/>
        <v>0</v>
      </c>
      <c r="M20" s="1403">
        <f t="shared" ref="M20:M26" si="8">K20+L20</f>
        <v>75.66</v>
      </c>
      <c r="N20" s="2259"/>
      <c r="O20" s="2260"/>
      <c r="P20" s="1403">
        <f t="shared" ref="P20:P26" si="9">N20+O20</f>
        <v>0</v>
      </c>
      <c r="R20" s="1247">
        <f t="shared" si="5"/>
        <v>1055.93</v>
      </c>
      <c r="S20" s="1248">
        <f t="shared" si="5"/>
        <v>2455.66</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15197.8</v>
      </c>
      <c r="E27" s="1394">
        <f>IF(SUM(E19:E26)='数据-基础表'!BA5,SUM(E19:E26),IF(F27="地上面积有误","面积有误","地下面积有误"))</f>
        <v>35343.68</v>
      </c>
      <c r="F27" s="1393">
        <f>IF(SUM(F19:F26)=E8,SUM(F19:F26),"地上面积有误")</f>
        <v>32963.68</v>
      </c>
      <c r="G27" s="1395">
        <f>SUM(G19:G26)</f>
        <v>2380</v>
      </c>
      <c r="H27" s="1396">
        <f>SUM(H19:H26)</f>
        <v>483.15999999999997</v>
      </c>
      <c r="I27" s="1397">
        <f>SUM(I19:I26)</f>
        <v>1123.6400000000001</v>
      </c>
      <c r="J27" s="1392"/>
      <c r="K27" s="1400">
        <f>SUM(K19:K26)</f>
        <v>1123.6400000000001</v>
      </c>
      <c r="L27" s="1401">
        <f>SUM(L19:L26)</f>
        <v>0</v>
      </c>
      <c r="M27" s="1404">
        <f>SUM(M19:M26)</f>
        <v>1123.6400000000001</v>
      </c>
      <c r="N27" s="1400">
        <f t="shared" ref="N27:O27" si="10">SUM(N19:N26)</f>
        <v>0</v>
      </c>
      <c r="O27" s="1401">
        <f t="shared" si="10"/>
        <v>0</v>
      </c>
      <c r="P27" s="1402">
        <f>SUM(P19:P26)</f>
        <v>0</v>
      </c>
      <c r="R27" s="1249" t="str">
        <f>IF(SUM(R19:R26)=$D$3,SUM(R19:R26),SUM(R19:R26)&amp;"误差"&amp;ROUND(SUM(R19:R26)-$D$3,2))</f>
        <v>15680.96误差-0.01</v>
      </c>
      <c r="S27" s="1247">
        <f>IF(SUM(S19:S26)=$E$3,SUM(S19:S26),SUM(S19:S26)&amp;"误差"&amp;ROUND(SUM(S19:S26)-E3,2))</f>
        <v>36467.320000000007</v>
      </c>
    </row>
    <row r="28" spans="1:19">
      <c r="A28" s="2261"/>
      <c r="B28" s="50" t="s">
        <v>1958</v>
      </c>
      <c r="C28" s="1259" t="s">
        <v>1959</v>
      </c>
      <c r="D28" s="48">
        <f>ROUND($D$3*E28/$E$3,2)</f>
        <v>483.17</v>
      </c>
      <c r="E28" s="56">
        <f>SUM(F28:G28)</f>
        <v>1123.6399999999999</v>
      </c>
      <c r="F28" s="64">
        <f>'数据-基础表'!BQ5+'数据-基础表'!BS5</f>
        <v>0</v>
      </c>
      <c r="G28" s="65">
        <f>'数据-基础表'!BR5+'数据-基础表'!BT5</f>
        <v>1123.6399999999999</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483.17</v>
      </c>
      <c r="E30" s="1393">
        <f>SUM(E28:E29)</f>
        <v>1123.6399999999999</v>
      </c>
      <c r="F30" s="1393">
        <f>SUM(F28:F29)</f>
        <v>0</v>
      </c>
      <c r="G30" s="1395">
        <f>SUM(G28:G29)</f>
        <v>1123.6399999999999</v>
      </c>
      <c r="H30" s="1392"/>
      <c r="I30" s="1392"/>
      <c r="J30" s="1392"/>
      <c r="K30" s="1392"/>
      <c r="L30" s="1392"/>
      <c r="M30" s="1392"/>
      <c r="N30" s="1392"/>
      <c r="O30" s="1392"/>
      <c r="P30" s="1392"/>
    </row>
    <row r="31" spans="1:19" ht="15.75" thickBot="1">
      <c r="A31" s="2267"/>
      <c r="B31" s="2268"/>
      <c r="C31" s="1007" t="s">
        <v>1961</v>
      </c>
      <c r="D31" s="729">
        <f>D27+D30</f>
        <v>15680.97</v>
      </c>
      <c r="E31" s="729">
        <f>E27+E30</f>
        <v>36467.32</v>
      </c>
      <c r="F31" s="730">
        <f>F27+F30</f>
        <v>32963.68</v>
      </c>
      <c r="G31" s="731">
        <f>G27+G30</f>
        <v>3503.64</v>
      </c>
      <c r="H31" s="1392"/>
      <c r="I31" s="1392"/>
      <c r="J31" s="1392"/>
      <c r="K31" s="1392"/>
      <c r="L31" s="1392"/>
      <c r="M31" s="1392"/>
      <c r="N31" s="1392"/>
      <c r="O31" s="1392"/>
      <c r="P31" s="1392"/>
    </row>
    <row r="32" spans="1:19">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43966</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59444</v>
      </c>
      <c r="F6" s="72">
        <f>SUMIF(项目基本情况!D$12:I$12,C6,项目基本情况!D$15:I$15)</f>
        <v>42.4</v>
      </c>
      <c r="G6" s="73">
        <f>IF(ISERROR(ROUND(POWER(1+H6,D6-F6)*(POWER(1+H6,F6)-1)/(POWER(1+H6,D6)-1),3)),0,ROUND(POWER(1+H6,D6-F6)*(POWER(1+H6,F6)-1)/(POWER(1+H6,D6)-1),3))</f>
        <v>0.93500000000000005</v>
      </c>
      <c r="H6" s="802">
        <v>3.5000000000000003E-2</v>
      </c>
      <c r="I6" s="802">
        <v>0.05</v>
      </c>
      <c r="J6" s="74">
        <v>0.08</v>
      </c>
      <c r="K6" s="1251">
        <f>SUMIF('数据-汇总表'!C$19:C$33,A6,'数据-汇总表'!E$19:E$33)</f>
        <v>32963.68</v>
      </c>
      <c r="L6" s="803">
        <v>2000</v>
      </c>
      <c r="M6" s="75">
        <f t="shared" ref="M6:M14" si="0">ROUND(K6*L6/10000,0)</f>
        <v>6593</v>
      </c>
      <c r="N6" s="801">
        <v>0.75</v>
      </c>
      <c r="O6" s="75">
        <f>IF($N$5="成新度","——",ROUND(M6*N6,0))</f>
        <v>4945</v>
      </c>
      <c r="P6" s="76">
        <f>IF($N$5="成新度","——",M6-O6)</f>
        <v>1648</v>
      </c>
      <c r="Q6" s="804">
        <v>0.2</v>
      </c>
      <c r="R6" s="77">
        <f ca="1">SUMIF('数据-汇总表'!C$19:C$33,A6,'数据-汇总表'!R$19:R$27)</f>
        <v>14625.029999999999</v>
      </c>
      <c r="S6" s="54">
        <f>IF('数据-汇总表'!$I$17="按面积比例",SUMIF('数据-汇总表'!C$19:C$33,A6,'数据-汇总表'!K$19:K$33),SUMIF('数据-汇总表'!C$19:C$33,A6,'数据-汇总表'!N$19:N$33))</f>
        <v>1047.98</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车库</v>
      </c>
      <c r="B7" s="2305" t="str">
        <f t="shared" ref="B7:B13" si="1">IF(A7=0,"","经营性")</f>
        <v>经营性</v>
      </c>
      <c r="C7" s="2306" t="s">
        <v>3070</v>
      </c>
      <c r="D7" s="1051">
        <f>SUMIF(项目基本情况!D$12:I$12,C7,项目基本情况!D$14:I$14)</f>
        <v>0</v>
      </c>
      <c r="E7" s="1048">
        <f>IF(B7="","",SUMIF(项目基本情况!D$12:I$12,C7,项目基本情况!D$13:I$13))</f>
        <v>59444</v>
      </c>
      <c r="F7" s="72">
        <f>SUMIF(项目基本情况!D$12:I$12,C7,项目基本情况!D$15:I$15)</f>
        <v>42.4</v>
      </c>
      <c r="G7" s="73">
        <f t="shared" ref="G7:G11" si="2">IF(ISERROR(ROUND(POWER(1+H7,D7-F7)*(POWER(1+H7,F7)-1)/(POWER(1+H7,D7)-1),3)),0,ROUND(POWER(1+H7,D7-F7)*(POWER(1+H7,F7)-1)/(POWER(1+H7,D7)-1),3))</f>
        <v>0</v>
      </c>
      <c r="H7" s="802">
        <v>0.03</v>
      </c>
      <c r="I7" s="802">
        <v>0.04</v>
      </c>
      <c r="J7" s="74">
        <v>6.5000000000000002E-2</v>
      </c>
      <c r="K7" s="1251">
        <f>SUMIF('数据-汇总表'!C$19:C$33,A7,'数据-汇总表'!E$19:E$33)</f>
        <v>2380</v>
      </c>
      <c r="L7" s="803">
        <v>1500</v>
      </c>
      <c r="M7" s="75">
        <f t="shared" si="0"/>
        <v>357</v>
      </c>
      <c r="N7" s="801">
        <f>N6</f>
        <v>0.75</v>
      </c>
      <c r="O7" s="75">
        <f t="shared" ref="O7:O14" si="3">IF($N$5="成新度","——",ROUND(M7*N7,0))</f>
        <v>268</v>
      </c>
      <c r="P7" s="76">
        <f t="shared" ref="P7:P14" si="4">IF($N$5="成新度","——",M7-O7)</f>
        <v>89</v>
      </c>
      <c r="Q7" s="804">
        <v>0.05</v>
      </c>
      <c r="R7" s="77">
        <f ca="1">SUMIF('数据-汇总表'!C$19:C$33,A7,'数据-汇总表'!R$19:R$27)</f>
        <v>1055.93</v>
      </c>
      <c r="S7" s="54">
        <f>IF('数据-汇总表'!$I$17="按面积比例",SUMIF('数据-汇总表'!C$19:C$33,A7,'数据-汇总表'!K$19:K$33),SUMIF('数据-汇总表'!C$19:C$33,A7,'数据-汇总表'!N$19:N$33))</f>
        <v>75.66</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1123.6399999999999</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f>ROUND(SUMPRODUCT(G6:G13,K6:K13)/SUMPRODUCT((G6:G13&gt;0)*(K6:K13)),3)</f>
        <v>0.93500000000000005</v>
      </c>
      <c r="H16" s="99">
        <f>ROUND(SUMPRODUCT(H6:H13,K6:K13)/SUMPRODUCT((H6:H13&gt;0)*(K6:K13)),3)</f>
        <v>3.5000000000000003E-2</v>
      </c>
      <c r="I16" s="100"/>
      <c r="J16" s="100"/>
      <c r="K16" s="101">
        <f>SUM(K6:K15)</f>
        <v>36467.32</v>
      </c>
      <c r="L16" s="102">
        <f>ROUND(M16*10000/SUM(K6:K14),0)</f>
        <v>1906</v>
      </c>
      <c r="M16" s="102">
        <f>SUM(M6:M14)</f>
        <v>6950</v>
      </c>
      <c r="N16" s="103">
        <f>ROUND(SUMPRODUCT(M6:M14,N6:N14)/M16,3)</f>
        <v>0.75</v>
      </c>
      <c r="O16" s="102">
        <f>SUM(O6:O14)</f>
        <v>5213</v>
      </c>
      <c r="P16" s="102">
        <f>SUM(P6:P14)</f>
        <v>1737</v>
      </c>
      <c r="Q16" s="104">
        <f>ROUND(SUMPRODUCT(Q6:Q13,K6:K13)/SUMPRODUCT((Q6:Q13&gt;0)*(K6:K13)),2)</f>
        <v>0.19</v>
      </c>
      <c r="R16" s="1255">
        <f ca="1">SUM(R6:R13)</f>
        <v>15680.96</v>
      </c>
      <c r="S16" s="105">
        <f>SUM(S6:S13)</f>
        <v>1123.6400000000001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v>0</v>
      </c>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v>2.5</v>
      </c>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2.5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0.5</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v>240</v>
      </c>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240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120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120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0.05</v>
      </c>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v>0.02</v>
      </c>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v>0.02</v>
      </c>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f ca="1">存贷款利率!G1</f>
        <v>4.7500000000000001E-2</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5.2500000000000005E-2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2.5000000000000005E-3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v>0.03</v>
      </c>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v>0.02</v>
      </c>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v>0.03</v>
      </c>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v>5.0000000000000001E-4</v>
      </c>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4" t="s">
        <v>2080</v>
      </c>
      <c r="B1" s="3045"/>
      <c r="C1" s="3045"/>
      <c r="D1" s="3045"/>
      <c r="E1" s="3045"/>
      <c r="F1" s="3045"/>
      <c r="G1" s="304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5"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5" t="s">
        <v>2092</v>
      </c>
      <c r="C5" s="2371" t="s">
        <v>2093</v>
      </c>
      <c r="D5" s="2368"/>
      <c r="E5" s="2372"/>
      <c r="F5" s="1795" t="s">
        <v>2094</v>
      </c>
      <c r="G5" s="2373" t="s">
        <v>2095</v>
      </c>
      <c r="H5" s="2365"/>
      <c r="I5" s="2365"/>
      <c r="J5" s="2365"/>
      <c r="K5" s="2365"/>
      <c r="L5" s="2365"/>
      <c r="M5" s="2365"/>
      <c r="N5" s="2365"/>
      <c r="O5" s="2365"/>
      <c r="P5" s="2365"/>
      <c r="Q5" s="2365"/>
      <c r="R5" s="2365"/>
    </row>
    <row r="6" spans="1:29" ht="54">
      <c r="A6" s="431"/>
      <c r="B6" s="1795" t="s">
        <v>2096</v>
      </c>
      <c r="C6" s="2373" t="s">
        <v>2091</v>
      </c>
      <c r="D6" s="2368"/>
      <c r="E6" s="2372"/>
      <c r="F6" s="1795" t="s">
        <v>2097</v>
      </c>
      <c r="G6" s="2373" t="s">
        <v>2098</v>
      </c>
      <c r="H6" s="2365"/>
      <c r="I6" s="2365"/>
      <c r="J6" s="2365"/>
      <c r="K6" s="2365"/>
      <c r="L6" s="2365"/>
      <c r="M6" s="2365"/>
      <c r="N6" s="2365"/>
      <c r="O6" s="2365"/>
      <c r="P6" s="2365"/>
      <c r="Q6" s="2365"/>
      <c r="R6" s="2365"/>
    </row>
    <row r="7" spans="1:29" ht="41.25" thickBot="1">
      <c r="A7" s="431"/>
      <c r="B7" s="1795"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5" t="s">
        <v>2097</v>
      </c>
      <c r="C8" s="2373" t="s">
        <v>2098</v>
      </c>
      <c r="D8" s="2374"/>
      <c r="E8" s="2374"/>
      <c r="F8" s="1133"/>
      <c r="G8" s="1133"/>
      <c r="H8" s="2365"/>
      <c r="I8" s="2365"/>
      <c r="J8" s="2365"/>
      <c r="K8" s="2365"/>
      <c r="L8" s="2365"/>
      <c r="M8" s="2365"/>
      <c r="N8" s="2365"/>
      <c r="O8" s="2365"/>
      <c r="P8" s="2365"/>
      <c r="Q8" s="2365"/>
      <c r="R8" s="2365"/>
    </row>
    <row r="9" spans="1:29" ht="27">
      <c r="A9" s="431"/>
      <c r="B9" s="1795"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9"/>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9"/>
      <c r="D19" s="2368"/>
      <c r="E19" s="2404"/>
      <c r="F19" s="1795"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5" t="s">
        <v>2113</v>
      </c>
      <c r="G20" s="136" t="str">
        <f>G6</f>
        <v>估价对象所在区域基础设施水平</v>
      </c>
    </row>
    <row r="21" spans="1:18" ht="28.5">
      <c r="A21" s="645"/>
      <c r="B21" s="1795" t="s">
        <v>2094</v>
      </c>
      <c r="C21" s="136" t="str">
        <f>C7</f>
        <v>估价对象所在区域公共配套设施齐备情况</v>
      </c>
      <c r="D21" s="2368"/>
      <c r="E21" s="2404"/>
      <c r="F21" s="2405" t="s">
        <v>2114</v>
      </c>
      <c r="G21" s="2406"/>
    </row>
    <row r="22" spans="1:18" ht="13.5" customHeight="1">
      <c r="A22" s="645"/>
      <c r="B22" s="1795" t="s">
        <v>2097</v>
      </c>
      <c r="C22" s="136" t="str">
        <f>C8</f>
        <v>估价对象所在区域基础设施水平</v>
      </c>
      <c r="D22" s="2368"/>
      <c r="E22" s="2404"/>
      <c r="F22" s="2405" t="s">
        <v>2103</v>
      </c>
      <c r="G22" s="1569"/>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36467.32</v>
      </c>
      <c r="C1" s="1742"/>
      <c r="D1" s="1742"/>
      <c r="E1" s="1742"/>
      <c r="F1" s="1742"/>
      <c r="G1" s="1740"/>
    </row>
    <row r="2" spans="1:10" ht="16.5">
      <c r="A2" s="1743" t="s">
        <v>1348</v>
      </c>
      <c r="B2" s="1743">
        <f>SUM(C14:C23)</f>
        <v>15680.97</v>
      </c>
      <c r="C2" s="1742"/>
      <c r="D2" s="1742"/>
      <c r="E2" s="1742"/>
      <c r="F2" s="1742"/>
      <c r="G2" s="1740"/>
    </row>
    <row r="3" spans="1:10" ht="16.5">
      <c r="A3" s="1743" t="s">
        <v>1357</v>
      </c>
      <c r="B3" s="1744">
        <f>项目基本情况!D3</f>
        <v>43966</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22282</v>
      </c>
      <c r="C5" s="1743">
        <f ca="1">ROUND(B5*10000/$B$1,0)</f>
        <v>6110</v>
      </c>
      <c r="D5" s="1743">
        <f ca="1">ROUND(B5*10000/$B$2,0)</f>
        <v>14210</v>
      </c>
      <c r="E5" s="1742"/>
      <c r="F5" s="1740"/>
      <c r="G5" s="1740"/>
    </row>
    <row r="6" spans="1:10" ht="16.5">
      <c r="A6" s="1743" t="s">
        <v>1351</v>
      </c>
      <c r="B6" s="1743">
        <f ca="1">SUM(G14:G23)</f>
        <v>22282</v>
      </c>
      <c r="C6" s="1743">
        <f ca="1">ROUND(B6*10000/$B$1,0)</f>
        <v>6110</v>
      </c>
      <c r="D6" s="1743">
        <f ca="1">ROUND(B6*10000/$B$2,0)</f>
        <v>14210</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36467.32</v>
      </c>
      <c r="C14" s="1741">
        <f>结果表!C118</f>
        <v>15680.97</v>
      </c>
      <c r="D14" s="1741">
        <f ca="1">结果表!H118</f>
        <v>22282</v>
      </c>
      <c r="E14" s="1741">
        <f ca="1">ROUND(D14*10000/B14,0)</f>
        <v>6110</v>
      </c>
      <c r="F14" s="1741">
        <f ca="1">ROUND(D14*10000/C14,0)</f>
        <v>14210</v>
      </c>
      <c r="G14" s="1741">
        <f ca="1">结果表!D122</f>
        <v>22282</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2117</v>
      </c>
      <c r="B1" s="2416"/>
      <c r="C1" s="2417"/>
      <c r="D1" s="2416"/>
      <c r="E1" s="2416"/>
      <c r="F1" s="2418" t="s">
        <v>2118</v>
      </c>
      <c r="G1" s="2068" t="s">
        <v>2119</v>
      </c>
      <c r="H1" s="2419" t="str">
        <f>IF(G1="现房","——","估价对象范围")</f>
        <v>估价对象范围</v>
      </c>
      <c r="I1" s="2420"/>
    </row>
    <row r="2" spans="1:12" ht="21.75" customHeight="1" thickBot="1">
      <c r="A2" s="3079" t="str">
        <f>项目基本情况!S2</f>
        <v>山西省长治市高新区北二环路与太行北路交叉口东南角出让国有建设用地使用权及在建建筑物房地产</v>
      </c>
      <c r="B2" s="3080"/>
      <c r="C2" s="3080"/>
      <c r="D2" s="3080"/>
      <c r="E2" s="3080"/>
      <c r="F2" s="3080"/>
      <c r="G2" s="3080"/>
      <c r="H2" s="3080"/>
      <c r="I2" s="3081"/>
    </row>
    <row r="3" spans="1:12" ht="12.75">
      <c r="A3" s="3083" t="s">
        <v>2120</v>
      </c>
      <c r="B3" s="3084"/>
      <c r="C3" s="3084"/>
      <c r="D3" s="3084"/>
      <c r="E3" s="3084"/>
      <c r="F3" s="3084"/>
      <c r="G3" s="3084"/>
      <c r="H3" s="3084"/>
      <c r="I3" s="3084"/>
    </row>
    <row r="4" spans="1:12" ht="14.25">
      <c r="A4" s="2423" t="s">
        <v>2121</v>
      </c>
      <c r="B4" s="2424" t="s">
        <v>2122</v>
      </c>
      <c r="C4" s="2425" t="s">
        <v>3330</v>
      </c>
      <c r="D4" s="2425" t="s">
        <v>3331</v>
      </c>
      <c r="E4" s="3076" t="s">
        <v>2123</v>
      </c>
      <c r="F4" s="3077"/>
      <c r="G4" s="3077"/>
      <c r="H4" s="3077"/>
      <c r="I4" s="308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059" t="s">
        <v>2124</v>
      </c>
      <c r="B5" s="2997">
        <v>25</v>
      </c>
      <c r="C5" s="3062">
        <v>3</v>
      </c>
      <c r="D5" s="3082">
        <v>7</v>
      </c>
      <c r="E5" s="140" t="s">
        <v>2125</v>
      </c>
      <c r="F5" s="2427"/>
      <c r="G5" s="2427"/>
      <c r="H5" s="2427"/>
      <c r="I5" s="1831"/>
    </row>
    <row r="6" spans="1:12" ht="12.75">
      <c r="A6" s="3059"/>
      <c r="B6" s="2997"/>
      <c r="C6" s="3063"/>
      <c r="D6" s="3082"/>
      <c r="E6" s="140" t="s">
        <v>2126</v>
      </c>
      <c r="F6" s="2427"/>
      <c r="G6" s="2427"/>
      <c r="H6" s="2427"/>
      <c r="I6" s="1831"/>
    </row>
    <row r="7" spans="1:12" ht="12.75">
      <c r="A7" s="3059"/>
      <c r="B7" s="2997"/>
      <c r="C7" s="3064"/>
      <c r="D7" s="3082"/>
      <c r="E7" s="140" t="s">
        <v>2127</v>
      </c>
      <c r="F7" s="2427"/>
      <c r="G7" s="2427"/>
      <c r="H7" s="2427"/>
      <c r="I7" s="1831"/>
    </row>
    <row r="8" spans="1:12" ht="12.75">
      <c r="A8" s="3059" t="s">
        <v>2128</v>
      </c>
      <c r="B8" s="2997">
        <v>15</v>
      </c>
      <c r="C8" s="3062"/>
      <c r="D8" s="3082"/>
      <c r="E8" s="140" t="s">
        <v>2129</v>
      </c>
      <c r="F8" s="2427"/>
      <c r="G8" s="2427"/>
      <c r="H8" s="2427"/>
      <c r="I8" s="1831"/>
    </row>
    <row r="9" spans="1:12" ht="12.75">
      <c r="A9" s="3059"/>
      <c r="B9" s="2997"/>
      <c r="C9" s="3064"/>
      <c r="D9" s="3082"/>
      <c r="E9" s="140" t="s">
        <v>2130</v>
      </c>
      <c r="F9" s="2427"/>
      <c r="G9" s="2427"/>
      <c r="H9" s="2427"/>
      <c r="I9" s="1831"/>
    </row>
    <row r="10" spans="1:12" ht="12.75">
      <c r="A10" s="3059" t="s">
        <v>2131</v>
      </c>
      <c r="B10" s="2997">
        <v>15</v>
      </c>
      <c r="C10" s="3062"/>
      <c r="D10" s="3082"/>
      <c r="E10" s="140" t="s">
        <v>2132</v>
      </c>
      <c r="F10" s="2427"/>
      <c r="G10" s="2427"/>
      <c r="H10" s="2427"/>
      <c r="I10" s="1831"/>
    </row>
    <row r="11" spans="1:12" ht="12.75">
      <c r="A11" s="3059"/>
      <c r="B11" s="2997"/>
      <c r="C11" s="3064"/>
      <c r="D11" s="3082"/>
      <c r="E11" s="140" t="s">
        <v>2133</v>
      </c>
      <c r="F11" s="2427"/>
      <c r="G11" s="2427"/>
      <c r="H11" s="2427"/>
      <c r="I11" s="1831"/>
    </row>
    <row r="12" spans="1:12" ht="12.75">
      <c r="A12" s="3059" t="s">
        <v>2134</v>
      </c>
      <c r="B12" s="2997">
        <v>15</v>
      </c>
      <c r="C12" s="3062"/>
      <c r="D12" s="3082"/>
      <c r="E12" s="140" t="s">
        <v>2135</v>
      </c>
      <c r="F12" s="2427"/>
      <c r="G12" s="2427"/>
      <c r="H12" s="2427"/>
      <c r="I12" s="1831"/>
    </row>
    <row r="13" spans="1:12" ht="12.75">
      <c r="A13" s="3059"/>
      <c r="B13" s="2997"/>
      <c r="C13" s="3064"/>
      <c r="D13" s="3082"/>
      <c r="E13" s="140" t="s">
        <v>2136</v>
      </c>
      <c r="F13" s="2427"/>
      <c r="G13" s="2427"/>
      <c r="H13" s="2427"/>
      <c r="I13" s="1831"/>
    </row>
    <row r="14" spans="1:12" ht="12.75">
      <c r="A14" s="3059" t="s">
        <v>2137</v>
      </c>
      <c r="B14" s="2997">
        <v>30</v>
      </c>
      <c r="C14" s="3062"/>
      <c r="D14" s="3082"/>
      <c r="E14" s="140" t="s">
        <v>2138</v>
      </c>
      <c r="F14" s="2427"/>
      <c r="G14" s="2427"/>
      <c r="H14" s="2427"/>
      <c r="I14" s="1831"/>
    </row>
    <row r="15" spans="1:12" ht="12.75">
      <c r="A15" s="3059"/>
      <c r="B15" s="2997"/>
      <c r="C15" s="3063"/>
      <c r="D15" s="3082"/>
      <c r="E15" s="140" t="s">
        <v>2139</v>
      </c>
      <c r="F15" s="2427"/>
      <c r="G15" s="2427"/>
      <c r="H15" s="2427"/>
      <c r="I15" s="1831"/>
    </row>
    <row r="16" spans="1:12" ht="12.75">
      <c r="A16" s="3059"/>
      <c r="B16" s="2997"/>
      <c r="C16" s="3064"/>
      <c r="D16" s="3082"/>
      <c r="E16" s="140" t="s">
        <v>2140</v>
      </c>
      <c r="F16" s="2427"/>
      <c r="G16" s="2427"/>
      <c r="H16" s="2427"/>
      <c r="I16" s="1831"/>
    </row>
    <row r="17" spans="1:35" ht="15">
      <c r="A17" s="2428" t="s">
        <v>2141</v>
      </c>
      <c r="B17" s="64"/>
      <c r="C17" s="141">
        <f>SUM(C5:C16)</f>
        <v>3</v>
      </c>
      <c r="D17" s="141">
        <f>SUM(D5:D16)</f>
        <v>7</v>
      </c>
      <c r="E17" s="138"/>
      <c r="F17" s="138"/>
      <c r="G17" s="138"/>
      <c r="H17" s="138"/>
      <c r="I17" s="138"/>
      <c r="K17" s="2426"/>
      <c r="L17" s="2429" t="s">
        <v>2142</v>
      </c>
      <c r="M17" s="2429" t="s">
        <v>2143</v>
      </c>
    </row>
    <row r="18" spans="1:35" ht="15.75" thickBot="1">
      <c r="A18" s="2430" t="s">
        <v>2144</v>
      </c>
      <c r="B18" s="2431"/>
      <c r="C18" s="142">
        <f>ROUND(C17/SUM(C17:D17),2)</f>
        <v>0.3</v>
      </c>
      <c r="D18" s="142">
        <f>1-C18</f>
        <v>0.7</v>
      </c>
      <c r="E18" s="138"/>
      <c r="F18" s="138"/>
      <c r="G18" s="138"/>
      <c r="H18" s="138"/>
      <c r="I18" s="138"/>
      <c r="K18" s="2426" t="s">
        <v>2145</v>
      </c>
      <c r="L18" s="2426">
        <f>IF(C1="",'数据-汇总表'!E3,SUMIF(项目类型,C1,'数据-汇总表'!E17:E26)+SUMIF(项目类型,C1,'数据-汇总表'!I17:I26))</f>
        <v>36467.32</v>
      </c>
      <c r="M18" s="2426">
        <f>IF(C1="",'数据-汇总表'!E3,SUMIF(项目类型,C1,'数据-汇总表'!E17:E26))</f>
        <v>36467.32</v>
      </c>
    </row>
    <row r="19" spans="1:35" ht="15">
      <c r="A19" s="2432" t="s">
        <v>2146</v>
      </c>
      <c r="B19" s="2433" t="s">
        <v>2147</v>
      </c>
      <c r="C19" s="143">
        <f ca="1">SUMIF(INDIRECT("'"&amp;C4&amp;"'"&amp;"!A:A"),结果表!B19,INDIRECT("'"&amp;C4&amp;"'"&amp;"!B:B"))</f>
        <v>13265</v>
      </c>
      <c r="D19" s="144">
        <f ca="1">SUMIF(INDIRECT("'"&amp;D4&amp;"'"&amp;"!A:A"),结果表!B19,INDIRECT("'"&amp;D4&amp;"'"&amp;"!B:B"))</f>
        <v>26147</v>
      </c>
      <c r="E19" s="2432" t="s">
        <v>2148</v>
      </c>
      <c r="F19" s="2433" t="s">
        <v>2147</v>
      </c>
      <c r="G19" s="145">
        <f ca="1">ROUND(C19*$C$18+D19*$D$18,0)</f>
        <v>22282</v>
      </c>
      <c r="H19" s="2434" t="s">
        <v>2149</v>
      </c>
      <c r="I19" s="138"/>
      <c r="K19" s="2426" t="s">
        <v>2150</v>
      </c>
      <c r="L19" s="2426">
        <f>IF(C1="",'数据-汇总表'!D3,SUMIF(项目类型,C1,'数据-汇总表'!D17:D26)+SUMIF(项目类型,C1,'数据-汇总表'!H17:H27))</f>
        <v>15680.97</v>
      </c>
      <c r="M19" s="2426">
        <f>IF(C1="",'数据-汇总表'!D3,SUMIF(项目类型,C1,'数据-汇总表'!D17:D26))</f>
        <v>15680.97</v>
      </c>
    </row>
    <row r="20" spans="1:35" ht="15">
      <c r="A20" s="2435"/>
      <c r="B20" s="1247" t="s">
        <v>2151</v>
      </c>
      <c r="C20" s="146">
        <f ca="1">SUMIF(INDIRECT("'"&amp;C4&amp;"'"&amp;"!A:A"),结果表!B20,INDIRECT("'"&amp;C4&amp;"'"&amp;"!B:B"))</f>
        <v>3638</v>
      </c>
      <c r="D20" s="147">
        <f ca="1">SUMIF(INDIRECT("'"&amp;D4&amp;"'"&amp;"!A:A"),结果表!B20,INDIRECT("'"&amp;D4&amp;"'"&amp;"!B:B"))</f>
        <v>7170</v>
      </c>
      <c r="E20" s="2435"/>
      <c r="F20" s="1247" t="s">
        <v>2151</v>
      </c>
      <c r="G20" s="148">
        <f ca="1">ROUND(C20*$C$18+D20*$D$18,0)</f>
        <v>6110</v>
      </c>
      <c r="H20" s="980" t="s">
        <v>2152</v>
      </c>
      <c r="I20" s="138"/>
    </row>
    <row r="21" spans="1:35" ht="15" customHeight="1" thickBot="1">
      <c r="A21" s="1000"/>
      <c r="B21" s="2436" t="s">
        <v>2153</v>
      </c>
      <c r="C21" s="789">
        <f ca="1">ROUND(C19*10000/L19,0)</f>
        <v>8459</v>
      </c>
      <c r="D21" s="790">
        <f ca="1">ROUND(D19*10000/L19,0)</f>
        <v>16674</v>
      </c>
      <c r="E21" s="1000"/>
      <c r="F21" s="2436" t="s">
        <v>2153</v>
      </c>
      <c r="G21" s="149">
        <f ca="1">ROUND(G19*10000/L19,0)</f>
        <v>14210</v>
      </c>
      <c r="H21" s="2437" t="s">
        <v>2152</v>
      </c>
      <c r="I21" s="138"/>
    </row>
    <row r="22" spans="1:35" ht="15" thickBot="1">
      <c r="A22" s="2279" t="s">
        <v>2154</v>
      </c>
      <c r="B22" s="2438"/>
      <c r="C22" s="2439"/>
      <c r="D22" s="791">
        <f ca="1">IF(C19&lt;D19,D19/C19-1,C19/D19-1)</f>
        <v>0.97112702600829248</v>
      </c>
      <c r="E22" s="138"/>
      <c r="F22" s="138"/>
      <c r="G22" s="138"/>
      <c r="H22" s="138"/>
      <c r="I22" s="138"/>
    </row>
    <row r="23" spans="1:35" ht="13.5" thickBot="1">
      <c r="A23" s="2416"/>
      <c r="B23" s="2416"/>
      <c r="C23" s="2416"/>
      <c r="D23" s="2416"/>
      <c r="E23" s="138"/>
      <c r="F23" s="138"/>
      <c r="G23" s="138"/>
      <c r="H23" s="138"/>
      <c r="I23" s="138"/>
    </row>
    <row r="24" spans="1:35" ht="14.25">
      <c r="A24" s="3053" t="s">
        <v>2155</v>
      </c>
      <c r="B24" s="2433" t="s">
        <v>2147</v>
      </c>
      <c r="C24" s="145">
        <f>IF(B30=0,0,D30)</f>
        <v>0</v>
      </c>
      <c r="D24" s="2440"/>
      <c r="E24" s="138"/>
      <c r="F24" s="138"/>
      <c r="G24" s="138"/>
      <c r="H24" s="138"/>
      <c r="I24" s="138"/>
    </row>
    <row r="25" spans="1:35" ht="14.25">
      <c r="A25" s="3054"/>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22282</v>
      </c>
      <c r="D32" s="2447" t="s">
        <v>2162</v>
      </c>
      <c r="E32" s="138"/>
      <c r="F32" s="138"/>
      <c r="G32" s="138"/>
      <c r="H32" s="138"/>
      <c r="I32" s="138"/>
    </row>
    <row r="33" spans="1:15" ht="15">
      <c r="A33" s="957" t="s">
        <v>2163</v>
      </c>
      <c r="B33" s="2448"/>
      <c r="C33" s="2449"/>
      <c r="D33" s="2450"/>
      <c r="E33" s="2451" t="s">
        <v>2164</v>
      </c>
      <c r="F33" s="2452" t="str">
        <f>IF(D32="楼面单价","取值（单价）","取值（总价）")</f>
        <v>取值（总价）</v>
      </c>
      <c r="G33" s="138"/>
      <c r="H33" s="138"/>
      <c r="I33" s="138"/>
    </row>
    <row r="34" spans="1:15" ht="15">
      <c r="A34" s="2453"/>
      <c r="B34" s="2454"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2166</v>
      </c>
      <c r="F34" s="1736"/>
      <c r="G34" s="138"/>
      <c r="H34" s="138"/>
      <c r="I34" s="138"/>
    </row>
    <row r="35" spans="1:15" ht="15.75" thickBot="1">
      <c r="A35" s="2456"/>
      <c r="B35" s="2457"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2168</v>
      </c>
      <c r="F35" s="163"/>
      <c r="G35" s="138"/>
      <c r="H35" s="138"/>
      <c r="I35" s="138"/>
    </row>
    <row r="36" spans="1:15" ht="15.75" thickBot="1">
      <c r="A36" s="3071" t="s">
        <v>2169</v>
      </c>
      <c r="B36" s="2459" t="s">
        <v>2170</v>
      </c>
      <c r="C36" s="154"/>
      <c r="D36" s="2460"/>
      <c r="E36" s="2461"/>
      <c r="F36" s="2462"/>
      <c r="G36" s="138"/>
      <c r="H36" s="138"/>
      <c r="I36" s="138"/>
    </row>
    <row r="37" spans="1:15" ht="15.75" thickBot="1">
      <c r="A37" s="3072"/>
      <c r="B37" s="2265" t="s">
        <v>2171</v>
      </c>
      <c r="C37" s="156"/>
      <c r="D37" s="1392"/>
      <c r="E37" s="1392"/>
      <c r="F37" s="2462"/>
      <c r="G37" s="138"/>
      <c r="H37" s="138"/>
      <c r="I37" s="138"/>
    </row>
    <row r="38" spans="1:15" ht="15.75" thickBot="1">
      <c r="A38" s="3073"/>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50" t="s">
        <v>2183</v>
      </c>
      <c r="B45" s="3051"/>
      <c r="C45" s="3052"/>
      <c r="D45" s="164">
        <f ca="1">ROUND(H101*F45,0)</f>
        <v>22282</v>
      </c>
      <c r="E45" s="165" t="s">
        <v>2184</v>
      </c>
      <c r="F45" s="166">
        <v>1</v>
      </c>
      <c r="G45" s="167" t="s">
        <v>2185</v>
      </c>
      <c r="H45" s="138"/>
      <c r="I45" s="138"/>
      <c r="J45" s="3110" t="s">
        <v>2186</v>
      </c>
      <c r="K45" s="3110"/>
      <c r="L45" s="3110"/>
      <c r="M45" s="3110"/>
      <c r="N45" s="3110"/>
      <c r="O45" s="3110"/>
    </row>
    <row r="46" spans="1:15" ht="14.25" customHeight="1">
      <c r="A46" s="3047" t="s">
        <v>2187</v>
      </c>
      <c r="B46" s="3048"/>
      <c r="C46" s="3048"/>
      <c r="D46" s="3048"/>
      <c r="E46" s="3048"/>
      <c r="F46" s="3048"/>
      <c r="G46" s="3049"/>
      <c r="H46" s="2478"/>
      <c r="I46" s="168"/>
      <c r="J46" s="1809">
        <v>1</v>
      </c>
      <c r="K46" s="3110" t="s">
        <v>2188</v>
      </c>
      <c r="L46" s="3110"/>
      <c r="M46" s="3130"/>
      <c r="N46" s="3130"/>
      <c r="O46" s="3130"/>
    </row>
    <row r="47" spans="1:15" ht="12" customHeight="1">
      <c r="A47" s="169" t="s">
        <v>2189</v>
      </c>
      <c r="B47" s="170"/>
      <c r="C47" s="171"/>
      <c r="D47" s="172" t="s">
        <v>2190</v>
      </c>
      <c r="E47" s="24" t="s">
        <v>2191</v>
      </c>
      <c r="F47" s="173" t="s">
        <v>2192</v>
      </c>
      <c r="G47" s="174" t="s">
        <v>2193</v>
      </c>
      <c r="H47" s="2478"/>
      <c r="I47" s="168"/>
      <c r="J47" s="1809">
        <v>2</v>
      </c>
      <c r="K47" s="3110" t="s">
        <v>2194</v>
      </c>
      <c r="L47" s="3110"/>
      <c r="M47" s="3131">
        <f>'数据-取费表'!B2</f>
        <v>43966</v>
      </c>
      <c r="N47" s="3131"/>
      <c r="O47" s="3131"/>
    </row>
    <row r="48" spans="1:15" ht="25.5">
      <c r="A48" s="3078" t="s">
        <v>2195</v>
      </c>
      <c r="B48" s="3061"/>
      <c r="C48" s="3061"/>
      <c r="D48" s="140">
        <f>IF(H48="情况1",0,IF(H48="情况2",D52,IF(H48="情况3",D53,IF(H48="情况4",D54))))</f>
        <v>0</v>
      </c>
      <c r="E48" s="1798" t="str">
        <f>IF(H48="情况4","(销售额-原购置价)×税（费）率","销售额×税（费）率")</f>
        <v>销售额×税（费）率</v>
      </c>
      <c r="F48" s="175" t="str">
        <f>IF(H48="情况1","免征",'数据-取费表'!B41)</f>
        <v>免征</v>
      </c>
      <c r="G48" s="2479" t="s">
        <v>2196</v>
      </c>
      <c r="H48" s="2480" t="s">
        <v>2197</v>
      </c>
      <c r="I48" s="2478"/>
      <c r="J48" s="1809">
        <v>3</v>
      </c>
      <c r="K48" s="3110" t="s">
        <v>2198</v>
      </c>
      <c r="L48" s="3110"/>
      <c r="M48" s="3132">
        <f ca="1">H101</f>
        <v>22282</v>
      </c>
      <c r="N48" s="3132"/>
      <c r="O48" s="3132"/>
    </row>
    <row r="49" spans="1:35" ht="25.5" customHeight="1">
      <c r="A49" s="176" t="s">
        <v>2199</v>
      </c>
      <c r="B49" s="3046" t="s">
        <v>2200</v>
      </c>
      <c r="C49" s="3046"/>
      <c r="D49" s="177">
        <v>0</v>
      </c>
      <c r="E49" s="23" t="s">
        <v>2201</v>
      </c>
      <c r="F49" s="28" t="s">
        <v>34</v>
      </c>
      <c r="G49" s="3116"/>
      <c r="H49" s="138"/>
      <c r="I49" s="2481"/>
      <c r="J49" s="1809">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8"/>
      <c r="B50" s="3046" t="s">
        <v>2202</v>
      </c>
      <c r="C50" s="3046"/>
      <c r="D50" s="179"/>
      <c r="E50" s="31"/>
      <c r="F50" s="180"/>
      <c r="G50" s="3117"/>
      <c r="H50" s="138"/>
      <c r="I50" s="2481"/>
      <c r="J50" s="3110" t="s">
        <v>2203</v>
      </c>
      <c r="K50" s="3110"/>
      <c r="L50" s="3110"/>
      <c r="M50" s="3110"/>
      <c r="N50" s="3110"/>
      <c r="O50" s="3110"/>
    </row>
    <row r="51" spans="1:35" ht="12" customHeight="1">
      <c r="A51" s="181"/>
      <c r="B51" s="3046" t="s">
        <v>2204</v>
      </c>
      <c r="C51" s="3046"/>
      <c r="D51" s="182"/>
      <c r="E51" s="30"/>
      <c r="F51" s="180"/>
      <c r="G51" s="3118"/>
      <c r="H51" s="138"/>
      <c r="I51" s="2481"/>
      <c r="J51" s="2482" t="s">
        <v>2205</v>
      </c>
      <c r="K51" s="3110" t="s">
        <v>2206</v>
      </c>
      <c r="L51" s="3110"/>
      <c r="M51" s="2482" t="s">
        <v>2207</v>
      </c>
      <c r="N51" s="2482" t="s">
        <v>2208</v>
      </c>
      <c r="O51" s="2482" t="s">
        <v>2209</v>
      </c>
    </row>
    <row r="52" spans="1:35" ht="24" customHeight="1">
      <c r="A52" s="183" t="s">
        <v>2210</v>
      </c>
      <c r="B52" s="3046" t="s">
        <v>2211</v>
      </c>
      <c r="C52" s="3046"/>
      <c r="D52" s="182">
        <f ca="1">ROUND(D45*'数据-取费表'!B41/(1+'数据-取费表'!C42),0)</f>
        <v>1114</v>
      </c>
      <c r="E52" s="11" t="s">
        <v>2212</v>
      </c>
      <c r="F52" s="184">
        <f>'数据-取费表'!B41</f>
        <v>5.2500000000000005E-2</v>
      </c>
      <c r="G52" s="2483"/>
      <c r="H52" s="138"/>
      <c r="I52" s="2481"/>
      <c r="J52" s="1809">
        <v>1</v>
      </c>
      <c r="K52" s="3111" t="s">
        <v>2213</v>
      </c>
      <c r="L52" s="3111"/>
      <c r="M52" s="1751">
        <f>D48</f>
        <v>0</v>
      </c>
      <c r="N52" s="1809" t="str">
        <f>E48</f>
        <v>销售额×税（费）率</v>
      </c>
      <c r="O52" s="1752" t="str">
        <f>F48</f>
        <v>免征</v>
      </c>
    </row>
    <row r="53" spans="1:35" ht="12" customHeight="1">
      <c r="A53" s="183" t="s">
        <v>2214</v>
      </c>
      <c r="B53" s="3069" t="s">
        <v>2215</v>
      </c>
      <c r="C53" s="3070"/>
      <c r="D53" s="182">
        <f ca="1">ROUND(D45*'数据-取费表'!B41/(1+'数据-取费表'!C42),0)</f>
        <v>1114</v>
      </c>
      <c r="E53" s="11" t="s">
        <v>2212</v>
      </c>
      <c r="F53" s="184">
        <f>'数据-取费表'!B41</f>
        <v>5.2500000000000005E-2</v>
      </c>
      <c r="G53" s="2483"/>
      <c r="H53" s="138"/>
      <c r="I53" s="2481"/>
      <c r="J53" s="1809">
        <v>2</v>
      </c>
      <c r="K53" s="3111" t="s">
        <v>2216</v>
      </c>
      <c r="L53" s="3111"/>
      <c r="M53" s="1751">
        <f t="shared" ref="M53:O54" ca="1" si="0">D55</f>
        <v>11</v>
      </c>
      <c r="N53" s="1809" t="str">
        <f t="shared" si="0"/>
        <v>销售额×税（费）率</v>
      </c>
      <c r="O53" s="1752">
        <f t="shared" si="0"/>
        <v>5.0000000000000001E-4</v>
      </c>
    </row>
    <row r="54" spans="1:35" ht="12" customHeight="1">
      <c r="A54" s="183" t="s">
        <v>2217</v>
      </c>
      <c r="B54" s="3069" t="s">
        <v>2218</v>
      </c>
      <c r="C54" s="3070"/>
      <c r="D54" s="182">
        <f ca="1">C68</f>
        <v>1114</v>
      </c>
      <c r="E54" s="30" t="s">
        <v>2219</v>
      </c>
      <c r="F54" s="184">
        <f>'数据-取费表'!B41</f>
        <v>5.2500000000000005E-2</v>
      </c>
      <c r="G54" s="2483"/>
      <c r="H54" s="2484"/>
      <c r="I54" s="2481"/>
      <c r="J54" s="1809">
        <v>3</v>
      </c>
      <c r="K54" s="3111" t="s">
        <v>2220</v>
      </c>
      <c r="L54" s="3111"/>
      <c r="M54" s="1751">
        <f t="shared" ca="1" si="0"/>
        <v>12682</v>
      </c>
      <c r="N54" s="1809" t="str">
        <f t="shared" si="0"/>
        <v>增值额×税（费）率</v>
      </c>
      <c r="O54" s="1753" t="str">
        <f t="shared" si="0"/>
        <v>——</v>
      </c>
    </row>
    <row r="55" spans="1:35" ht="24" customHeight="1">
      <c r="A55" s="3060" t="s">
        <v>2221</v>
      </c>
      <c r="B55" s="3061"/>
      <c r="C55" s="3061"/>
      <c r="D55" s="185">
        <f ca="1">IF(H55="个人住宅",0,ROUND(D45*I55,0))</f>
        <v>11</v>
      </c>
      <c r="E55" s="11" t="s">
        <v>2222</v>
      </c>
      <c r="F55" s="184">
        <f>IF(H55="正常",I55,"免征")</f>
        <v>5.0000000000000001E-4</v>
      </c>
      <c r="G55" s="2483"/>
      <c r="H55" s="2480" t="s">
        <v>2223</v>
      </c>
      <c r="I55" s="186">
        <f>'数据-取费表'!B49</f>
        <v>5.0000000000000001E-4</v>
      </c>
      <c r="J55" s="1809" t="str">
        <f>IF(H59="非个人房产","",4)</f>
        <v/>
      </c>
      <c r="K55" s="3111" t="str">
        <f>IF(H59="非个人房产","——","个人所得税")</f>
        <v>——</v>
      </c>
      <c r="L55" s="3111"/>
      <c r="M55" s="1754" t="str">
        <f>D59</f>
        <v>——</v>
      </c>
      <c r="N55" s="1807" t="str">
        <f>E59</f>
        <v>——</v>
      </c>
      <c r="O55" s="1755" t="str">
        <f>F59</f>
        <v>——</v>
      </c>
    </row>
    <row r="56" spans="1:35" ht="24.75">
      <c r="A56" s="3060" t="s">
        <v>2224</v>
      </c>
      <c r="B56" s="3061"/>
      <c r="C56" s="3061"/>
      <c r="D56" s="185">
        <f ca="1">IF(H56="个人住宅",D57,D58)</f>
        <v>12682</v>
      </c>
      <c r="E56" s="11" t="s">
        <v>2225</v>
      </c>
      <c r="F56" s="184" t="str">
        <f>IF(H56="正常",F58,"免征")</f>
        <v>——</v>
      </c>
      <c r="G56" s="2485" t="s">
        <v>2226</v>
      </c>
      <c r="H56" s="2486" t="s">
        <v>2223</v>
      </c>
      <c r="I56" s="2487"/>
      <c r="J56" s="1809" t="str">
        <f>IF(项目基本情况!K6="上海银行",IF(J55="",4,J55+1),"")</f>
        <v/>
      </c>
      <c r="K56" s="3134" t="str">
        <f>IF(项目基本情况!K6="上海银行","其他处置费用","")</f>
        <v/>
      </c>
      <c r="L56" s="3135"/>
      <c r="M56" s="1751" t="str">
        <f>IF(项目基本情况!K6="上海银行",M69,"")</f>
        <v/>
      </c>
      <c r="N56" s="3137" t="str">
        <f>IF(项目基本情况!K6="上海银行","包含处置中涉及的律师、诉讼、拍卖、评估等费用","")</f>
        <v/>
      </c>
      <c r="O56" s="3138"/>
    </row>
    <row r="57" spans="1:35" ht="12.75">
      <c r="A57" s="183" t="s">
        <v>2199</v>
      </c>
      <c r="B57" s="3076" t="s">
        <v>2227</v>
      </c>
      <c r="C57" s="3085"/>
      <c r="D57" s="187">
        <v>0</v>
      </c>
      <c r="E57" s="23" t="s">
        <v>2201</v>
      </c>
      <c r="F57" s="155"/>
      <c r="G57" s="2483"/>
      <c r="H57" s="2487"/>
      <c r="I57" s="2487"/>
      <c r="J57" s="3111">
        <f>IF(AND(J55="",J56=""),4,IF(项目基本情况!K6="上海银行",结果表!J56+1,结果表!J55+1))</f>
        <v>4</v>
      </c>
      <c r="K57" s="3111" t="s">
        <v>2228</v>
      </c>
      <c r="L57" s="2488" t="s">
        <v>2229</v>
      </c>
      <c r="M57" s="1756"/>
      <c r="N57" s="1757">
        <f ca="1">SUMIF(M52:M56,"&lt;9e307")</f>
        <v>12693</v>
      </c>
      <c r="O57" s="2489"/>
      <c r="P57" s="1750" t="e">
        <f ca="1">N57/M49</f>
        <v>#VALUE!</v>
      </c>
    </row>
    <row r="58" spans="1:35" ht="24.75">
      <c r="A58" s="183" t="s">
        <v>2210</v>
      </c>
      <c r="B58" s="3076" t="s">
        <v>2230</v>
      </c>
      <c r="C58" s="3077"/>
      <c r="D58" s="185">
        <f ca="1">IF(H58="转让取得",C81,C97)</f>
        <v>12682</v>
      </c>
      <c r="E58" s="11" t="s">
        <v>2225</v>
      </c>
      <c r="F58" s="24" t="s">
        <v>34</v>
      </c>
      <c r="G58" s="2483"/>
      <c r="H58" s="2486" t="s">
        <v>2231</v>
      </c>
      <c r="I58" s="2487"/>
      <c r="J58" s="3111"/>
      <c r="K58" s="3111"/>
      <c r="L58" s="2488" t="s">
        <v>2232</v>
      </c>
      <c r="M58" s="1758"/>
      <c r="N58" s="2490" t="str">
        <f ca="1">NUMBERSTRING(INT(N57*10000),2)&amp;"元整"</f>
        <v>壹亿贰仟陆佰玖拾叁万元整</v>
      </c>
      <c r="O58" s="2491"/>
    </row>
    <row r="59" spans="1:35" ht="24.75" thickBot="1">
      <c r="A59" s="3114" t="s">
        <v>2233</v>
      </c>
      <c r="B59" s="3115"/>
      <c r="C59" s="3115"/>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12">
        <f>J57+1</f>
        <v>5</v>
      </c>
      <c r="K59" s="3111" t="s">
        <v>2235</v>
      </c>
      <c r="L59" s="1809" t="s">
        <v>2229</v>
      </c>
      <c r="M59" s="1759"/>
      <c r="N59" s="1760" t="e">
        <f ca="1">M49-N57</f>
        <v>#VALUE!</v>
      </c>
      <c r="O59" s="2493"/>
    </row>
    <row r="60" spans="1:35" ht="12" customHeight="1">
      <c r="A60" s="2494"/>
      <c r="B60" s="2416"/>
      <c r="C60" s="2416"/>
      <c r="D60" s="2416"/>
      <c r="E60" s="2164"/>
      <c r="F60" s="2487"/>
      <c r="G60" s="2487"/>
      <c r="H60" s="2495"/>
      <c r="I60" s="138"/>
      <c r="J60" s="3113"/>
      <c r="K60" s="3111"/>
      <c r="L60" s="2488" t="s">
        <v>2232</v>
      </c>
      <c r="M60" s="1758"/>
      <c r="N60" s="2490" t="e">
        <f ca="1">NUMBERSTRING(INT(N59*10000),2)&amp;"元整"</f>
        <v>#VALUE!</v>
      </c>
      <c r="O60" s="2491"/>
    </row>
    <row r="61" spans="1:35" ht="13.5" thickBot="1">
      <c r="A61" s="3058" t="s">
        <v>2236</v>
      </c>
      <c r="B61" s="3058"/>
      <c r="C61" s="3058"/>
      <c r="D61" s="3058"/>
      <c r="E61" s="3058"/>
      <c r="F61" s="2487"/>
      <c r="G61" s="2487"/>
      <c r="H61" s="2495"/>
      <c r="I61" s="138"/>
      <c r="J61" s="1809">
        <f>J59+1</f>
        <v>6</v>
      </c>
      <c r="K61" s="3111" t="s">
        <v>2237</v>
      </c>
      <c r="L61" s="3111"/>
      <c r="M61" s="1761"/>
      <c r="N61" s="1762" t="e">
        <f ca="1">ROUND(N59*10000/'数据-汇总表'!E3,0)</f>
        <v>#VALUE!</v>
      </c>
      <c r="O61" s="2496"/>
    </row>
    <row r="62" spans="1:35" ht="12.75">
      <c r="A62" s="3074" t="s">
        <v>2238</v>
      </c>
      <c r="B62" s="3075"/>
      <c r="C62" s="1801"/>
      <c r="D62" s="1801" t="s">
        <v>2239</v>
      </c>
      <c r="E62" s="192" t="s">
        <v>2240</v>
      </c>
      <c r="F62" s="2487"/>
      <c r="G62" s="2487"/>
      <c r="H62" s="2495"/>
      <c r="I62" s="138"/>
    </row>
    <row r="63" spans="1:35" ht="12.75">
      <c r="A63" s="203" t="s">
        <v>775</v>
      </c>
      <c r="B63" s="193" t="s">
        <v>2241</v>
      </c>
      <c r="C63" s="194">
        <f ca="1">ROUND((C64+C65)/(1+'数据-取费表'!C42),0)</f>
        <v>21221</v>
      </c>
      <c r="D63" s="195"/>
      <c r="E63" s="196"/>
      <c r="F63" s="2487"/>
      <c r="G63" s="2487"/>
      <c r="H63" s="2495"/>
      <c r="I63" s="138"/>
      <c r="J63" s="3136" t="s">
        <v>2242</v>
      </c>
      <c r="K63" s="2497" t="s">
        <v>2243</v>
      </c>
      <c r="L63" s="1749" t="e">
        <f>IF(M49&gt;10000,M49*0.5%,IF(AND(M49&gt;1000,M49&lt;=10000),M49*1%,IF(AND(M49&gt;100,M49&lt;=1000),M49*3%,IF(AND(M49&gt;10,M49&lt;=100),M49*5%,M49*8%))))</f>
        <v>#VALUE!</v>
      </c>
      <c r="M63" s="24" t="e">
        <f>ROUND(L63,1)</f>
        <v>#VALUE!</v>
      </c>
      <c r="Z63" s="2421"/>
      <c r="AI63" s="2422"/>
    </row>
    <row r="64" spans="1:35" ht="14.25" customHeight="1">
      <c r="A64" s="197" t="s">
        <v>770</v>
      </c>
      <c r="B64" s="198" t="s">
        <v>2244</v>
      </c>
      <c r="C64" s="199">
        <f ca="1">D45</f>
        <v>22282</v>
      </c>
      <c r="D64" s="200" t="s">
        <v>32</v>
      </c>
      <c r="E64" s="201"/>
      <c r="F64" s="2487"/>
      <c r="G64" s="2487"/>
      <c r="H64" s="2495"/>
      <c r="I64" s="138"/>
      <c r="J64" s="3136"/>
      <c r="K64" s="2497"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7" t="s">
        <v>771</v>
      </c>
      <c r="B65" s="198" t="s">
        <v>2247</v>
      </c>
      <c r="C65" s="202"/>
      <c r="D65" s="200"/>
      <c r="E65" s="201"/>
      <c r="F65" s="2487"/>
      <c r="G65" s="2487"/>
      <c r="H65" s="2495"/>
      <c r="I65" s="138"/>
      <c r="J65" s="3136"/>
      <c r="K65" s="2497" t="s">
        <v>2248</v>
      </c>
      <c r="L65" s="1749" t="e">
        <f>IF(M49&gt;1000,M49*0.1%,IF(AND(M49&gt;500,M49&lt;=1000),M49*0.5%,IF(AND(M49&gt;50,M49&lt;=500),M49*1%,IF(AND(M49&gt;1,M49&lt;=50),M49*1.5%))))</f>
        <v>#VALUE!</v>
      </c>
      <c r="M65" s="24" t="e">
        <f t="shared" si="1"/>
        <v>#VALUE!</v>
      </c>
      <c r="N65" s="138" t="s">
        <v>2246</v>
      </c>
      <c r="Z65" s="2421"/>
      <c r="AI65" s="2422"/>
    </row>
    <row r="66" spans="1:35" ht="14.25" customHeight="1">
      <c r="A66" s="203" t="s">
        <v>772</v>
      </c>
      <c r="B66" s="204" t="s">
        <v>2249</v>
      </c>
      <c r="C66" s="205"/>
      <c r="D66" s="206" t="s">
        <v>32</v>
      </c>
      <c r="E66" s="1773" t="s">
        <v>1366</v>
      </c>
      <c r="F66" s="2487"/>
      <c r="G66" s="2487"/>
      <c r="H66" s="2495"/>
      <c r="I66" s="138"/>
      <c r="J66" s="3136"/>
      <c r="K66" s="2497" t="s">
        <v>2250</v>
      </c>
      <c r="L66" s="1749" t="e">
        <f>M49*0.5%</f>
        <v>#VALUE!</v>
      </c>
      <c r="M66" s="24" t="e">
        <f>IF(L66&gt;0.5,0.5,ROUND(L66,0))</f>
        <v>#VALUE!</v>
      </c>
      <c r="N66" s="138" t="s">
        <v>2251</v>
      </c>
      <c r="Z66" s="2421"/>
      <c r="AI66" s="2422"/>
    </row>
    <row r="67" spans="1:35" ht="14.25" customHeight="1">
      <c r="A67" s="203" t="s">
        <v>773</v>
      </c>
      <c r="B67" s="204" t="s">
        <v>2252</v>
      </c>
      <c r="C67" s="207">
        <f ca="1">C63-C66</f>
        <v>21221</v>
      </c>
      <c r="D67" s="200" t="s">
        <v>32</v>
      </c>
      <c r="E67" s="201"/>
      <c r="F67" s="2487"/>
      <c r="G67" s="2487"/>
      <c r="H67" s="2495"/>
      <c r="I67" s="138"/>
      <c r="J67" s="3136"/>
      <c r="K67" s="2497"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2254</v>
      </c>
      <c r="C68" s="210">
        <f ca="1">IF(C67&lt;=0,0,ROUND(C67*D68,0))</f>
        <v>1114</v>
      </c>
      <c r="D68" s="211">
        <f>'数据-取费表'!B41</f>
        <v>5.2500000000000005E-2</v>
      </c>
      <c r="E68" s="212"/>
      <c r="F68" s="2487"/>
      <c r="G68" s="2487"/>
      <c r="H68" s="2495"/>
      <c r="I68" s="138"/>
      <c r="J68" s="3136"/>
      <c r="K68" s="2497" t="s">
        <v>2255</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136"/>
      <c r="K69" s="2497" t="s">
        <v>2256</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5" t="s">
        <v>2257</v>
      </c>
      <c r="B70" s="3096"/>
      <c r="C70" s="3096"/>
      <c r="D70" s="3096"/>
      <c r="E70" s="3096"/>
      <c r="F70" s="3096"/>
      <c r="G70" s="3096"/>
      <c r="H70" s="309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4" t="s">
        <v>2238</v>
      </c>
      <c r="B71" s="3075"/>
      <c r="C71" s="1801"/>
      <c r="D71" s="1801"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21221</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53</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69" t="s">
        <v>2266</v>
      </c>
      <c r="F76" s="3046"/>
      <c r="G76" s="3046"/>
      <c r="H76" s="309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53</v>
      </c>
      <c r="D78" s="226">
        <f>'数据-取费表'!B43</f>
        <v>2.5000000000000005E-3</v>
      </c>
      <c r="E78" s="3055" t="s">
        <v>2271</v>
      </c>
      <c r="F78" s="3056"/>
      <c r="G78" s="3056"/>
      <c r="H78" s="306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21168</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399.39622641509436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12682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5" t="s">
        <v>2275</v>
      </c>
      <c r="B83" s="3096"/>
      <c r="C83" s="3096"/>
      <c r="D83" s="3096"/>
      <c r="E83" s="3096"/>
      <c r="F83" s="3096"/>
      <c r="G83" s="3096"/>
      <c r="H83" s="309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4" t="s">
        <v>2238</v>
      </c>
      <c r="B84" s="3075"/>
      <c r="C84" s="1801"/>
      <c r="D84" s="1801"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21221</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53</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7"/>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55" t="s">
        <v>2284</v>
      </c>
      <c r="F91" s="3056"/>
      <c r="G91" s="3056"/>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55" t="s">
        <v>2288</v>
      </c>
      <c r="F92" s="3056"/>
      <c r="G92" s="3056"/>
      <c r="H92" s="306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53</v>
      </c>
      <c r="D93" s="226">
        <f>'数据-取费表'!B43</f>
        <v>2.5000000000000005E-3</v>
      </c>
      <c r="E93" s="3055" t="s">
        <v>2271</v>
      </c>
      <c r="F93" s="3056"/>
      <c r="G93" s="3056"/>
      <c r="H93" s="306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66" t="s">
        <v>2292</v>
      </c>
      <c r="F94" s="3067"/>
      <c r="G94" s="3067"/>
      <c r="H94" s="306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21168</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399.39622641509436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12682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2293</v>
      </c>
      <c r="B99" s="2416"/>
      <c r="C99" s="2416"/>
      <c r="D99" s="2416"/>
      <c r="E99" s="2164"/>
      <c r="F99" s="2164"/>
      <c r="G99" s="2164"/>
      <c r="H99" s="2163"/>
      <c r="I99" s="138"/>
    </row>
    <row r="100" spans="1:35" ht="18.75" customHeight="1">
      <c r="A100" s="3040" t="s">
        <v>2294</v>
      </c>
      <c r="B100" s="3041"/>
      <c r="C100" s="3041"/>
      <c r="D100" s="3057"/>
      <c r="E100" s="3041" t="s">
        <v>2295</v>
      </c>
      <c r="F100" s="3041"/>
      <c r="G100" s="3041"/>
      <c r="H100" s="3057"/>
      <c r="I100" s="138"/>
    </row>
    <row r="101" spans="1:35" ht="18.75" customHeight="1">
      <c r="A101" s="3119" t="s">
        <v>2296</v>
      </c>
      <c r="B101" s="3120"/>
      <c r="C101" s="736" t="str">
        <f>C4</f>
        <v>成本法</v>
      </c>
      <c r="D101" s="737" t="str">
        <f>D4</f>
        <v>假设开发法</v>
      </c>
      <c r="E101" s="3133" t="s">
        <v>2297</v>
      </c>
      <c r="F101" s="3087"/>
      <c r="G101" s="2518" t="s">
        <v>2298</v>
      </c>
      <c r="H101" s="1045">
        <f ca="1">H118</f>
        <v>22282</v>
      </c>
      <c r="I101" s="138"/>
    </row>
    <row r="102" spans="1:35" ht="18.75" customHeight="1">
      <c r="A102" s="3089" t="s">
        <v>2299</v>
      </c>
      <c r="B102" s="2518" t="s">
        <v>2298</v>
      </c>
      <c r="C102" s="736">
        <f ca="1">C19</f>
        <v>13265</v>
      </c>
      <c r="D102" s="737">
        <f ca="1">D19</f>
        <v>26147</v>
      </c>
      <c r="E102" s="3133"/>
      <c r="F102" s="3087"/>
      <c r="G102" s="2518" t="s">
        <v>2300</v>
      </c>
      <c r="H102" s="371">
        <f ca="1">I118</f>
        <v>6110</v>
      </c>
      <c r="I102" s="138"/>
    </row>
    <row r="103" spans="1:35" ht="42.75" customHeight="1">
      <c r="A103" s="3089"/>
      <c r="B103" s="2518" t="s">
        <v>2300</v>
      </c>
      <c r="C103" s="738">
        <f ca="1">C20</f>
        <v>3638</v>
      </c>
      <c r="D103" s="739">
        <f ca="1">D20</f>
        <v>7170</v>
      </c>
      <c r="E103" s="3128" t="s">
        <v>2301</v>
      </c>
      <c r="F103" s="3129"/>
      <c r="G103" s="2519" t="s">
        <v>2302</v>
      </c>
      <c r="H103" s="1045">
        <f>IF(D36="正常操作",H104+H105+H106,H105+H106)</f>
        <v>0</v>
      </c>
      <c r="I103" s="138"/>
    </row>
    <row r="104" spans="1:35" ht="18.75" customHeight="1">
      <c r="A104" s="3089" t="s">
        <v>2303</v>
      </c>
      <c r="B104" s="2520" t="s">
        <v>2298</v>
      </c>
      <c r="C104" s="740">
        <f ca="1">H118</f>
        <v>22282</v>
      </c>
      <c r="D104" s="741"/>
      <c r="E104" s="2265" t="s">
        <v>2304</v>
      </c>
      <c r="F104" s="2256"/>
      <c r="G104" s="2519" t="s">
        <v>2302</v>
      </c>
      <c r="H104" s="1046">
        <f>IF(D36="同一抵押权人同一抵押物续贷",C36&amp;"（未扣减，详见特别提示）",C36)</f>
        <v>0</v>
      </c>
      <c r="I104" s="138"/>
    </row>
    <row r="105" spans="1:35" ht="18.75" customHeight="1" thickBot="1">
      <c r="A105" s="3090"/>
      <c r="B105" s="2521" t="s">
        <v>2300</v>
      </c>
      <c r="C105" s="742">
        <f ca="1">I118</f>
        <v>6110</v>
      </c>
      <c r="D105" s="743"/>
      <c r="E105" s="2265" t="s">
        <v>2305</v>
      </c>
      <c r="F105" s="2256"/>
      <c r="G105" s="2519" t="s">
        <v>2302</v>
      </c>
      <c r="H105" s="1046">
        <f>C37</f>
        <v>0</v>
      </c>
      <c r="I105" s="138"/>
    </row>
    <row r="106" spans="1:35" ht="18.75" customHeight="1">
      <c r="A106" s="2416" t="s">
        <v>2306</v>
      </c>
      <c r="B106" s="2416"/>
      <c r="C106" s="2416"/>
      <c r="D106" s="2416"/>
      <c r="E106" s="2522" t="s">
        <v>2307</v>
      </c>
      <c r="F106" s="2256"/>
      <c r="G106" s="2519" t="s">
        <v>2302</v>
      </c>
      <c r="H106" s="1046">
        <f>C38</f>
        <v>0</v>
      </c>
      <c r="I106" s="138"/>
    </row>
    <row r="107" spans="1:35" ht="18.75" customHeight="1">
      <c r="A107" s="138"/>
      <c r="B107" s="138"/>
      <c r="C107" s="138"/>
      <c r="D107" s="138"/>
      <c r="E107" s="3086" t="str">
        <f>IF(项目基本情况!E8="已注销","——","3.房地产抵押价值")</f>
        <v>3.房地产抵押价值</v>
      </c>
      <c r="F107" s="3087"/>
      <c r="G107" s="2518" t="s">
        <v>2298</v>
      </c>
      <c r="H107" s="1045">
        <f ca="1">IF(E107="——","——",H101-H103)</f>
        <v>22282</v>
      </c>
      <c r="I107" s="138"/>
    </row>
    <row r="108" spans="1:35" ht="18.75" customHeight="1">
      <c r="A108" s="138"/>
      <c r="B108" s="138"/>
      <c r="C108" s="138"/>
      <c r="D108" s="138"/>
      <c r="E108" s="3086"/>
      <c r="F108" s="3087"/>
      <c r="G108" s="2518" t="s">
        <v>2300</v>
      </c>
      <c r="H108" s="371">
        <f ca="1">ROUND(H107*10000/'数据-汇总表'!E3,0)</f>
        <v>6110</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18" t="s">
        <v>2298</v>
      </c>
      <c r="H109" s="348" t="str">
        <f>IF(E109="——","——",H101-H105-H106)</f>
        <v>——</v>
      </c>
      <c r="I109" s="138"/>
    </row>
    <row r="110" spans="1:35" ht="18.75" customHeight="1">
      <c r="A110" s="138"/>
      <c r="B110" s="138"/>
      <c r="C110" s="138"/>
      <c r="D110" s="138"/>
      <c r="E110" s="3086"/>
      <c r="F110" s="3087"/>
      <c r="G110" s="2518" t="s">
        <v>2300</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8" t="s">
        <v>2298</v>
      </c>
      <c r="H111" s="1045" t="str">
        <f>IF(E111="——","——",N59)</f>
        <v>——</v>
      </c>
      <c r="I111" s="138"/>
    </row>
    <row r="112" spans="1:35" ht="18.75" customHeight="1" thickBot="1">
      <c r="A112" s="138"/>
      <c r="B112" s="138"/>
      <c r="C112" s="138"/>
      <c r="D112" s="138"/>
      <c r="E112" s="3123"/>
      <c r="F112" s="3124"/>
      <c r="G112" s="2523" t="s">
        <v>2300</v>
      </c>
      <c r="H112" s="790" t="str">
        <f>IF(E111="——","——",N61)</f>
        <v>——</v>
      </c>
      <c r="I112" s="138"/>
    </row>
    <row r="113" spans="1:11" ht="18.75" customHeight="1">
      <c r="A113" s="138"/>
      <c r="B113" s="138"/>
      <c r="C113" s="138"/>
      <c r="D113" s="138"/>
      <c r="E113" s="3091" t="s">
        <v>2306</v>
      </c>
      <c r="F113" s="3091"/>
      <c r="G113" s="3091"/>
      <c r="H113" s="3091"/>
      <c r="I113" s="138"/>
    </row>
    <row r="114" spans="1:11" ht="3.75" customHeight="1">
      <c r="A114" s="2416"/>
      <c r="B114" s="2416"/>
      <c r="C114" s="2416"/>
      <c r="D114" s="2416"/>
      <c r="E114" s="2494"/>
      <c r="F114" s="2494"/>
      <c r="G114" s="2494"/>
      <c r="H114" s="2494"/>
      <c r="I114" s="2416"/>
    </row>
    <row r="115" spans="1:11" ht="18.75" customHeight="1">
      <c r="A115" s="3104" t="s">
        <v>2308</v>
      </c>
      <c r="B115" s="3105"/>
      <c r="C115" s="3105"/>
      <c r="D115" s="3105"/>
      <c r="E115" s="3105"/>
      <c r="F115" s="3105"/>
      <c r="G115" s="3105"/>
      <c r="H115" s="3105"/>
      <c r="I115" s="3106"/>
    </row>
    <row r="116" spans="1:11" ht="27" customHeight="1">
      <c r="A116" s="2997" t="s">
        <v>2309</v>
      </c>
      <c r="B116" s="3092" t="s">
        <v>2310</v>
      </c>
      <c r="C116" s="3092" t="s">
        <v>2311</v>
      </c>
      <c r="D116" s="3108" t="s">
        <v>2312</v>
      </c>
      <c r="E116" s="3109"/>
      <c r="F116" s="3100" t="s">
        <v>2313</v>
      </c>
      <c r="G116" s="3100"/>
      <c r="H116" s="2997" t="s">
        <v>2314</v>
      </c>
      <c r="I116" s="2997"/>
    </row>
    <row r="117" spans="1:11" ht="18.75" customHeight="1">
      <c r="A117" s="2997"/>
      <c r="B117" s="3093"/>
      <c r="C117" s="3093"/>
      <c r="D117" s="1795" t="s">
        <v>2315</v>
      </c>
      <c r="E117" s="1795" t="s">
        <v>2316</v>
      </c>
      <c r="F117" s="1795" t="s">
        <v>2315</v>
      </c>
      <c r="G117" s="1795" t="s">
        <v>2317</v>
      </c>
      <c r="H117" s="1795" t="s">
        <v>2315</v>
      </c>
      <c r="I117" s="1795" t="s">
        <v>2317</v>
      </c>
    </row>
    <row r="118" spans="1:11" ht="24.75" customHeight="1">
      <c r="A118" s="2524" t="str">
        <f>项目基本情况!S2</f>
        <v>山西省长治市高新区北二环路与太行北路交叉口东南角出让国有建设用地使用权及在建建筑物房地产</v>
      </c>
      <c r="B118" s="1795">
        <f>M18</f>
        <v>36467.32</v>
      </c>
      <c r="C118" s="1795">
        <f>M19</f>
        <v>15680.97</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22282</v>
      </c>
      <c r="I118" s="1795">
        <f ca="1">ROUND(IF(D32="楼面单价",C32,H118*10000/B118),0)</f>
        <v>6110</v>
      </c>
    </row>
    <row r="119" spans="1:11" ht="18.75" customHeight="1">
      <c r="A119" s="2997" t="s">
        <v>2318</v>
      </c>
      <c r="B119" s="2997"/>
      <c r="C119" s="2997"/>
      <c r="D119" s="3097" t="e">
        <f ca="1">NUMBERSTRING(INT(D118*10000),2)&amp;"元整"</f>
        <v>#REF!</v>
      </c>
      <c r="E119" s="3099"/>
      <c r="F119" s="3097" t="e">
        <f ca="1">NUMBERSTRING(INT(F118*10000),2)&amp;"元整"</f>
        <v>#REF!</v>
      </c>
      <c r="G119" s="3099"/>
      <c r="H119" s="3097" t="str">
        <f ca="1">NUMBERSTRING(INT(H118*10000),2)&amp;"元整"</f>
        <v>贰亿贰仟贰佰捌拾贰万元整</v>
      </c>
      <c r="I119" s="3099"/>
    </row>
    <row r="120" spans="1:11" ht="18.75" customHeight="1">
      <c r="A120" s="3125" t="str">
        <f>IF(项目基本情况!B9="房地产市场价值","",MID(E103,3,LEN(E103)-2))</f>
        <v/>
      </c>
      <c r="B120" s="3126"/>
      <c r="C120" s="3127"/>
      <c r="D120" s="3125">
        <f>H103</f>
        <v>0</v>
      </c>
      <c r="E120" s="3126"/>
      <c r="F120" s="3126"/>
      <c r="G120" s="3126"/>
      <c r="H120" s="3126"/>
      <c r="I120" s="3127"/>
      <c r="K120" s="2421" t="str">
        <f>IF(D120=0,"故，本次评估不存在"&amp;A120,"故，本次评估"&amp;A120&amp;"为人民币"&amp;D120&amp;"万元整。")</f>
        <v>故，本次评估不存在</v>
      </c>
    </row>
    <row r="121" spans="1:11" ht="18.75" customHeight="1">
      <c r="A121" s="3101" t="s">
        <v>2318</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
      </c>
      <c r="B122" s="3088"/>
      <c r="C122" s="3088"/>
      <c r="D122" s="3125">
        <f ca="1">H107</f>
        <v>22282</v>
      </c>
      <c r="E122" s="3126"/>
      <c r="F122" s="3126"/>
      <c r="G122" s="3126"/>
      <c r="H122" s="3126"/>
      <c r="I122" s="3127"/>
    </row>
    <row r="123" spans="1:11" ht="18.75" customHeight="1">
      <c r="A123" s="2997" t="s">
        <v>2318</v>
      </c>
      <c r="B123" s="2997"/>
      <c r="C123" s="2997"/>
      <c r="D123" s="3097" t="str">
        <f ca="1">NUMBERSTRING(INT(D122*10000),2)&amp;"元整"</f>
        <v>贰亿贰仟贰佰捌拾贰万元整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2318</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2318</v>
      </c>
      <c r="B127" s="2997"/>
      <c r="C127" s="2997"/>
      <c r="D127" s="3097" t="e">
        <f>NUMBERSTRING(INT(D126*10000),2)&amp;"元整"</f>
        <v>#VALUE!</v>
      </c>
      <c r="E127" s="3098"/>
      <c r="F127" s="3098"/>
      <c r="G127" s="3098"/>
      <c r="H127" s="3098"/>
      <c r="I127" s="3099"/>
    </row>
    <row r="128" spans="1:11" ht="21.75" customHeight="1">
      <c r="A128" s="3107" t="s">
        <v>2319</v>
      </c>
      <c r="B128" s="3107"/>
      <c r="C128" s="3107"/>
      <c r="D128" s="3107"/>
      <c r="E128" s="3107"/>
      <c r="F128" s="3107"/>
      <c r="G128" s="3107"/>
      <c r="H128" s="3107"/>
      <c r="I128" s="3107"/>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8</v>
      </c>
    </row>
    <row r="2" spans="1:9" s="244" customFormat="1" ht="18" customHeight="1">
      <c r="A2" s="245" t="s">
        <v>2328</v>
      </c>
      <c r="B2" s="246">
        <f ca="1">IF(D2="——",C52,C52-E2)</f>
        <v>13265</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3638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3699</v>
      </c>
      <c r="D5" s="255" t="s">
        <v>2335</v>
      </c>
      <c r="E5" s="256" t="s">
        <v>2336</v>
      </c>
      <c r="F5" s="256" t="s">
        <v>2337</v>
      </c>
      <c r="G5" s="257"/>
    </row>
    <row r="6" spans="1:9" s="258" customFormat="1" ht="13.5" customHeight="1">
      <c r="A6" s="949" t="s">
        <v>2338</v>
      </c>
      <c r="B6" s="259" t="s">
        <v>2339</v>
      </c>
      <c r="C6" s="260">
        <f>'土地比较法-住宅、综合'!B2</f>
        <v>3590</v>
      </c>
      <c r="D6" s="261"/>
      <c r="E6" s="262"/>
      <c r="F6" s="262"/>
      <c r="G6" s="263"/>
    </row>
    <row r="7" spans="1:9" s="258" customFormat="1" ht="13.5" customHeight="1">
      <c r="A7" s="949" t="s">
        <v>2340</v>
      </c>
      <c r="B7" s="259" t="s">
        <v>2341</v>
      </c>
      <c r="C7" s="264">
        <f>ROUND(C6*F7,0)</f>
        <v>109</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0" t="s">
        <v>3329</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240</v>
      </c>
      <c r="F9" s="265"/>
      <c r="G9" s="2551" t="s">
        <v>3327</v>
      </c>
      <c r="H9" s="1390"/>
      <c r="I9" s="2552" t="s">
        <v>2345</v>
      </c>
    </row>
    <row r="10" spans="1:9" s="258" customFormat="1" ht="13.5" customHeight="1">
      <c r="A10" s="950" t="s">
        <v>801</v>
      </c>
      <c r="B10" s="268" t="s">
        <v>2346</v>
      </c>
      <c r="C10" s="269">
        <f ca="1">ROUND(D10*E10/10000,0)</f>
        <v>875</v>
      </c>
      <c r="D10" s="1032">
        <f ca="1">IF(B1="",'数据-汇总表'!E6,IF(INDIRECT("'数据-取费表'!c"&amp;$G$1)="住宅",INDIRECT("'数据-取费表'!s"&amp;$G$1),INDIRECT("'数据-取费表'!k"&amp;$G$1)+INDIRECT("'数据-取费表'!s"&amp;$G$1)))</f>
        <v>36467.32</v>
      </c>
      <c r="E10" s="269">
        <f>'数据-取费表'!B28</f>
        <v>240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36467.32</v>
      </c>
      <c r="E19" s="255">
        <f>'数据-取费表'!B31</f>
        <v>120</v>
      </c>
      <c r="F19" s="275"/>
      <c r="G19" s="2550" t="s">
        <v>3328</v>
      </c>
    </row>
    <row r="20" spans="1:7" s="258" customFormat="1" ht="13.5" customHeight="1">
      <c r="A20" s="299" t="s">
        <v>2359</v>
      </c>
      <c r="B20" s="254" t="s">
        <v>2360</v>
      </c>
      <c r="C20" s="276">
        <f>ROUND((C5+C19)*F20,0)</f>
        <v>74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364</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360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4</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573</v>
      </c>
      <c r="D27" s="279">
        <f ca="1">C29</f>
        <v>3.0000000000000001E-3</v>
      </c>
      <c r="E27" s="280" t="s">
        <v>2380</v>
      </c>
      <c r="F27" s="290">
        <f ca="1">IF(B1="",'数据-取费表'!Q16,INDIRECT("'数据-取费表'!q"&amp;$G$1))</f>
        <v>0.19</v>
      </c>
      <c r="G27" s="291" t="s">
        <v>2381</v>
      </c>
    </row>
    <row r="28" spans="1:7" s="258" customFormat="1" ht="13.5" customHeight="1">
      <c r="A28" s="951" t="s">
        <v>791</v>
      </c>
      <c r="B28" s="292" t="s">
        <v>2382</v>
      </c>
      <c r="C28" s="293">
        <f ca="1">ROUND((C5+C19+C20)*F27*'数据-取费表'!B21/'数据-取费表'!B20,0)</f>
        <v>573</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0.05</v>
      </c>
      <c r="D30" s="280" t="s">
        <v>2380</v>
      </c>
      <c r="E30" s="285"/>
      <c r="F30" s="281">
        <f>'数据-取费表'!B41</f>
        <v>5.2500000000000005E-2</v>
      </c>
      <c r="G30" s="278" t="s">
        <v>2386</v>
      </c>
    </row>
    <row r="31" spans="1:7" ht="16.5" customHeight="1">
      <c r="A31" s="253">
        <v>1</v>
      </c>
      <c r="B31" s="254" t="s">
        <v>2387</v>
      </c>
      <c r="C31" s="255">
        <f ca="1">ROUND((C5+C19+C20+C22+C27)/(1-C21-D22-D27-C30),0)</f>
        <v>5086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5994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5213</v>
      </c>
      <c r="D34" s="261"/>
      <c r="E34" s="264"/>
      <c r="F34" s="301">
        <f ca="1">IF('数据-取费表'!B24=0,1,IF(B1="",'数据-取费表'!N16,INDIRECT("'数据-取费表'!n"&amp;$G$1)))</f>
        <v>0.75</v>
      </c>
      <c r="G34" s="263" t="s">
        <v>2392</v>
      </c>
    </row>
    <row r="35" spans="1:7" ht="13.5" customHeight="1">
      <c r="A35" s="951" t="s">
        <v>796</v>
      </c>
      <c r="B35" s="259" t="s">
        <v>2393</v>
      </c>
      <c r="C35" s="264">
        <f ca="1">ROUND(C34*F35,0)</f>
        <v>156</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547</v>
      </c>
      <c r="D37" s="261">
        <f ca="1">D19</f>
        <v>36467.32</v>
      </c>
      <c r="E37" s="293">
        <f>'数据-取费表'!B35</f>
        <v>200</v>
      </c>
      <c r="F37" s="303"/>
      <c r="G37" s="305" t="s">
        <v>2398</v>
      </c>
    </row>
    <row r="38" spans="1:7" ht="13.5" customHeight="1">
      <c r="A38" s="951" t="s">
        <v>799</v>
      </c>
      <c r="B38" s="259" t="s">
        <v>2399</v>
      </c>
      <c r="C38" s="264">
        <f ca="1">ROUND(C34*F38,0)</f>
        <v>78</v>
      </c>
      <c r="D38" s="264"/>
      <c r="E38" s="264"/>
      <c r="F38" s="303">
        <f>'数据-取费表'!B36</f>
        <v>1.4999999999999999E-2</v>
      </c>
      <c r="G38" s="263" t="s">
        <v>2394</v>
      </c>
    </row>
    <row r="39" spans="1:7" s="258" customFormat="1" ht="13.5" customHeight="1">
      <c r="A39" s="299" t="s">
        <v>2400</v>
      </c>
      <c r="B39" s="254" t="s">
        <v>2401</v>
      </c>
      <c r="C39" s="276">
        <f ca="1">ROUND(C33*F20,0)</f>
        <v>120</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291</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285</v>
      </c>
      <c r="D42" s="282"/>
      <c r="E42" s="282"/>
      <c r="F42" s="283"/>
      <c r="G42" s="3139" t="s">
        <v>2410</v>
      </c>
    </row>
    <row r="43" spans="1:7" ht="13.5" customHeight="1">
      <c r="A43" s="951" t="s">
        <v>792</v>
      </c>
      <c r="B43" s="259" t="s">
        <v>2411</v>
      </c>
      <c r="C43" s="282">
        <f ca="1">ROUND(IF('数据-取费表'!B22&lt;=1,C39*F22*'数据-取费表'!B21/2,C39*(POWER((1+F22),'数据-取费表'!B21/2)-1)),0)</f>
        <v>6</v>
      </c>
      <c r="D43" s="282"/>
      <c r="E43" s="282"/>
      <c r="F43" s="283"/>
      <c r="G43" s="3140"/>
    </row>
    <row r="44" spans="1:7" ht="13.5" customHeight="1">
      <c r="A44" s="951" t="s">
        <v>793</v>
      </c>
      <c r="B44" s="259" t="s">
        <v>2412</v>
      </c>
      <c r="C44" s="282">
        <f ca="1">ROUND(IF('数据-取费表'!B22&lt;=1,C40*F22*'数据-取费表'!B21/2,C40*(POWER((1+F22),'数据-取费表'!B21/2)-1)),4)</f>
        <v>1E-3</v>
      </c>
      <c r="D44" s="282"/>
      <c r="E44" s="282"/>
      <c r="F44" s="283"/>
      <c r="G44" s="3141"/>
    </row>
    <row r="45" spans="1:7" s="258" customFormat="1" ht="13.5" customHeight="1">
      <c r="A45" s="299" t="s">
        <v>2413</v>
      </c>
      <c r="B45" s="288" t="s">
        <v>2379</v>
      </c>
      <c r="C45" s="289">
        <f ca="1">C46</f>
        <v>1162</v>
      </c>
      <c r="D45" s="279">
        <f ca="1">C47</f>
        <v>3.8E-3</v>
      </c>
      <c r="E45" s="280" t="s">
        <v>2405</v>
      </c>
      <c r="F45" s="290"/>
      <c r="G45" s="291" t="s">
        <v>2414</v>
      </c>
    </row>
    <row r="46" spans="1:7" s="258" customFormat="1" ht="13.5" customHeight="1">
      <c r="A46" s="951" t="s">
        <v>791</v>
      </c>
      <c r="B46" s="292" t="s">
        <v>2415</v>
      </c>
      <c r="C46" s="293">
        <f ca="1">ROUND((C33+C39)*F27,0)</f>
        <v>1162</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1728">
        <f>ROUND(F30/(1+'数据-取费表'!C42),4)</f>
        <v>0.05</v>
      </c>
      <c r="D48" s="280" t="s">
        <v>2405</v>
      </c>
      <c r="E48" s="276"/>
      <c r="F48" s="281"/>
      <c r="G48" s="278" t="s">
        <v>2418</v>
      </c>
    </row>
    <row r="49" spans="1:7" ht="16.5" customHeight="1">
      <c r="A49" s="299" t="s">
        <v>2384</v>
      </c>
      <c r="B49" s="254" t="s">
        <v>2419</v>
      </c>
      <c r="C49" s="276">
        <f ca="1">ROUND((C33+C39+C41+C45)/(1-C40-D41-D45-C48),0)</f>
        <v>8179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8179</v>
      </c>
      <c r="D51" s="276"/>
      <c r="E51" s="276"/>
      <c r="F51" s="308"/>
      <c r="G51" s="278" t="s">
        <v>2426</v>
      </c>
    </row>
    <row r="52" spans="1:7" s="252" customFormat="1" ht="16.5" thickBot="1">
      <c r="A52" s="309" t="s">
        <v>2427</v>
      </c>
      <c r="B52" s="310"/>
      <c r="C52" s="311">
        <f ca="1">C31+C51</f>
        <v>13265</v>
      </c>
      <c r="D52" s="310"/>
      <c r="E52" s="310"/>
      <c r="F52" s="310"/>
      <c r="G52" s="312"/>
    </row>
    <row r="55" spans="1:7" ht="15">
      <c r="B55" s="314" t="s">
        <v>2428</v>
      </c>
      <c r="C55" s="315"/>
    </row>
    <row r="56" spans="1:7">
      <c r="B56" s="317" t="s">
        <v>1507</v>
      </c>
      <c r="C56" s="319">
        <f ca="1">1-C57</f>
        <v>0.38300000000000001</v>
      </c>
    </row>
    <row r="57" spans="1:7">
      <c r="B57" s="317" t="s">
        <v>1508</v>
      </c>
      <c r="C57" s="318">
        <f ca="1">ROUND(C51/C52,3)</f>
        <v>0.61699999999999999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山西省长治市高新区北二环路与太行北路交叉口东南角出让国有建设用地使用权及在建建筑物房地产市场价值预评估</v>
      </c>
      <c r="C37" s="2953"/>
      <c r="D37" s="2953"/>
      <c r="E37" s="2953"/>
      <c r="F37" s="2953"/>
      <c r="G37" s="2953"/>
      <c r="H37" s="2953"/>
      <c r="I37" s="2953"/>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陈颖（注册号：1120060040)、叶凌（注册号：1119970111)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3"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12912</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3541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8752157</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8752157</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240</v>
      </c>
      <c r="F9" s="265"/>
      <c r="G9" s="270"/>
    </row>
    <row r="10" spans="1:8" s="258" customFormat="1" ht="13.5" customHeight="1">
      <c r="A10" s="950" t="s">
        <v>801</v>
      </c>
      <c r="B10" s="268" t="s">
        <v>2346</v>
      </c>
      <c r="C10" s="269">
        <f ca="1">ROUND(D10*E10,0)</f>
        <v>8752157</v>
      </c>
      <c r="D10" s="1032">
        <f ca="1">IF(B1="",'数据-汇总表'!E6,IF(INDIRECT("'数据-取费表'!c"&amp;$G$1)="住宅",INDIRECT("'数据-取费表'!s"&amp;$G$1),INDIRECT("'数据-取费表'!k"&amp;$G$1)+INDIRECT("'数据-取费表'!s"&amp;$G$1)))</f>
        <v>36467.32</v>
      </c>
      <c r="E10" s="269">
        <f>'数据-取费表'!B28</f>
        <v>240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4376078</v>
      </c>
      <c r="D19" s="1036">
        <f ca="1">D9+D10</f>
        <v>36467.32</v>
      </c>
      <c r="E19" s="255">
        <f>'数据-取费表'!B31</f>
        <v>120</v>
      </c>
      <c r="F19" s="275"/>
      <c r="G19" s="2550"/>
    </row>
    <row r="20" spans="1:7" s="258" customFormat="1" ht="13.5" customHeight="1">
      <c r="A20" s="299" t="s">
        <v>2440</v>
      </c>
      <c r="B20" s="254" t="s">
        <v>2441</v>
      </c>
      <c r="C20" s="276">
        <f ca="1">ROUND((C5+C19)*F20,0)</f>
        <v>262565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1630635</v>
      </c>
      <c r="D22" s="279">
        <f ca="1">C26</f>
        <v>1.1999999999999999E-3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1076636</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538318</v>
      </c>
      <c r="D24" s="282"/>
      <c r="E24" s="282"/>
      <c r="F24" s="283"/>
      <c r="G24" s="284" t="s">
        <v>2452</v>
      </c>
    </row>
    <row r="25" spans="1:7" s="258" customFormat="1" ht="24">
      <c r="A25" s="951" t="s">
        <v>2342</v>
      </c>
      <c r="B25" s="259" t="s">
        <v>2453</v>
      </c>
      <c r="C25" s="1381">
        <f ca="1">ROUND(IF('数据-取费表'!B22&lt;=1,C20*F22*'数据-取费表'!B22/2,C20*(POWER((1+F22),'数据-取费表'!B22/2)-1)),0)</f>
        <v>15681</v>
      </c>
      <c r="D25" s="282"/>
      <c r="E25" s="285"/>
      <c r="F25" s="283"/>
      <c r="G25" s="286" t="s">
        <v>2454</v>
      </c>
    </row>
    <row r="26" spans="1:7" s="258" customFormat="1">
      <c r="A26" s="951" t="s">
        <v>795</v>
      </c>
      <c r="B26" s="259" t="s">
        <v>2377</v>
      </c>
      <c r="C26" s="282">
        <f ca="1">ROUND(IF('数据-取费表'!B22&lt;=1,F21*F22*'数据-取费表'!B22/2,F21*(POWER((1+F22),'数据-取费表'!B22/2)-1)),4)</f>
        <v>1.1999999999999999E-3</v>
      </c>
      <c r="D26" s="282"/>
      <c r="E26" s="285"/>
      <c r="F26" s="283"/>
      <c r="G26" s="287"/>
    </row>
    <row r="27" spans="1:7" s="258" customFormat="1" ht="24.75">
      <c r="A27" s="299" t="s">
        <v>2378</v>
      </c>
      <c r="B27" s="288" t="s">
        <v>2379</v>
      </c>
      <c r="C27" s="289">
        <f ca="1">C28</f>
        <v>2544252</v>
      </c>
      <c r="D27" s="279">
        <f ca="1">C29</f>
        <v>3.8E-3</v>
      </c>
      <c r="E27" s="280" t="s">
        <v>2380</v>
      </c>
      <c r="F27" s="290">
        <f ca="1">IF(B1="",'数据-取费表'!Q16,INDIRECT("'数据-取费表'!q"&amp;$G$1))</f>
        <v>0.19</v>
      </c>
      <c r="G27" s="291" t="s">
        <v>2381</v>
      </c>
    </row>
    <row r="28" spans="1:7" s="258" customFormat="1" ht="13.5" customHeight="1">
      <c r="A28" s="951" t="s">
        <v>791</v>
      </c>
      <c r="B28" s="292" t="s">
        <v>2382</v>
      </c>
      <c r="C28" s="293">
        <f ca="1">ROUND((C5+C19+C20)*F27,0)</f>
        <v>2544252</v>
      </c>
      <c r="D28" s="279"/>
      <c r="E28" s="280"/>
      <c r="F28" s="290"/>
      <c r="G28" s="291"/>
    </row>
    <row r="29" spans="1:7" s="258" customFormat="1" ht="13.5" customHeight="1">
      <c r="A29" s="951" t="s">
        <v>792</v>
      </c>
      <c r="B29" s="292" t="s">
        <v>2383</v>
      </c>
      <c r="C29" s="282">
        <f ca="1">ROUND(C21*F27,4)</f>
        <v>3.8E-3</v>
      </c>
      <c r="D29" s="279"/>
      <c r="E29" s="280"/>
      <c r="F29" s="290"/>
      <c r="G29" s="291"/>
    </row>
    <row r="30" spans="1:7" s="258" customFormat="1" ht="13.5" customHeight="1">
      <c r="A30" s="299" t="s">
        <v>2384</v>
      </c>
      <c r="B30" s="254" t="s">
        <v>2385</v>
      </c>
      <c r="C30" s="279">
        <f>ROUND(F30/(1+'数据-取费表'!C42),4)</f>
        <v>0.05</v>
      </c>
      <c r="D30" s="280" t="s">
        <v>2380</v>
      </c>
      <c r="E30" s="285"/>
      <c r="F30" s="281">
        <f>'数据-取费表'!B41</f>
        <v>5.2500000000000005E-2</v>
      </c>
      <c r="G30" s="278" t="s">
        <v>2386</v>
      </c>
    </row>
    <row r="31" spans="1:7" ht="16.5" customHeight="1">
      <c r="A31" s="253">
        <v>1</v>
      </c>
      <c r="B31" s="254" t="s">
        <v>2387</v>
      </c>
      <c r="C31" s="255">
        <f ca="1">ROUND((C5+C19+C20+C22+C27)/(1-C21-D22-D27-C30),0)</f>
        <v>18989932</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79918205</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69497360</v>
      </c>
      <c r="D34" s="261"/>
      <c r="E34" s="264"/>
      <c r="F34" s="301"/>
      <c r="G34" s="263"/>
    </row>
    <row r="35" spans="1:7" ht="13.5" customHeight="1">
      <c r="A35" s="951" t="s">
        <v>796</v>
      </c>
      <c r="B35" s="259" t="s">
        <v>2393</v>
      </c>
      <c r="C35" s="264">
        <f ca="1">ROUND(C34*F35,0)</f>
        <v>2084921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7293464</v>
      </c>
      <c r="D37" s="261">
        <f ca="1">D19</f>
        <v>36467.32</v>
      </c>
      <c r="E37" s="293">
        <f>'数据-取费表'!B35</f>
        <v>200</v>
      </c>
      <c r="F37" s="303"/>
      <c r="G37" s="305"/>
    </row>
    <row r="38" spans="1:7" ht="13.5" customHeight="1">
      <c r="A38" s="951" t="s">
        <v>799</v>
      </c>
      <c r="B38" s="259" t="s">
        <v>2399</v>
      </c>
      <c r="C38" s="264">
        <f ca="1">ROUND(C34*F38,0)</f>
        <v>1042460</v>
      </c>
      <c r="D38" s="264"/>
      <c r="E38" s="264"/>
      <c r="F38" s="303">
        <f>'数据-取费表'!B36</f>
        <v>1.4999999999999999E-2</v>
      </c>
      <c r="G38" s="263" t="s">
        <v>2394</v>
      </c>
    </row>
    <row r="39" spans="1:7" s="258" customFormat="1" ht="13.5" customHeight="1">
      <c r="A39" s="299" t="s">
        <v>2400</v>
      </c>
      <c r="B39" s="254" t="s">
        <v>2401</v>
      </c>
      <c r="C39" s="276">
        <f ca="1">ROUND(C33*F20,0)</f>
        <v>1598364</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4868450</v>
      </c>
      <c r="D41" s="279">
        <f ca="1">C44</f>
        <v>1.1999999999999999E-3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4772990</v>
      </c>
      <c r="D42" s="282"/>
      <c r="E42" s="282"/>
      <c r="F42" s="283"/>
      <c r="G42" s="3139" t="s">
        <v>2457</v>
      </c>
    </row>
    <row r="43" spans="1:7" ht="13.5" customHeight="1">
      <c r="A43" s="951" t="s">
        <v>792</v>
      </c>
      <c r="B43" s="259" t="s">
        <v>2411</v>
      </c>
      <c r="C43" s="282">
        <f ca="1">ROUND(IF('数据-取费表'!B22&lt;=1,C39*F22*'数据-取费表'!B20/2,C39*(POWER((1+F22),'数据-取费表'!B20/2)-1)),0)</f>
        <v>95460</v>
      </c>
      <c r="D43" s="282"/>
      <c r="E43" s="282"/>
      <c r="F43" s="283"/>
      <c r="G43" s="3140"/>
    </row>
    <row r="44" spans="1:7" ht="13.5" customHeight="1">
      <c r="A44" s="951" t="s">
        <v>793</v>
      </c>
      <c r="B44" s="259" t="s">
        <v>2412</v>
      </c>
      <c r="C44" s="282">
        <f ca="1">ROUND(IF('数据-取费表'!B22&lt;=1,C40*F22*'数据-取费表'!B20/2,C40*(POWER((1+F22),'数据-取费表'!B20/2)-1)),4)</f>
        <v>1.1999999999999999E-3</v>
      </c>
      <c r="D44" s="282"/>
      <c r="E44" s="282"/>
      <c r="F44" s="283"/>
      <c r="G44" s="3141"/>
    </row>
    <row r="45" spans="1:7" s="258" customFormat="1" ht="13.5" customHeight="1">
      <c r="A45" s="299" t="s">
        <v>2413</v>
      </c>
      <c r="B45" s="288" t="s">
        <v>2379</v>
      </c>
      <c r="C45" s="289">
        <f ca="1">C46</f>
        <v>15488148</v>
      </c>
      <c r="D45" s="279">
        <f ca="1">C47</f>
        <v>3.8E-3</v>
      </c>
      <c r="E45" s="280" t="s">
        <v>2405</v>
      </c>
      <c r="F45" s="290"/>
      <c r="G45" s="291" t="s">
        <v>2414</v>
      </c>
    </row>
    <row r="46" spans="1:7" s="258" customFormat="1" ht="13.5" customHeight="1">
      <c r="A46" s="951" t="s">
        <v>791</v>
      </c>
      <c r="B46" s="292" t="s">
        <v>2415</v>
      </c>
      <c r="C46" s="293">
        <f ca="1">ROUND((C33+C39)*F27,0)</f>
        <v>15488148</v>
      </c>
      <c r="D46" s="307"/>
      <c r="E46" s="280"/>
      <c r="F46" s="290"/>
      <c r="G46" s="291"/>
    </row>
    <row r="47" spans="1:7" s="258" customFormat="1" ht="13.5" customHeight="1">
      <c r="A47" s="951" t="s">
        <v>792</v>
      </c>
      <c r="B47" s="292" t="s">
        <v>2416</v>
      </c>
      <c r="C47" s="282">
        <f ca="1">ROUND(C40*F27,4)</f>
        <v>3.8E-3</v>
      </c>
      <c r="D47" s="307"/>
      <c r="E47" s="280"/>
      <c r="F47" s="290"/>
      <c r="G47" s="291"/>
    </row>
    <row r="48" spans="1:7" s="258" customFormat="1" ht="13.5" customHeight="1">
      <c r="A48" s="299" t="s">
        <v>2378</v>
      </c>
      <c r="B48" s="254" t="s">
        <v>2417</v>
      </c>
      <c r="C48" s="306">
        <f>ROUND(F30/(1+'数据-取费表'!C42),4)</f>
        <v>0.05</v>
      </c>
      <c r="D48" s="280" t="s">
        <v>2405</v>
      </c>
      <c r="E48" s="276"/>
      <c r="F48" s="281"/>
      <c r="G48" s="278" t="s">
        <v>2418</v>
      </c>
    </row>
    <row r="49" spans="1:7" ht="16.5" customHeight="1">
      <c r="A49" s="299" t="s">
        <v>2384</v>
      </c>
      <c r="B49" s="254" t="s">
        <v>2458</v>
      </c>
      <c r="C49" s="276">
        <f ca="1">ROUND((C33+C39+C41+C45)/(1-C40-D41-D45-C48),0)</f>
        <v>110133154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110133154</v>
      </c>
      <c r="D51" s="276"/>
      <c r="E51" s="276"/>
      <c r="F51" s="308"/>
      <c r="G51" s="278" t="s">
        <v>2426</v>
      </c>
    </row>
    <row r="52" spans="1:7" s="252" customFormat="1" ht="16.5" thickBot="1">
      <c r="A52" s="309" t="s">
        <v>2427</v>
      </c>
      <c r="B52" s="310"/>
      <c r="C52" s="311">
        <f ca="1">C31+C51</f>
        <v>129123086</v>
      </c>
      <c r="D52" s="310"/>
      <c r="E52" s="310"/>
      <c r="F52" s="310"/>
      <c r="G52" s="312"/>
    </row>
    <row r="55" spans="1:7" ht="15">
      <c r="B55" s="314" t="s">
        <v>2428</v>
      </c>
      <c r="C55" s="315"/>
    </row>
    <row r="56" spans="1:7">
      <c r="B56" s="317" t="s">
        <v>1507</v>
      </c>
      <c r="C56" s="319">
        <f ca="1">1-C57</f>
        <v>0.14700000000000002</v>
      </c>
    </row>
    <row r="57" spans="1:7">
      <c r="B57" s="317" t="s">
        <v>1508</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8</v>
      </c>
    </row>
    <row r="2" spans="1:33" ht="18" customHeight="1">
      <c r="A2" s="245" t="s">
        <v>2328</v>
      </c>
      <c r="B2" s="248">
        <f ca="1">C32</f>
        <v>26147</v>
      </c>
      <c r="C2" s="320" t="s">
        <v>2461</v>
      </c>
      <c r="D2" s="320"/>
      <c r="E2" s="320"/>
      <c r="F2" s="320"/>
      <c r="G2" s="320"/>
      <c r="H2" s="320"/>
      <c r="I2" s="320"/>
      <c r="J2" s="320"/>
      <c r="K2" s="320"/>
    </row>
    <row r="3" spans="1:33" ht="18" customHeight="1" thickBot="1">
      <c r="A3" s="247" t="s">
        <v>2330</v>
      </c>
      <c r="B3" s="248">
        <f ca="1">ROUND(B2*10000/IF(C1="",'数据-汇总表'!E3,INDIRECT("'数据-取费表'!K"&amp;$K$1)),0)</f>
        <v>7170</v>
      </c>
      <c r="C3" s="320" t="s">
        <v>2462</v>
      </c>
      <c r="D3" s="320"/>
      <c r="E3" s="320"/>
      <c r="F3" s="320"/>
      <c r="G3" s="320"/>
      <c r="H3" s="320"/>
      <c r="I3" s="320"/>
      <c r="J3" s="320"/>
      <c r="K3" s="320"/>
    </row>
    <row r="4" spans="1:33" s="956" customFormat="1" ht="16.5" customHeight="1">
      <c r="A4" s="953" t="s">
        <v>2463</v>
      </c>
      <c r="B4" s="954"/>
      <c r="C4" s="996">
        <f>SUM(C8:K8)</f>
        <v>33983.68</v>
      </c>
      <c r="D4" s="954"/>
      <c r="E4" s="954"/>
      <c r="F4" s="954"/>
      <c r="G4" s="954"/>
      <c r="H4" s="954"/>
      <c r="I4" s="954"/>
      <c r="J4" s="954"/>
      <c r="K4" s="955"/>
    </row>
    <row r="5" spans="1:33" s="960" customFormat="1" ht="15">
      <c r="A5" s="957" t="s">
        <v>2464</v>
      </c>
      <c r="B5" s="958" t="s">
        <v>2465</v>
      </c>
      <c r="C5" s="2554" t="s">
        <v>27</v>
      </c>
      <c r="D5" s="2554" t="s">
        <v>3070</v>
      </c>
      <c r="E5" s="2554"/>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v>10000</v>
      </c>
      <c r="D6" s="962">
        <v>150000</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32963.68</v>
      </c>
      <c r="D7" s="321">
        <f>SUMIF('数据-汇总表'!$C19:$C33,假设开发法!D5,'数据-汇总表'!$E19:$E33)</f>
        <v>2380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C6*C7/10000</f>
        <v>32963.68</v>
      </c>
      <c r="D8" s="997">
        <f>D6*68/10000</f>
        <v>1020</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1737</v>
      </c>
      <c r="D11" s="973"/>
      <c r="E11" s="375"/>
      <c r="F11" s="974">
        <f ca="1">1-IF('数据-取费表'!B24=0,1,IF(C1="",'数据-取费表'!N16,INDIRECT("'数据-取费表'!n"&amp;$K$1)))</f>
        <v>0.25</v>
      </c>
      <c r="G11" s="8"/>
      <c r="H11" s="968"/>
      <c r="I11" s="968"/>
      <c r="J11" s="968"/>
      <c r="K11" s="969"/>
    </row>
    <row r="12" spans="1:33" s="975" customFormat="1" ht="13.5" customHeight="1">
      <c r="A12" s="971" t="s">
        <v>1330</v>
      </c>
      <c r="B12" s="972" t="s">
        <v>2479</v>
      </c>
      <c r="C12" s="24">
        <f ca="1">ROUND(C11*F12,0)</f>
        <v>52</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182</v>
      </c>
      <c r="D14" s="1033">
        <f ca="1">IF(C1="",'数据-汇总表'!E3,INDIRECT("'数据-取费表'!K"&amp;$K$1)+INDIRECT("'数据-取费表'!S"&amp;$K$1))</f>
        <v>36467.32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26</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1997</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36467.32</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875</v>
      </c>
      <c r="D18" s="1033"/>
      <c r="E18" s="24"/>
      <c r="F18" s="976"/>
      <c r="G18" s="2556" t="s">
        <v>3310</v>
      </c>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240</v>
      </c>
      <c r="F19" s="976"/>
      <c r="G19" s="15"/>
      <c r="H19" s="1579"/>
      <c r="I19" s="981"/>
      <c r="J19" s="981"/>
      <c r="K19" s="982"/>
    </row>
    <row r="20" spans="1:33" s="975" customFormat="1" ht="13.5" customHeight="1">
      <c r="A20" s="971" t="s">
        <v>806</v>
      </c>
      <c r="B20" s="972" t="s">
        <v>2493</v>
      </c>
      <c r="C20" s="24">
        <f ca="1">ROUND(D20*E20/10000,0)</f>
        <v>875</v>
      </c>
      <c r="D20" s="1033">
        <f ca="1">IF(C1="",'数据-汇总表'!E6,IF(INDIRECT("'数据-取费表'!c"&amp;$K$1)="住宅",INDIRECT("'数据-取费表'!s"&amp;$K$1),INDIRECT("'数据-取费表'!k"&amp;$K$1)+INDIRECT("'数据-取费表'!s"&amp;$K$1)))</f>
        <v>36467.32</v>
      </c>
      <c r="E20" s="24">
        <f>'数据-取费表'!B28</f>
        <v>240</v>
      </c>
      <c r="F20" s="976"/>
      <c r="G20" s="15"/>
      <c r="H20" s="981"/>
      <c r="I20" s="981"/>
      <c r="J20" s="981"/>
      <c r="K20" s="982"/>
    </row>
    <row r="21" spans="1:33" s="975" customFormat="1" ht="13.5" customHeight="1">
      <c r="A21" s="961" t="s">
        <v>802</v>
      </c>
      <c r="B21" s="985" t="s">
        <v>2494</v>
      </c>
      <c r="C21" s="986">
        <f ca="1">C16+C17+C18</f>
        <v>2872</v>
      </c>
      <c r="D21" s="987"/>
      <c r="E21" s="325"/>
      <c r="F21" s="325"/>
      <c r="G21" s="140" t="s">
        <v>2495</v>
      </c>
      <c r="H21" s="979"/>
      <c r="I21" s="979"/>
      <c r="J21" s="979"/>
      <c r="K21" s="980"/>
    </row>
    <row r="22" spans="1:33" s="975" customFormat="1" ht="13.5" customHeight="1">
      <c r="A22" s="961" t="s">
        <v>2467</v>
      </c>
      <c r="B22" s="985" t="s">
        <v>2496</v>
      </c>
      <c r="C22" s="986">
        <f ca="1">ROUND(C21*F22,0)</f>
        <v>57</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170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36</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2.4199999999999999E-2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36</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589</v>
      </c>
      <c r="D28" s="324">
        <f ca="1">C29</f>
        <v>3.9100000000000003E-2</v>
      </c>
      <c r="E28" s="326" t="s">
        <v>15</v>
      </c>
      <c r="F28" s="332">
        <f ca="1">IF(C1="",'数据-取费表'!Q16,INDIRECT("'数据-取费表'!q"&amp;$K$1))</f>
        <v>0.19</v>
      </c>
      <c r="G28" s="989"/>
      <c r="H28" s="990"/>
      <c r="I28" s="990"/>
      <c r="J28" s="990"/>
      <c r="K28" s="991"/>
    </row>
    <row r="29" spans="1:33" s="335" customFormat="1" ht="13.5" customHeight="1">
      <c r="A29" s="971" t="s">
        <v>803</v>
      </c>
      <c r="B29" s="994" t="s">
        <v>2509</v>
      </c>
      <c r="C29" s="328">
        <f ca="1">ROUND((1+C24)*F28*'数据-取费表'!B24/'数据-取费表'!B20,4)</f>
        <v>3.9100000000000003E-2</v>
      </c>
      <c r="D29" s="328"/>
      <c r="E29" s="329"/>
      <c r="F29" s="334"/>
      <c r="G29" s="140" t="s">
        <v>2510</v>
      </c>
      <c r="H29" s="979"/>
      <c r="I29" s="979"/>
      <c r="J29" s="979"/>
      <c r="K29" s="980"/>
    </row>
    <row r="30" spans="1:33" s="335" customFormat="1" ht="13.5" customHeight="1">
      <c r="A30" s="971" t="s">
        <v>804</v>
      </c>
      <c r="B30" s="994" t="s">
        <v>2511</v>
      </c>
      <c r="C30" s="336">
        <f ca="1">ROUND((C21+C22+C23)*F28,0)</f>
        <v>589</v>
      </c>
      <c r="D30" s="328"/>
      <c r="E30" s="329"/>
      <c r="F30" s="334"/>
      <c r="G30" s="140"/>
      <c r="H30" s="979"/>
      <c r="I30" s="979"/>
      <c r="J30" s="979"/>
      <c r="K30" s="980"/>
    </row>
    <row r="31" spans="1:33" s="975" customFormat="1" ht="13.5" customHeight="1" thickBot="1">
      <c r="A31" s="2560" t="s">
        <v>2512</v>
      </c>
      <c r="B31" s="1005" t="s">
        <v>2513</v>
      </c>
      <c r="C31" s="1006">
        <f>ROUND(C4*F31/(1+'数据-取费表'!C42),0)</f>
        <v>1699</v>
      </c>
      <c r="D31" s="1007"/>
      <c r="E31" s="1008"/>
      <c r="F31" s="1009">
        <f>'数据-取费表'!B41</f>
        <v>5.2500000000000005E-2</v>
      </c>
      <c r="G31" s="1010" t="s">
        <v>2514</v>
      </c>
      <c r="H31" s="1011"/>
      <c r="I31" s="1011"/>
      <c r="J31" s="1011"/>
      <c r="K31" s="1012"/>
    </row>
    <row r="32" spans="1:33" s="970" customFormat="1" ht="13.5" customHeight="1" thickBot="1">
      <c r="A32" s="1000" t="s">
        <v>2515</v>
      </c>
      <c r="B32" s="1001"/>
      <c r="C32" s="1002">
        <f ca="1">ROUND((C4-C21-C22-C23-C25-C28-C31)/(1+C24+D25+D28),0)</f>
        <v>26147</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13" sqref="G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-0.5</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#DIV/0!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44" t="s">
        <v>1397</v>
      </c>
      <c r="C6" s="1296">
        <f ca="1">ROUND(F6*F8*F7*(1-F9)/10000,0)</f>
        <v>0</v>
      </c>
      <c r="D6" s="164" t="s">
        <v>3029</v>
      </c>
      <c r="E6" s="347" t="s">
        <v>1399</v>
      </c>
      <c r="F6" s="348">
        <f ca="1">INDIRECT("'数据-取费表'!u"&amp;$G$1)</f>
        <v>0</v>
      </c>
      <c r="G6" s="1851"/>
      <c r="H6" s="1291" t="s">
        <v>1031</v>
      </c>
      <c r="I6" s="3144" t="s">
        <v>1397</v>
      </c>
      <c r="J6" s="346">
        <f ca="1">ROUND(M6*M8*M7*(1-M9)/10000,0)</f>
        <v>0</v>
      </c>
      <c r="K6" s="164" t="s">
        <v>3028</v>
      </c>
      <c r="L6" s="347" t="s">
        <v>1399</v>
      </c>
      <c r="M6" s="348">
        <f ca="1">INDIRECT("'数据-取费表'!z"&amp;$G$1)</f>
        <v>0</v>
      </c>
    </row>
    <row r="7" spans="1:37" ht="18" customHeight="1">
      <c r="A7" s="1295"/>
      <c r="B7" s="3145"/>
      <c r="C7" s="1297"/>
      <c r="D7" s="352"/>
      <c r="E7" s="1298" t="s">
        <v>1400</v>
      </c>
      <c r="F7" s="348">
        <f ca="1">IF(INDIRECT("'数据-取费表'!ah"&amp;$G$1)="",INDIRECT("'数据-取费表'!k"&amp;$G$1),INDIRECT("'数据-取费表'!ah"&amp;$G$1))</f>
        <v>0</v>
      </c>
      <c r="G7" s="1851"/>
      <c r="H7" s="349"/>
      <c r="I7" s="3145"/>
      <c r="J7" s="351"/>
      <c r="K7" s="352"/>
      <c r="L7" s="347" t="s">
        <v>1400</v>
      </c>
      <c r="M7" s="348">
        <f ca="1">F7</f>
        <v>0</v>
      </c>
    </row>
    <row r="8" spans="1:37" ht="18" customHeight="1">
      <c r="A8" s="349"/>
      <c r="B8" s="3145"/>
      <c r="C8" s="351"/>
      <c r="D8" s="352"/>
      <c r="E8" s="347" t="s">
        <v>1401</v>
      </c>
      <c r="F8" s="348">
        <f ca="1">INDIRECT("'数据-取费表'!ai"&amp;$G$1)</f>
        <v>0</v>
      </c>
      <c r="G8" s="1851"/>
      <c r="H8" s="349"/>
      <c r="I8" s="3145"/>
      <c r="J8" s="351"/>
      <c r="K8" s="352"/>
      <c r="L8" s="347" t="s">
        <v>1401</v>
      </c>
      <c r="M8" s="348">
        <f ca="1">INDIRECT("'数据-取费表'!ai"&amp;$G$1)</f>
        <v>0</v>
      </c>
    </row>
    <row r="9" spans="1:37" ht="18" customHeight="1">
      <c r="A9" s="349"/>
      <c r="B9" s="3146"/>
      <c r="C9" s="351"/>
      <c r="D9" s="352"/>
      <c r="E9" s="347" t="s">
        <v>1402</v>
      </c>
      <c r="F9" s="357">
        <f ca="1">INDIRECT("'数据-取费表'!w"&amp;$G$1)</f>
        <v>0</v>
      </c>
      <c r="G9" s="1851"/>
      <c r="H9" s="349"/>
      <c r="I9" s="31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5.2500000000000005E-2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ROUND(J13*M23,1)</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0.05</v>
      </c>
      <c r="D28" s="369" t="s">
        <v>1470</v>
      </c>
      <c r="E28" s="347" t="s">
        <v>1416</v>
      </c>
      <c r="F28" s="367">
        <f>'数据-取费表'!B41</f>
        <v>5.2500000000000005E-2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5.2500000000000005E-2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ROUND(C13*F37,1)</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#DIV/0!</v>
      </c>
      <c r="D46" s="1872" t="str">
        <f>C2</f>
        <v>万元</v>
      </c>
      <c r="E46" s="1866"/>
      <c r="F46" s="1866"/>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ROUND(F49*F51*F50*(1-F52)/10000,0)</f>
        <v>0</v>
      </c>
      <c r="D49" s="1276" t="s">
        <v>3030</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-0.5</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c r="I53" s="1905" t="s">
        <v>1541</v>
      </c>
      <c r="J53" s="2950">
        <f ca="1">IF(M47="住宅",IF(D1="——",MAX(J51,L48),MAX(J51,L48-'数据-取费表'!B24)),IF(D1="——",MIN(J51,L48),MIN(J51,L48-'数据-取费表'!B24)))</f>
        <v>-0.5</v>
      </c>
      <c r="K53" s="3142" t="s">
        <v>1542</v>
      </c>
      <c r="L53" s="3143"/>
      <c r="O53" s="1884" t="s">
        <v>1042</v>
      </c>
      <c r="P53" s="1885" t="s">
        <v>1543</v>
      </c>
      <c r="Q53" s="1886" t="e">
        <f ca="1">Q47+Q48</f>
        <v>#DIV/0!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c r="K56" s="1887" t="s">
        <v>1549</v>
      </c>
      <c r="L56" s="1890">
        <f ca="1">IF(L48&lt;J51,"——",L48-J53)</f>
        <v>0.5</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1551</v>
      </c>
      <c r="L57" s="1890">
        <f ca="1">IF(L48&lt;J51,"——",IF(L55="比较法",L49,IF(L55="基准地价",L50,L51)))</f>
        <v>0</v>
      </c>
      <c r="O57" s="1884" t="s">
        <v>1037</v>
      </c>
      <c r="P57" s="1885" t="s">
        <v>1552</v>
      </c>
      <c r="Q57" s="1886" t="e">
        <f ca="1">L60</f>
        <v>#DIV/0!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5.2500000000000005E-2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G13" sqref="G1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-0.5</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4" t="s">
        <v>1397</v>
      </c>
      <c r="C6" s="1296">
        <f ca="1">ROUND(F6*F8*F7*(1-F9),0)</f>
        <v>0</v>
      </c>
      <c r="D6" s="164" t="s">
        <v>3026</v>
      </c>
      <c r="E6" s="347" t="s">
        <v>1399</v>
      </c>
      <c r="F6" s="348">
        <f ca="1">INDIRECT("'数据-取费表'!u"&amp;$G$1)</f>
        <v>0</v>
      </c>
      <c r="G6" s="1851"/>
      <c r="H6" s="1291" t="s">
        <v>1031</v>
      </c>
      <c r="I6" s="3144" t="s">
        <v>1397</v>
      </c>
      <c r="J6" s="346">
        <f ca="1">ROUND(M6*M8*M7*(1-M9),0)</f>
        <v>0</v>
      </c>
      <c r="K6" s="1834" t="s">
        <v>3027</v>
      </c>
      <c r="L6" s="347" t="s">
        <v>1399</v>
      </c>
      <c r="M6" s="348">
        <f ca="1">INDIRECT("'数据-取费表'!z"&amp;$G$1)</f>
        <v>0</v>
      </c>
    </row>
    <row r="7" spans="1:37" ht="18" customHeight="1">
      <c r="A7" s="1295"/>
      <c r="B7" s="3145"/>
      <c r="C7" s="1297"/>
      <c r="D7" s="352"/>
      <c r="E7" s="1298" t="s">
        <v>1400</v>
      </c>
      <c r="F7" s="348">
        <f ca="1">IF(INDIRECT("'数据-取费表'!ah"&amp;$G$1)="",INDIRECT("'数据-取费表'!k"&amp;$G$1),INDIRECT("'数据-取费表'!ah"&amp;$G$1))</f>
        <v>0</v>
      </c>
      <c r="G7" s="1851"/>
      <c r="H7" s="349"/>
      <c r="I7" s="3145"/>
      <c r="J7" s="351"/>
      <c r="K7" s="352"/>
      <c r="L7" s="347" t="s">
        <v>1400</v>
      </c>
      <c r="M7" s="348">
        <f ca="1">F7</f>
        <v>0</v>
      </c>
    </row>
    <row r="8" spans="1:37" ht="18" customHeight="1">
      <c r="A8" s="349"/>
      <c r="B8" s="3145"/>
      <c r="C8" s="351"/>
      <c r="D8" s="352"/>
      <c r="E8" s="347" t="s">
        <v>1401</v>
      </c>
      <c r="F8" s="348">
        <f ca="1">INDIRECT("'数据-取费表'!ai"&amp;$G$1)</f>
        <v>0</v>
      </c>
      <c r="G8" s="1851"/>
      <c r="H8" s="349"/>
      <c r="I8" s="3145"/>
      <c r="J8" s="351"/>
      <c r="K8" s="352"/>
      <c r="L8" s="347" t="s">
        <v>1401</v>
      </c>
      <c r="M8" s="348">
        <f ca="1">INDIRECT("'数据-取费表'!ai"&amp;$G$1)</f>
        <v>0</v>
      </c>
    </row>
    <row r="9" spans="1:37" ht="18" customHeight="1">
      <c r="A9" s="349"/>
      <c r="B9" s="3146"/>
      <c r="C9" s="351"/>
      <c r="D9" s="352"/>
      <c r="E9" s="347" t="s">
        <v>1402</v>
      </c>
      <c r="F9" s="357">
        <f ca="1">INDIRECT("'数据-取费表'!w"&amp;$G$1)</f>
        <v>0</v>
      </c>
      <c r="G9" s="1851"/>
      <c r="H9" s="349"/>
      <c r="I9" s="314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3037</v>
      </c>
      <c r="E10" s="358" t="s">
        <v>1404</v>
      </c>
      <c r="F10" s="1366"/>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5.2500000000000005E-2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0.05</v>
      </c>
      <c r="D28" s="369" t="s">
        <v>1470</v>
      </c>
      <c r="E28" s="347" t="s">
        <v>1416</v>
      </c>
      <c r="F28" s="367">
        <f>'数据-取费表'!B41</f>
        <v>5.2500000000000005E-2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5.2500000000000005E-2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-0.5</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0">
        <f ca="1">IF(M47="住宅",IF(D1="——",MAX(J51,L48),MAX(J51,L48-'数据-取费表'!B24)),IF(D1="——",MIN(J51,L48),MIN(J51,L48-'数据-取费表'!B24)))</f>
        <v>-0.5</v>
      </c>
      <c r="K53" s="3142" t="s">
        <v>1542</v>
      </c>
      <c r="L53" s="3143"/>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5.2500000000000005E-2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2328</v>
      </c>
      <c r="B2" s="2565">
        <f ca="1">SUMIF(B6:B13,"&lt;&gt;#ref!",B6:B13)</f>
        <v>0</v>
      </c>
      <c r="C2" s="2566" t="s">
        <v>2517</v>
      </c>
      <c r="D2" s="2567" t="s">
        <v>2518</v>
      </c>
      <c r="E2" s="2568">
        <f>SUM(E6:E13)</f>
        <v>0</v>
      </c>
    </row>
    <row r="3" spans="1:6" ht="15.75">
      <c r="A3" s="2564" t="s">
        <v>1389</v>
      </c>
      <c r="B3" s="2565" t="e">
        <f ca="1">ROUND(B2*10000/E2,0)</f>
        <v>#DIV/0!</v>
      </c>
      <c r="C3" s="2566" t="s">
        <v>2525</v>
      </c>
      <c r="D3" s="2569"/>
      <c r="E3" s="2570"/>
    </row>
    <row r="4" spans="1:6" ht="15.75">
      <c r="A4" s="2571"/>
      <c r="B4" s="2569"/>
      <c r="C4" s="2569"/>
      <c r="D4" s="2569"/>
      <c r="E4" s="2570"/>
    </row>
    <row r="5" spans="1:6" ht="15">
      <c r="A5" s="2572" t="s">
        <v>2519</v>
      </c>
      <c r="B5" s="3147" t="s">
        <v>2520</v>
      </c>
      <c r="C5" s="3147"/>
      <c r="D5" s="2573"/>
      <c r="E5" s="2574" t="s">
        <v>2521</v>
      </c>
      <c r="F5" s="2575" t="s">
        <v>2522</v>
      </c>
    </row>
    <row r="6" spans="1:6">
      <c r="A6" s="2576">
        <f>'数据-取费表'!AN6</f>
        <v>0</v>
      </c>
      <c r="B6" s="2575" t="e">
        <f ca="1">IF(F6="是",'数据-取费表'!AO6,0)</f>
        <v>#REF!</v>
      </c>
      <c r="C6" s="2566" t="s">
        <v>2517</v>
      </c>
      <c r="D6" s="2569"/>
      <c r="E6" s="2577">
        <f>IF(OR(A6=0,F6="否"),0,'数据-取费表'!K6+'数据-取费表'!S6)</f>
        <v>0</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54" t="s">
        <v>1073</v>
      </c>
      <c r="B2" s="3155" t="s">
        <v>1074</v>
      </c>
      <c r="C2" s="3155"/>
      <c r="D2" s="1301" t="s">
        <v>1075</v>
      </c>
      <c r="E2" s="1301" t="s">
        <v>1076</v>
      </c>
      <c r="F2" s="1301" t="s">
        <v>1077</v>
      </c>
      <c r="G2" s="1301" t="s">
        <v>1078</v>
      </c>
      <c r="H2" s="1301" t="s">
        <v>1079</v>
      </c>
      <c r="I2" s="1302" t="s">
        <v>1080</v>
      </c>
    </row>
    <row r="3" spans="1:9">
      <c r="A3" s="3154"/>
      <c r="B3" s="3155" t="s">
        <v>1081</v>
      </c>
      <c r="C3" s="3155"/>
      <c r="D3" s="1303"/>
      <c r="E3" s="1301"/>
      <c r="F3" s="1304"/>
      <c r="G3" s="1304"/>
      <c r="H3" s="1305"/>
      <c r="I3" s="1306">
        <f>ROUND(D3*E3*F3*G3*H3/10000,0)</f>
        <v>0</v>
      </c>
    </row>
    <row r="4" spans="1:9">
      <c r="A4" s="3154"/>
      <c r="B4" s="3155" t="s">
        <v>1082</v>
      </c>
      <c r="C4" s="3155"/>
      <c r="D4" s="1303"/>
      <c r="E4" s="1301"/>
      <c r="F4" s="1304"/>
      <c r="G4" s="1304"/>
      <c r="H4" s="1305"/>
      <c r="I4" s="1306">
        <f t="shared" ref="I4:I9" si="0">ROUND(D4*E4*F4*G4*H4/10000,0)</f>
        <v>0</v>
      </c>
    </row>
    <row r="5" spans="1:9">
      <c r="A5" s="3154"/>
      <c r="B5" s="3155" t="s">
        <v>1083</v>
      </c>
      <c r="C5" s="3155"/>
      <c r="D5" s="1303"/>
      <c r="E5" s="1301"/>
      <c r="F5" s="1304"/>
      <c r="G5" s="1304"/>
      <c r="H5" s="1305"/>
      <c r="I5" s="1306">
        <f t="shared" si="0"/>
        <v>0</v>
      </c>
    </row>
    <row r="6" spans="1:9">
      <c r="A6" s="3154"/>
      <c r="B6" s="3155" t="s">
        <v>1084</v>
      </c>
      <c r="C6" s="3155"/>
      <c r="D6" s="1303"/>
      <c r="E6" s="1301"/>
      <c r="F6" s="1304"/>
      <c r="G6" s="1304"/>
      <c r="H6" s="1305"/>
      <c r="I6" s="1306">
        <f t="shared" si="0"/>
        <v>0</v>
      </c>
    </row>
    <row r="7" spans="1:9">
      <c r="A7" s="3154"/>
      <c r="B7" s="3155" t="s">
        <v>1085</v>
      </c>
      <c r="C7" s="3155"/>
      <c r="D7" s="1303"/>
      <c r="E7" s="1301"/>
      <c r="F7" s="1304"/>
      <c r="G7" s="1304"/>
      <c r="H7" s="1305"/>
      <c r="I7" s="1306">
        <f t="shared" si="0"/>
        <v>0</v>
      </c>
    </row>
    <row r="8" spans="1:9">
      <c r="A8" s="3154"/>
      <c r="B8" s="3155" t="s">
        <v>1086</v>
      </c>
      <c r="C8" s="3155"/>
      <c r="D8" s="1303"/>
      <c r="E8" s="1301"/>
      <c r="F8" s="1304"/>
      <c r="G8" s="1304"/>
      <c r="H8" s="1305"/>
      <c r="I8" s="1306">
        <f t="shared" si="0"/>
        <v>0</v>
      </c>
    </row>
    <row r="9" spans="1:9">
      <c r="A9" s="3154"/>
      <c r="B9" s="3155" t="s">
        <v>1087</v>
      </c>
      <c r="C9" s="3155"/>
      <c r="D9" s="1303"/>
      <c r="E9" s="1301"/>
      <c r="F9" s="1304"/>
      <c r="G9" s="1304"/>
      <c r="H9" s="1305"/>
      <c r="I9" s="1306">
        <f t="shared" si="0"/>
        <v>0</v>
      </c>
    </row>
    <row r="10" spans="1:9">
      <c r="A10" s="3154"/>
      <c r="B10" s="3156" t="s">
        <v>1088</v>
      </c>
      <c r="C10" s="3156"/>
      <c r="D10" s="1307"/>
      <c r="E10" s="1307" t="e">
        <f>ROUND(D1*10000/D10/H9,0)</f>
        <v>#DIV/0!</v>
      </c>
      <c r="F10" s="1308"/>
      <c r="G10" s="1308"/>
      <c r="H10" s="1309"/>
      <c r="I10" s="1310">
        <f>SUM(I3:I9)</f>
        <v>0</v>
      </c>
    </row>
    <row r="11" spans="1:9" ht="14.25">
      <c r="A11" s="3154" t="s">
        <v>1089</v>
      </c>
      <c r="B11" s="3155" t="s">
        <v>1090</v>
      </c>
      <c r="C11" s="3155"/>
      <c r="D11" s="1303" t="s">
        <v>1091</v>
      </c>
      <c r="E11" s="1303" t="s">
        <v>1092</v>
      </c>
      <c r="F11" s="1304" t="s">
        <v>1093</v>
      </c>
      <c r="G11" s="1304" t="s">
        <v>1079</v>
      </c>
      <c r="H11" s="1311" t="s">
        <v>1094</v>
      </c>
      <c r="I11" s="1302" t="s">
        <v>1080</v>
      </c>
    </row>
    <row r="12" spans="1:9">
      <c r="A12" s="3154"/>
      <c r="B12" s="3155" t="s">
        <v>1095</v>
      </c>
      <c r="C12" s="3155"/>
      <c r="D12" s="1303"/>
      <c r="E12" s="1303"/>
      <c r="F12" s="1304"/>
      <c r="G12" s="1305"/>
      <c r="H12" s="1312"/>
      <c r="I12" s="1302">
        <f>ROUND(D12*E12*F12*G12/10000,0)</f>
        <v>0</v>
      </c>
    </row>
    <row r="13" spans="1:9">
      <c r="A13" s="3154"/>
      <c r="B13" s="3155" t="s">
        <v>1096</v>
      </c>
      <c r="C13" s="3155"/>
      <c r="D13" s="1303"/>
      <c r="E13" s="1303"/>
      <c r="F13" s="1304"/>
      <c r="G13" s="1305"/>
      <c r="H13" s="1312"/>
      <c r="I13" s="1302">
        <f>ROUND(D13*E13*F13*G13/10000,0)</f>
        <v>0</v>
      </c>
    </row>
    <row r="14" spans="1:9">
      <c r="A14" s="3154"/>
      <c r="B14" s="3155" t="s">
        <v>1097</v>
      </c>
      <c r="C14" s="3155"/>
      <c r="D14" s="1303"/>
      <c r="E14" s="1303"/>
      <c r="F14" s="1304"/>
      <c r="G14" s="1305"/>
      <c r="H14" s="1312"/>
      <c r="I14" s="1302">
        <f>ROUND(D14*E14*F14*G14/10000,0)</f>
        <v>0</v>
      </c>
    </row>
    <row r="15" spans="1:9">
      <c r="A15" s="3154"/>
      <c r="B15" s="3156" t="s">
        <v>1088</v>
      </c>
      <c r="C15" s="3156"/>
      <c r="D15" s="1307"/>
      <c r="E15" s="1307">
        <f>SUM(E12:E14)</f>
        <v>0</v>
      </c>
      <c r="F15" s="1308"/>
      <c r="G15" s="1305"/>
      <c r="H15" s="1312"/>
      <c r="I15" s="1313">
        <f>SUM(I12:I14)</f>
        <v>0</v>
      </c>
    </row>
    <row r="16" spans="1:9" ht="24">
      <c r="A16" s="3154" t="s">
        <v>1098</v>
      </c>
      <c r="B16" s="3155" t="s">
        <v>1099</v>
      </c>
      <c r="C16" s="3155"/>
      <c r="D16" s="1303" t="s">
        <v>1075</v>
      </c>
      <c r="E16" s="1314" t="s">
        <v>1100</v>
      </c>
      <c r="F16" s="1304" t="s">
        <v>1101</v>
      </c>
      <c r="G16" s="1305" t="s">
        <v>1079</v>
      </c>
      <c r="H16" s="1311" t="s">
        <v>1094</v>
      </c>
      <c r="I16" s="1302" t="s">
        <v>1080</v>
      </c>
    </row>
    <row r="17" spans="1:9" ht="14.25">
      <c r="A17" s="3154"/>
      <c r="B17" s="3155" t="s">
        <v>1102</v>
      </c>
      <c r="C17" s="3155"/>
      <c r="D17" s="1303"/>
      <c r="E17" s="1303"/>
      <c r="F17" s="1304"/>
      <c r="G17" s="1305"/>
      <c r="H17" s="1315"/>
      <c r="I17" s="1316">
        <f>ROUND(D17*E17*F17*G17/10000,0)</f>
        <v>0</v>
      </c>
    </row>
    <row r="18" spans="1:9" ht="14.25">
      <c r="A18" s="3154"/>
      <c r="B18" s="3155" t="s">
        <v>1103</v>
      </c>
      <c r="C18" s="3155"/>
      <c r="D18" s="1303"/>
      <c r="E18" s="1303"/>
      <c r="F18" s="1304"/>
      <c r="G18" s="1305"/>
      <c r="H18" s="1315"/>
      <c r="I18" s="1316">
        <f>ROUND(D18*E18*F18*G18/10000,0)</f>
        <v>0</v>
      </c>
    </row>
    <row r="19" spans="1:9" ht="14.25">
      <c r="A19" s="3154"/>
      <c r="B19" s="3155" t="s">
        <v>1104</v>
      </c>
      <c r="C19" s="3155"/>
      <c r="D19" s="1303"/>
      <c r="E19" s="1303"/>
      <c r="F19" s="1304"/>
      <c r="G19" s="1305"/>
      <c r="H19" s="1315"/>
      <c r="I19" s="1316">
        <f>ROUND(D19*E19*F19*G19/10000,0)</f>
        <v>0</v>
      </c>
    </row>
    <row r="20" spans="1:9">
      <c r="A20" s="3154"/>
      <c r="B20" s="3156" t="s">
        <v>1088</v>
      </c>
      <c r="C20" s="3156"/>
      <c r="D20" s="1307">
        <f>SUM(D17:D19)</f>
        <v>0</v>
      </c>
      <c r="E20" s="1307"/>
      <c r="F20" s="1308"/>
      <c r="G20" s="1305"/>
      <c r="H20" s="1312"/>
      <c r="I20" s="1313">
        <f>SUM(I17:I19)</f>
        <v>0</v>
      </c>
    </row>
    <row r="21" spans="1:9">
      <c r="A21" s="3154" t="s">
        <v>1105</v>
      </c>
      <c r="B21" s="3157"/>
      <c r="C21" s="3157"/>
      <c r="D21" s="3157"/>
      <c r="E21" s="3157"/>
      <c r="F21" s="3157"/>
      <c r="G21" s="3157"/>
      <c r="H21" s="1765">
        <v>0.1</v>
      </c>
      <c r="I21" s="1310">
        <f>ROUND(I10*H21,0)</f>
        <v>0</v>
      </c>
    </row>
    <row r="22" spans="1:9" ht="14.25">
      <c r="A22" s="3158" t="s">
        <v>1106</v>
      </c>
      <c r="B22" s="3159"/>
      <c r="C22" s="3160"/>
      <c r="D22" s="1317" t="s">
        <v>1107</v>
      </c>
      <c r="E22" s="1317" t="s">
        <v>1108</v>
      </c>
      <c r="F22" s="1318" t="s">
        <v>1109</v>
      </c>
      <c r="G22" s="1318" t="s">
        <v>1110</v>
      </c>
      <c r="H22" s="1311" t="s">
        <v>1111</v>
      </c>
      <c r="I22" s="1302" t="s">
        <v>1112</v>
      </c>
    </row>
    <row r="23" spans="1:9" ht="14.25" thickBot="1">
      <c r="A23" s="3161"/>
      <c r="B23" s="3162"/>
      <c r="C23" s="3163"/>
      <c r="D23" s="1319"/>
      <c r="E23" s="1319"/>
      <c r="F23" s="1319"/>
      <c r="G23" s="1320"/>
      <c r="H23" s="1321"/>
      <c r="I23" s="1322">
        <f>ROUND(E23*D23*F23*(1-G23)/10000,0)</f>
        <v>0</v>
      </c>
    </row>
    <row r="26" spans="1:9">
      <c r="A26" s="1323" t="s">
        <v>1113</v>
      </c>
      <c r="B26" s="1323"/>
      <c r="C26" s="1323"/>
      <c r="D26" s="1323"/>
      <c r="E26" s="3151">
        <f>C27-C30-C31-C32</f>
        <v>0</v>
      </c>
      <c r="F26" s="3151"/>
      <c r="G26" s="3151"/>
      <c r="H26" s="1737" t="s">
        <v>1335</v>
      </c>
    </row>
    <row r="27" spans="1:9">
      <c r="A27" s="1324">
        <v>1</v>
      </c>
      <c r="B27" s="1325" t="s">
        <v>1114</v>
      </c>
      <c r="C27" s="1325">
        <f>C28+C29</f>
        <v>0</v>
      </c>
      <c r="D27" s="1325"/>
      <c r="E27" s="3152"/>
      <c r="F27" s="3152"/>
      <c r="G27" s="3152"/>
    </row>
    <row r="28" spans="1:9">
      <c r="A28" s="1326" t="s">
        <v>1115</v>
      </c>
      <c r="B28" s="1325" t="s">
        <v>1116</v>
      </c>
      <c r="C28" s="1325"/>
      <c r="D28" s="1325"/>
      <c r="E28" s="3152"/>
      <c r="F28" s="3152"/>
      <c r="G28" s="315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3"/>
      <c r="F32" s="3153"/>
      <c r="G32" s="3153"/>
    </row>
    <row r="33" spans="1:7" hidden="1">
      <c r="A33" s="3148" t="s">
        <v>1125</v>
      </c>
      <c r="B33" s="3149"/>
      <c r="C33" s="3149"/>
      <c r="D33" s="3150"/>
      <c r="E33" s="3151"/>
      <c r="F33" s="3151"/>
      <c r="G33" s="3151"/>
    </row>
    <row r="34" spans="1:7" hidden="1">
      <c r="A34" s="1328">
        <v>1</v>
      </c>
      <c r="B34" s="1325" t="s">
        <v>1126</v>
      </c>
      <c r="C34" s="1325"/>
      <c r="D34" s="1325"/>
      <c r="E34" s="3152"/>
      <c r="F34" s="3152"/>
      <c r="G34" s="3152"/>
    </row>
    <row r="35" spans="1:7" hidden="1">
      <c r="A35" s="1328">
        <v>2</v>
      </c>
      <c r="B35" s="1325" t="s">
        <v>1127</v>
      </c>
      <c r="C35" s="1325"/>
      <c r="D35" s="1325"/>
      <c r="E35" s="3152"/>
      <c r="F35" s="3152"/>
      <c r="G35" s="3152"/>
    </row>
    <row r="36" spans="1:7" hidden="1">
      <c r="A36" s="1328">
        <v>3</v>
      </c>
      <c r="B36" s="1325" t="s">
        <v>1128</v>
      </c>
      <c r="C36" s="1325"/>
      <c r="D36" s="1325"/>
      <c r="E36" s="3152"/>
      <c r="F36" s="3152"/>
      <c r="G36" s="3152"/>
    </row>
    <row r="37" spans="1:7" hidden="1">
      <c r="A37" s="1328">
        <v>4</v>
      </c>
      <c r="B37" s="1325" t="s">
        <v>1129</v>
      </c>
      <c r="C37" s="1325"/>
      <c r="D37" s="1325"/>
      <c r="E37" s="3152"/>
      <c r="F37" s="3152"/>
      <c r="G37" s="3152"/>
    </row>
    <row r="38" spans="1:7" hidden="1">
      <c r="A38" s="3148" t="s">
        <v>1130</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36467.32</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87" t="s">
        <v>2534</v>
      </c>
      <c r="D4" s="3188"/>
      <c r="E4" s="3189" t="s">
        <v>2535</v>
      </c>
      <c r="F4" s="3190"/>
      <c r="G4" s="3187" t="s">
        <v>2536</v>
      </c>
      <c r="H4" s="3188"/>
      <c r="I4" s="3187" t="s">
        <v>2537</v>
      </c>
      <c r="J4" s="3188"/>
      <c r="K4" s="2596" t="s">
        <v>2538</v>
      </c>
      <c r="L4" s="1130"/>
      <c r="M4" s="1131"/>
      <c r="N4" s="1131"/>
      <c r="O4" s="1131"/>
      <c r="P4" s="3191" t="s">
        <v>2539</v>
      </c>
      <c r="Q4" s="3192"/>
      <c r="R4" s="3197" t="s">
        <v>2535</v>
      </c>
      <c r="S4" s="3198"/>
      <c r="T4" s="3197" t="s">
        <v>2536</v>
      </c>
      <c r="U4" s="3198"/>
      <c r="V4" s="3203" t="s">
        <v>2537</v>
      </c>
      <c r="W4" s="3203"/>
      <c r="X4" s="1813"/>
      <c r="Y4" s="3197" t="s">
        <v>2539</v>
      </c>
      <c r="Z4" s="3198"/>
      <c r="AA4" s="3184" t="s">
        <v>2535</v>
      </c>
      <c r="AB4" s="3184" t="s">
        <v>2536</v>
      </c>
      <c r="AC4" s="3184" t="s">
        <v>2537</v>
      </c>
    </row>
    <row r="5" spans="1:29" ht="15">
      <c r="A5" s="404"/>
      <c r="B5" s="405"/>
      <c r="C5" s="3206" t="s">
        <v>2540</v>
      </c>
      <c r="D5" s="3207"/>
      <c r="E5" s="3213" t="s">
        <v>2541</v>
      </c>
      <c r="F5" s="3214"/>
      <c r="G5" s="3206" t="s">
        <v>2542</v>
      </c>
      <c r="H5" s="3207"/>
      <c r="I5" s="3206" t="s">
        <v>2543</v>
      </c>
      <c r="J5" s="3207"/>
      <c r="K5" s="2597"/>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2544</v>
      </c>
      <c r="D6" s="3205"/>
      <c r="E6" s="3211" t="s">
        <v>2544</v>
      </c>
      <c r="F6" s="3212"/>
      <c r="G6" s="3204" t="s">
        <v>2544</v>
      </c>
      <c r="H6" s="3205"/>
      <c r="I6" s="3204" t="s">
        <v>2544</v>
      </c>
      <c r="J6" s="3205"/>
      <c r="K6" s="2597" t="s">
        <v>2545</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2546</v>
      </c>
      <c r="B7" s="409"/>
      <c r="C7" s="410">
        <f>'数据-取费表'!B2</f>
        <v>43966</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8" t="s">
        <v>2547</v>
      </c>
      <c r="Q7" s="3210"/>
      <c r="R7" s="770" t="s">
        <v>23</v>
      </c>
      <c r="S7" s="771">
        <f t="shared" ref="S7:S15" si="0">F7</f>
        <v>0</v>
      </c>
      <c r="T7" s="770" t="s">
        <v>23</v>
      </c>
      <c r="U7" s="771">
        <f t="shared" ref="U7:U15" si="1">H7</f>
        <v>0</v>
      </c>
      <c r="V7" s="770" t="s">
        <v>23</v>
      </c>
      <c r="W7" s="771">
        <f t="shared" ref="W7:W15" si="2">J7</f>
        <v>0</v>
      </c>
      <c r="X7" s="772"/>
      <c r="Y7" s="3208" t="s">
        <v>2547</v>
      </c>
      <c r="Z7" s="3209"/>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8" t="s">
        <v>2550</v>
      </c>
      <c r="Q8" s="3209"/>
      <c r="R8" s="770" t="s">
        <v>23</v>
      </c>
      <c r="S8" s="771">
        <f t="shared" si="0"/>
        <v>0</v>
      </c>
      <c r="T8" s="770" t="s">
        <v>23</v>
      </c>
      <c r="U8" s="771">
        <f t="shared" si="1"/>
        <v>0</v>
      </c>
      <c r="V8" s="770" t="s">
        <v>23</v>
      </c>
      <c r="W8" s="771">
        <f t="shared" si="2"/>
        <v>0</v>
      </c>
      <c r="X8" s="772"/>
      <c r="Y8" s="3208" t="s">
        <v>2550</v>
      </c>
      <c r="Z8" s="320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3" t="s">
        <v>2553</v>
      </c>
      <c r="Q9" s="1795"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3"/>
      <c r="Q11" s="1795"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3"/>
      <c r="Q12" s="1795">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3"/>
      <c r="Q13" s="1795">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3"/>
      <c r="Q14" s="1795">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2558</v>
      </c>
      <c r="Q15" s="1810" t="str">
        <f t="shared" si="6"/>
        <v>居住社区成熟度</v>
      </c>
      <c r="R15" s="774" t="s">
        <v>21</v>
      </c>
      <c r="S15" s="775">
        <f t="shared" si="0"/>
        <v>100</v>
      </c>
      <c r="T15" s="774" t="s">
        <v>21</v>
      </c>
      <c r="U15" s="775">
        <f t="shared" si="1"/>
        <v>100</v>
      </c>
      <c r="V15" s="774" t="s">
        <v>21</v>
      </c>
      <c r="W15" s="775">
        <f t="shared" si="2"/>
        <v>100</v>
      </c>
      <c r="X15" s="1813"/>
      <c r="Y15" s="3174"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10" t="str">
        <f>B17</f>
        <v>交通便捷度</v>
      </c>
      <c r="R17" s="774" t="s">
        <v>21</v>
      </c>
      <c r="S17" s="775">
        <f>F17</f>
        <v>100</v>
      </c>
      <c r="T17" s="774" t="s">
        <v>21</v>
      </c>
      <c r="U17" s="775">
        <f>H17</f>
        <v>100</v>
      </c>
      <c r="V17" s="774" t="s">
        <v>21</v>
      </c>
      <c r="W17" s="775">
        <f>J17</f>
        <v>100</v>
      </c>
      <c r="X17" s="1813"/>
      <c r="Y17" s="3175"/>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10" t="str">
        <f>B19</f>
        <v>公共配套设施</v>
      </c>
      <c r="R19" s="774" t="s">
        <v>21</v>
      </c>
      <c r="S19" s="775">
        <f>F19</f>
        <v>100</v>
      </c>
      <c r="T19" s="774" t="s">
        <v>21</v>
      </c>
      <c r="U19" s="775">
        <f>H19</f>
        <v>100</v>
      </c>
      <c r="V19" s="774" t="s">
        <v>21</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10" t="str">
        <f>B23</f>
        <v>自然及人文环境</v>
      </c>
      <c r="R23" s="774" t="s">
        <v>21</v>
      </c>
      <c r="S23" s="775">
        <f>F23</f>
        <v>100</v>
      </c>
      <c r="T23" s="774" t="s">
        <v>21</v>
      </c>
      <c r="U23" s="775">
        <f>H23</f>
        <v>100</v>
      </c>
      <c r="V23" s="774" t="s">
        <v>21</v>
      </c>
      <c r="W23" s="775">
        <f>J23</f>
        <v>100</v>
      </c>
      <c r="X23" s="1813"/>
      <c r="Y23" s="3175"/>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2"/>
      <c r="Q26" s="1810" t="str">
        <f t="shared" si="11"/>
        <v>朝向</v>
      </c>
      <c r="R26" s="774" t="s">
        <v>21</v>
      </c>
      <c r="S26" s="775">
        <f t="shared" si="12"/>
        <v>100</v>
      </c>
      <c r="T26" s="774" t="s">
        <v>21</v>
      </c>
      <c r="U26" s="775">
        <f t="shared" si="13"/>
        <v>100</v>
      </c>
      <c r="V26" s="774" t="s">
        <v>21</v>
      </c>
      <c r="W26" s="775">
        <f t="shared" si="14"/>
        <v>100</v>
      </c>
      <c r="X26" s="1813"/>
      <c r="Y26" s="317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2"/>
      <c r="Q27" s="1795">
        <f t="shared" si="11"/>
        <v>111</v>
      </c>
      <c r="R27" s="770" t="s">
        <v>21</v>
      </c>
      <c r="S27" s="771">
        <f t="shared" si="12"/>
        <v>100</v>
      </c>
      <c r="T27" s="770" t="s">
        <v>21</v>
      </c>
      <c r="U27" s="771">
        <f t="shared" si="13"/>
        <v>100</v>
      </c>
      <c r="V27" s="770" t="s">
        <v>21</v>
      </c>
      <c r="W27" s="771">
        <f t="shared" si="14"/>
        <v>100</v>
      </c>
      <c r="X27" s="772"/>
      <c r="Y27" s="317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2"/>
      <c r="Q28" s="1810">
        <f t="shared" si="11"/>
        <v>111</v>
      </c>
      <c r="R28" s="774" t="s">
        <v>21</v>
      </c>
      <c r="S28" s="775">
        <f t="shared" si="12"/>
        <v>100</v>
      </c>
      <c r="T28" s="774" t="s">
        <v>21</v>
      </c>
      <c r="U28" s="775">
        <f t="shared" si="13"/>
        <v>100</v>
      </c>
      <c r="V28" s="774" t="s">
        <v>21</v>
      </c>
      <c r="W28" s="775">
        <f t="shared" si="14"/>
        <v>100</v>
      </c>
      <c r="X28" s="1813"/>
      <c r="Y28" s="317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2"/>
      <c r="Q29" s="1810">
        <f t="shared" si="11"/>
        <v>111</v>
      </c>
      <c r="R29" s="774" t="s">
        <v>21</v>
      </c>
      <c r="S29" s="775">
        <f t="shared" si="12"/>
        <v>100</v>
      </c>
      <c r="T29" s="774" t="s">
        <v>21</v>
      </c>
      <c r="U29" s="775">
        <f t="shared" si="13"/>
        <v>100</v>
      </c>
      <c r="V29" s="774" t="s">
        <v>21</v>
      </c>
      <c r="W29" s="775">
        <f t="shared" si="14"/>
        <v>100</v>
      </c>
      <c r="X29" s="1813"/>
      <c r="Y29" s="317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2"/>
      <c r="Q30" s="1810">
        <f t="shared" si="11"/>
        <v>111</v>
      </c>
      <c r="R30" s="774" t="s">
        <v>21</v>
      </c>
      <c r="S30" s="775">
        <f t="shared" si="12"/>
        <v>100</v>
      </c>
      <c r="T30" s="774" t="s">
        <v>21</v>
      </c>
      <c r="U30" s="775">
        <f t="shared" si="13"/>
        <v>100</v>
      </c>
      <c r="V30" s="774" t="s">
        <v>21</v>
      </c>
      <c r="W30" s="775">
        <f t="shared" si="14"/>
        <v>100</v>
      </c>
      <c r="X30" s="1813"/>
      <c r="Y30" s="317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2"/>
      <c r="Q31" s="1810">
        <f t="shared" si="11"/>
        <v>111</v>
      </c>
      <c r="R31" s="774" t="s">
        <v>21</v>
      </c>
      <c r="S31" s="775">
        <f t="shared" si="12"/>
        <v>100</v>
      </c>
      <c r="T31" s="774" t="s">
        <v>21</v>
      </c>
      <c r="U31" s="775">
        <f t="shared" si="13"/>
        <v>100</v>
      </c>
      <c r="V31" s="774" t="s">
        <v>21</v>
      </c>
      <c r="W31" s="775">
        <f t="shared" si="14"/>
        <v>100</v>
      </c>
      <c r="X31" s="1813"/>
      <c r="Y31" s="3175"/>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76" t="s">
        <v>2563</v>
      </c>
      <c r="Q32" s="1810" t="str">
        <f t="shared" si="11"/>
        <v>建筑类型</v>
      </c>
      <c r="R32" s="774" t="s">
        <v>21</v>
      </c>
      <c r="S32" s="775">
        <f t="shared" si="12"/>
        <v>100</v>
      </c>
      <c r="T32" s="774" t="s">
        <v>21</v>
      </c>
      <c r="U32" s="775">
        <f t="shared" si="13"/>
        <v>100</v>
      </c>
      <c r="V32" s="774" t="s">
        <v>21</v>
      </c>
      <c r="W32" s="775">
        <f t="shared" si="14"/>
        <v>100</v>
      </c>
      <c r="X32" s="1813"/>
      <c r="Y32" s="3179"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77"/>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77"/>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77"/>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77"/>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7"/>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77" t="s">
        <v>2563</v>
      </c>
      <c r="Q38" s="1810" t="str">
        <f t="shared" si="11"/>
        <v>物业管理</v>
      </c>
      <c r="R38" s="774" t="s">
        <v>21</v>
      </c>
      <c r="S38" s="775">
        <f t="shared" si="12"/>
        <v>100</v>
      </c>
      <c r="T38" s="774" t="s">
        <v>21</v>
      </c>
      <c r="U38" s="775">
        <f t="shared" si="13"/>
        <v>100</v>
      </c>
      <c r="V38" s="774" t="s">
        <v>21</v>
      </c>
      <c r="W38" s="775">
        <f t="shared" si="14"/>
        <v>100</v>
      </c>
      <c r="X38" s="1813"/>
      <c r="Y38" s="3179"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77"/>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77"/>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77"/>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77"/>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77"/>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77"/>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78"/>
      <c r="Q46" s="1810">
        <f t="shared" si="11"/>
        <v>111</v>
      </c>
      <c r="R46" s="774" t="s">
        <v>20</v>
      </c>
      <c r="S46" s="775">
        <f t="shared" si="12"/>
        <v>100</v>
      </c>
      <c r="T46" s="774" t="s">
        <v>20</v>
      </c>
      <c r="U46" s="775">
        <f t="shared" si="13"/>
        <v>100</v>
      </c>
      <c r="V46" s="774" t="s">
        <v>20</v>
      </c>
      <c r="W46" s="775">
        <f t="shared" si="14"/>
        <v>100</v>
      </c>
      <c r="X46" s="1813"/>
      <c r="Y46" s="3180"/>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172" t="str">
        <f>A47</f>
        <v>成交单价（元/平方米）</v>
      </c>
      <c r="Q47" s="3172"/>
      <c r="R47" s="3173">
        <f>E47</f>
        <v>0</v>
      </c>
      <c r="S47" s="3173"/>
      <c r="T47" s="3173">
        <f>G47</f>
        <v>0</v>
      </c>
      <c r="U47" s="3173"/>
      <c r="V47" s="3173">
        <f>I47</f>
        <v>0</v>
      </c>
      <c r="W47" s="3173"/>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36467.32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87" t="s">
        <v>2644</v>
      </c>
      <c r="D4" s="3188"/>
      <c r="E4" s="3189" t="s">
        <v>2645</v>
      </c>
      <c r="F4" s="3190"/>
      <c r="G4" s="3187" t="s">
        <v>2646</v>
      </c>
      <c r="H4" s="3188"/>
      <c r="I4" s="3187" t="s">
        <v>2647</v>
      </c>
      <c r="J4" s="3188"/>
      <c r="K4" s="610" t="s">
        <v>2648</v>
      </c>
      <c r="L4" s="1130"/>
      <c r="M4" s="1131"/>
      <c r="N4" s="1131"/>
      <c r="O4" s="1131"/>
      <c r="P4" s="3191" t="s">
        <v>2649</v>
      </c>
      <c r="Q4" s="3192"/>
      <c r="R4" s="3197" t="s">
        <v>2645</v>
      </c>
      <c r="S4" s="3198"/>
      <c r="T4" s="3197" t="s">
        <v>2646</v>
      </c>
      <c r="U4" s="3198"/>
      <c r="V4" s="3203" t="s">
        <v>2647</v>
      </c>
      <c r="W4" s="3203"/>
      <c r="X4" s="1813"/>
      <c r="Y4" s="3197" t="s">
        <v>2649</v>
      </c>
      <c r="Z4" s="3198"/>
      <c r="AA4" s="3184" t="s">
        <v>2645</v>
      </c>
      <c r="AB4" s="3203" t="s">
        <v>2646</v>
      </c>
      <c r="AC4" s="3184" t="s">
        <v>2647</v>
      </c>
    </row>
    <row r="5" spans="1:29" ht="15">
      <c r="A5" s="404"/>
      <c r="B5" s="405"/>
      <c r="C5" s="3206" t="s">
        <v>2540</v>
      </c>
      <c r="D5" s="3207"/>
      <c r="E5" s="3213" t="s">
        <v>2541</v>
      </c>
      <c r="F5" s="3214"/>
      <c r="G5" s="3206" t="s">
        <v>2542</v>
      </c>
      <c r="H5" s="3207"/>
      <c r="I5" s="3206" t="s">
        <v>2543</v>
      </c>
      <c r="J5" s="3207"/>
      <c r="K5" s="610"/>
      <c r="L5" s="1130"/>
      <c r="M5" s="1131"/>
      <c r="N5" s="1131"/>
      <c r="O5" s="1131"/>
      <c r="P5" s="3193"/>
      <c r="Q5" s="3194"/>
      <c r="R5" s="3199"/>
      <c r="S5" s="3200"/>
      <c r="T5" s="3199"/>
      <c r="U5" s="3200"/>
      <c r="V5" s="3203"/>
      <c r="W5" s="3203"/>
      <c r="X5" s="1813"/>
      <c r="Y5" s="3199"/>
      <c r="Z5" s="3200"/>
      <c r="AA5" s="3185"/>
      <c r="AB5" s="3203"/>
      <c r="AC5" s="3185"/>
    </row>
    <row r="6" spans="1:29" ht="15.75" thickBot="1">
      <c r="A6" s="406"/>
      <c r="B6" s="407"/>
      <c r="C6" s="3204" t="s">
        <v>2544</v>
      </c>
      <c r="D6" s="3205"/>
      <c r="E6" s="3211" t="s">
        <v>2544</v>
      </c>
      <c r="F6" s="3212"/>
      <c r="G6" s="3204" t="s">
        <v>2544</v>
      </c>
      <c r="H6" s="3205"/>
      <c r="I6" s="3204" t="s">
        <v>2544</v>
      </c>
      <c r="J6" s="3205"/>
      <c r="K6" s="610" t="s">
        <v>2545</v>
      </c>
      <c r="L6" s="1130"/>
      <c r="M6" s="1131"/>
      <c r="N6" s="1131"/>
      <c r="O6" s="1131"/>
      <c r="P6" s="3195"/>
      <c r="Q6" s="3196"/>
      <c r="R6" s="3199"/>
      <c r="S6" s="3200"/>
      <c r="T6" s="3201"/>
      <c r="U6" s="3202"/>
      <c r="V6" s="3203"/>
      <c r="W6" s="3203"/>
      <c r="X6" s="1813"/>
      <c r="Y6" s="3201"/>
      <c r="Z6" s="3202"/>
      <c r="AA6" s="3186"/>
      <c r="AB6" s="3203"/>
      <c r="AC6" s="3186"/>
    </row>
    <row r="7" spans="1:29" s="117" customFormat="1" ht="15.75" thickBot="1">
      <c r="A7" s="408" t="s">
        <v>2546</v>
      </c>
      <c r="B7" s="409"/>
      <c r="C7" s="410">
        <f>'数据-取费表'!B2</f>
        <v>43966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2547</v>
      </c>
      <c r="Q7" s="3210"/>
      <c r="R7" s="770" t="s">
        <v>17</v>
      </c>
      <c r="S7" s="771">
        <f t="shared" ref="S7:S15" si="0">F7</f>
        <v>0</v>
      </c>
      <c r="T7" s="770" t="s">
        <v>17</v>
      </c>
      <c r="U7" s="771">
        <f t="shared" ref="U7:U15" si="1">H7</f>
        <v>0</v>
      </c>
      <c r="V7" s="770" t="s">
        <v>17</v>
      </c>
      <c r="W7" s="771">
        <f t="shared" ref="W7:W15" si="2">J7</f>
        <v>0</v>
      </c>
      <c r="X7" s="772"/>
      <c r="Y7" s="3208" t="s">
        <v>2547</v>
      </c>
      <c r="Z7" s="320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2550</v>
      </c>
      <c r="Q8" s="3209"/>
      <c r="R8" s="770" t="s">
        <v>17</v>
      </c>
      <c r="S8" s="771">
        <f t="shared" si="0"/>
        <v>0</v>
      </c>
      <c r="T8" s="770" t="s">
        <v>17</v>
      </c>
      <c r="U8" s="771">
        <f t="shared" si="1"/>
        <v>0</v>
      </c>
      <c r="V8" s="770" t="s">
        <v>17</v>
      </c>
      <c r="W8" s="771">
        <f t="shared" si="2"/>
        <v>0</v>
      </c>
      <c r="X8" s="772"/>
      <c r="Y8" s="3208" t="s">
        <v>2550</v>
      </c>
      <c r="Z8" s="320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2553</v>
      </c>
      <c r="Q9" s="1795"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2558</v>
      </c>
      <c r="Q15" s="1810" t="str">
        <f t="shared" si="6"/>
        <v>商业繁华度</v>
      </c>
      <c r="R15" s="774" t="s">
        <v>17</v>
      </c>
      <c r="S15" s="775">
        <f t="shared" si="0"/>
        <v>100</v>
      </c>
      <c r="T15" s="774" t="s">
        <v>17</v>
      </c>
      <c r="U15" s="775">
        <f t="shared" si="1"/>
        <v>100</v>
      </c>
      <c r="V15" s="774" t="s">
        <v>17</v>
      </c>
      <c r="W15" s="775">
        <f t="shared" si="2"/>
        <v>100</v>
      </c>
      <c r="X15" s="1813"/>
      <c r="Y15" s="317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1811">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82"/>
      <c r="Q18" s="1810"/>
      <c r="R18" s="774"/>
      <c r="S18" s="775"/>
      <c r="T18" s="774"/>
      <c r="U18" s="775"/>
      <c r="V18" s="774"/>
      <c r="W18" s="775"/>
      <c r="X18" s="1813"/>
      <c r="Y18" s="3175"/>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82"/>
      <c r="Q20" s="1810"/>
      <c r="R20" s="774"/>
      <c r="S20" s="775"/>
      <c r="T20" s="774"/>
      <c r="U20" s="775"/>
      <c r="V20" s="774"/>
      <c r="W20" s="775"/>
      <c r="X20" s="1813"/>
      <c r="Y20" s="3175"/>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82"/>
      <c r="Q22" s="1810"/>
      <c r="R22" s="774"/>
      <c r="S22" s="775"/>
      <c r="T22" s="774"/>
      <c r="U22" s="775"/>
      <c r="V22" s="774"/>
      <c r="W22" s="775"/>
      <c r="X22" s="1813"/>
      <c r="Y22" s="3175"/>
      <c r="Z22" s="1814"/>
      <c r="AA22" s="1811">
        <v>1</v>
      </c>
      <c r="AB22" s="1811">
        <v>1</v>
      </c>
      <c r="AC22" s="1811">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10" t="str">
        <f>B23</f>
        <v>自然及人文环境</v>
      </c>
      <c r="R23" s="774" t="s">
        <v>17</v>
      </c>
      <c r="S23" s="775">
        <f>F23</f>
        <v>100</v>
      </c>
      <c r="T23" s="774" t="s">
        <v>17</v>
      </c>
      <c r="U23" s="775">
        <f>H23</f>
        <v>100</v>
      </c>
      <c r="V23" s="774" t="s">
        <v>17</v>
      </c>
      <c r="W23" s="775">
        <f>J23</f>
        <v>100</v>
      </c>
      <c r="X23" s="1813"/>
      <c r="Y23" s="3175"/>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82"/>
      <c r="Q24" s="1810"/>
      <c r="R24" s="774"/>
      <c r="S24" s="775"/>
      <c r="T24" s="774"/>
      <c r="U24" s="775"/>
      <c r="V24" s="774"/>
      <c r="W24" s="775"/>
      <c r="X24" s="1813"/>
      <c r="Y24" s="317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10" t="str">
        <f t="shared" ref="Q25:Q46" si="11">B25</f>
        <v>临街状况</v>
      </c>
      <c r="R25" s="774" t="s">
        <v>17</v>
      </c>
      <c r="S25" s="775">
        <f>F25</f>
        <v>100</v>
      </c>
      <c r="T25" s="774" t="s">
        <v>17</v>
      </c>
      <c r="U25" s="775">
        <f>H25</f>
        <v>100</v>
      </c>
      <c r="V25" s="774" t="s">
        <v>17</v>
      </c>
      <c r="W25" s="775">
        <f>J25</f>
        <v>100</v>
      </c>
      <c r="X25" s="1813"/>
      <c r="Y25" s="3175"/>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10" t="str">
        <f t="shared" si="11"/>
        <v>平面位置/可视性</v>
      </c>
      <c r="R26" s="774" t="s">
        <v>17</v>
      </c>
      <c r="S26" s="775">
        <f>F26</f>
        <v>100</v>
      </c>
      <c r="T26" s="774" t="s">
        <v>17</v>
      </c>
      <c r="U26" s="775">
        <f>H26</f>
        <v>100</v>
      </c>
      <c r="V26" s="774" t="s">
        <v>17</v>
      </c>
      <c r="W26" s="775">
        <f>J26</f>
        <v>100</v>
      </c>
      <c r="X26" s="1813"/>
      <c r="Y26" s="3175"/>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2"/>
      <c r="Q27" s="1795" t="str">
        <f t="shared" si="11"/>
        <v>人流量</v>
      </c>
      <c r="R27" s="770" t="s">
        <v>17</v>
      </c>
      <c r="S27" s="771">
        <f>F27</f>
        <v>100</v>
      </c>
      <c r="T27" s="770" t="s">
        <v>17</v>
      </c>
      <c r="U27" s="771">
        <f>H27</f>
        <v>100</v>
      </c>
      <c r="V27" s="770" t="s">
        <v>17</v>
      </c>
      <c r="W27" s="771">
        <f>J27</f>
        <v>100</v>
      </c>
      <c r="X27" s="772"/>
      <c r="Y27" s="317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10">
        <f t="shared" si="11"/>
        <v>111</v>
      </c>
      <c r="R29" s="774" t="s">
        <v>17</v>
      </c>
      <c r="S29" s="775">
        <f t="shared" si="12"/>
        <v>100</v>
      </c>
      <c r="T29" s="774" t="s">
        <v>17</v>
      </c>
      <c r="U29" s="775">
        <f t="shared" si="13"/>
        <v>100</v>
      </c>
      <c r="V29" s="774" t="s">
        <v>17</v>
      </c>
      <c r="W29" s="775">
        <f t="shared" si="14"/>
        <v>100</v>
      </c>
      <c r="X29" s="1813"/>
      <c r="Y29" s="317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76" t="s">
        <v>2563</v>
      </c>
      <c r="Q32" s="1810" t="str">
        <f t="shared" si="11"/>
        <v>商业类型</v>
      </c>
      <c r="R32" s="774" t="s">
        <v>17</v>
      </c>
      <c r="S32" s="775">
        <f t="shared" si="12"/>
        <v>100</v>
      </c>
      <c r="T32" s="774" t="s">
        <v>17</v>
      </c>
      <c r="U32" s="775">
        <f t="shared" si="13"/>
        <v>100</v>
      </c>
      <c r="V32" s="774" t="s">
        <v>17</v>
      </c>
      <c r="W32" s="775">
        <f t="shared" si="14"/>
        <v>100</v>
      </c>
      <c r="X32" s="1813"/>
      <c r="Y32" s="3179"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7"/>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77"/>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77"/>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7"/>
      <c r="Q36" s="1810" t="str">
        <f t="shared" si="11"/>
        <v>成新度</v>
      </c>
      <c r="R36" s="774" t="s">
        <v>17</v>
      </c>
      <c r="S36" s="775" t="e">
        <f t="shared" si="12"/>
        <v>#N/A</v>
      </c>
      <c r="T36" s="774" t="s">
        <v>17</v>
      </c>
      <c r="U36" s="775" t="e">
        <f t="shared" si="13"/>
        <v>#N/A</v>
      </c>
      <c r="V36" s="774" t="s">
        <v>17</v>
      </c>
      <c r="W36" s="775" t="e">
        <f t="shared" si="14"/>
        <v>#N/A</v>
      </c>
      <c r="X36" s="1813"/>
      <c r="Y36" s="3179"/>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77"/>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77" t="s">
        <v>2563</v>
      </c>
      <c r="Q38" s="1810" t="str">
        <f t="shared" si="11"/>
        <v>业态</v>
      </c>
      <c r="R38" s="774" t="s">
        <v>17</v>
      </c>
      <c r="S38" s="775">
        <f t="shared" si="12"/>
        <v>100</v>
      </c>
      <c r="T38" s="774" t="s">
        <v>17</v>
      </c>
      <c r="U38" s="775">
        <f t="shared" si="13"/>
        <v>100</v>
      </c>
      <c r="V38" s="774" t="s">
        <v>17</v>
      </c>
      <c r="W38" s="775">
        <f t="shared" si="14"/>
        <v>100</v>
      </c>
      <c r="X38" s="1813"/>
      <c r="Y38" s="3179"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77"/>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7"/>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77"/>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77"/>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7"/>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7"/>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8"/>
      <c r="Q46" s="1810">
        <f t="shared" si="11"/>
        <v>111</v>
      </c>
      <c r="R46" s="774" t="s">
        <v>17</v>
      </c>
      <c r="S46" s="775">
        <f t="shared" si="12"/>
        <v>100</v>
      </c>
      <c r="T46" s="774" t="s">
        <v>17</v>
      </c>
      <c r="U46" s="775">
        <f t="shared" si="13"/>
        <v>100</v>
      </c>
      <c r="V46" s="774" t="s">
        <v>17</v>
      </c>
      <c r="W46" s="775">
        <f t="shared" si="14"/>
        <v>100</v>
      </c>
      <c r="X46" s="1813"/>
      <c r="Y46" s="3180"/>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72" t="str">
        <f>A47</f>
        <v>成交单价（元/平方米）</v>
      </c>
      <c r="Q47" s="3172"/>
      <c r="R47" s="3203">
        <f>E47</f>
        <v>0</v>
      </c>
      <c r="S47" s="3203"/>
      <c r="T47" s="3203">
        <f>G47</f>
        <v>0</v>
      </c>
      <c r="U47" s="3203"/>
      <c r="V47" s="3203">
        <f>I47</f>
        <v>0</v>
      </c>
      <c r="W47" s="3203"/>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36467.32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7" t="s">
        <v>2644</v>
      </c>
      <c r="D4" s="3188"/>
      <c r="E4" s="3189" t="s">
        <v>2645</v>
      </c>
      <c r="F4" s="3190"/>
      <c r="G4" s="3187" t="s">
        <v>2646</v>
      </c>
      <c r="H4" s="3188"/>
      <c r="I4" s="3187" t="s">
        <v>2647</v>
      </c>
      <c r="J4" s="3188"/>
      <c r="K4" s="610" t="s">
        <v>2648</v>
      </c>
      <c r="L4" s="1130"/>
      <c r="M4" s="1131"/>
      <c r="N4" s="1131"/>
      <c r="O4" s="1131"/>
      <c r="P4" s="3221" t="s">
        <v>2649</v>
      </c>
      <c r="Q4" s="3222"/>
      <c r="R4" s="3225" t="s">
        <v>2645</v>
      </c>
      <c r="S4" s="3226"/>
      <c r="T4" s="3225" t="s">
        <v>2646</v>
      </c>
      <c r="U4" s="3226"/>
      <c r="V4" s="3227" t="s">
        <v>2647</v>
      </c>
      <c r="W4" s="3227"/>
      <c r="X4" s="2670"/>
      <c r="Y4" s="3225" t="s">
        <v>2649</v>
      </c>
      <c r="Z4" s="3226"/>
      <c r="AA4" s="3229" t="s">
        <v>2645</v>
      </c>
      <c r="AB4" s="3229" t="s">
        <v>2646</v>
      </c>
      <c r="AC4" s="3218" t="s">
        <v>2647</v>
      </c>
    </row>
    <row r="5" spans="1:29" ht="15">
      <c r="A5" s="404"/>
      <c r="B5" s="405"/>
      <c r="C5" s="3206" t="s">
        <v>2540</v>
      </c>
      <c r="D5" s="3207"/>
      <c r="E5" s="3213" t="s">
        <v>2541</v>
      </c>
      <c r="F5" s="3214"/>
      <c r="G5" s="3206" t="s">
        <v>2542</v>
      </c>
      <c r="H5" s="3207"/>
      <c r="I5" s="3206" t="s">
        <v>2543</v>
      </c>
      <c r="J5" s="3207"/>
      <c r="K5" s="610"/>
      <c r="L5" s="1130"/>
      <c r="M5" s="1131"/>
      <c r="N5" s="1131"/>
      <c r="O5" s="1131"/>
      <c r="P5" s="3223"/>
      <c r="Q5" s="3194"/>
      <c r="R5" s="3199"/>
      <c r="S5" s="3200"/>
      <c r="T5" s="3199"/>
      <c r="U5" s="3200"/>
      <c r="V5" s="3203"/>
      <c r="W5" s="3203"/>
      <c r="X5" s="1813"/>
      <c r="Y5" s="3199"/>
      <c r="Z5" s="3200"/>
      <c r="AA5" s="3185"/>
      <c r="AB5" s="3185"/>
      <c r="AC5" s="3219"/>
    </row>
    <row r="6" spans="1:29" ht="15.75" thickBot="1">
      <c r="A6" s="406"/>
      <c r="B6" s="407"/>
      <c r="C6" s="3204" t="s">
        <v>2544</v>
      </c>
      <c r="D6" s="3205"/>
      <c r="E6" s="3211" t="s">
        <v>2544</v>
      </c>
      <c r="F6" s="3212"/>
      <c r="G6" s="3204" t="s">
        <v>2544</v>
      </c>
      <c r="H6" s="3205"/>
      <c r="I6" s="3204" t="s">
        <v>2544</v>
      </c>
      <c r="J6" s="3205"/>
      <c r="K6" s="610" t="s">
        <v>2545</v>
      </c>
      <c r="L6" s="1130"/>
      <c r="M6" s="1131"/>
      <c r="N6" s="1131"/>
      <c r="O6" s="1131"/>
      <c r="P6" s="3224"/>
      <c r="Q6" s="3196"/>
      <c r="R6" s="3199"/>
      <c r="S6" s="3200"/>
      <c r="T6" s="3201"/>
      <c r="U6" s="3202"/>
      <c r="V6" s="3203"/>
      <c r="W6" s="3203"/>
      <c r="X6" s="1813"/>
      <c r="Y6" s="3201"/>
      <c r="Z6" s="3202"/>
      <c r="AA6" s="3186"/>
      <c r="AB6" s="3186"/>
      <c r="AC6" s="3220"/>
    </row>
    <row r="7" spans="1:29" s="117" customFormat="1" ht="15.75" thickBot="1">
      <c r="A7" s="408" t="s">
        <v>2546</v>
      </c>
      <c r="B7" s="409"/>
      <c r="C7" s="410">
        <f>'数据-取费表'!B2</f>
        <v>43966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2547</v>
      </c>
      <c r="Q7" s="3210"/>
      <c r="R7" s="770" t="s">
        <v>17</v>
      </c>
      <c r="S7" s="771">
        <f t="shared" ref="S7:S15" si="0">F7</f>
        <v>0</v>
      </c>
      <c r="T7" s="770" t="s">
        <v>17</v>
      </c>
      <c r="U7" s="771">
        <f t="shared" ref="U7:U15" si="1">H7</f>
        <v>0</v>
      </c>
      <c r="V7" s="770" t="s">
        <v>17</v>
      </c>
      <c r="W7" s="771">
        <f t="shared" ref="W7:W15" si="2">J7</f>
        <v>0</v>
      </c>
      <c r="X7" s="772"/>
      <c r="Y7" s="3208" t="s">
        <v>2547</v>
      </c>
      <c r="Z7" s="3209"/>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2550</v>
      </c>
      <c r="Q8" s="3209"/>
      <c r="R8" s="770" t="s">
        <v>17</v>
      </c>
      <c r="S8" s="771">
        <f t="shared" si="0"/>
        <v>0</v>
      </c>
      <c r="T8" s="770" t="s">
        <v>17</v>
      </c>
      <c r="U8" s="771">
        <f t="shared" si="1"/>
        <v>0</v>
      </c>
      <c r="V8" s="770" t="s">
        <v>17</v>
      </c>
      <c r="W8" s="771">
        <f t="shared" si="2"/>
        <v>0</v>
      </c>
      <c r="X8" s="772"/>
      <c r="Y8" s="3208" t="s">
        <v>2550</v>
      </c>
      <c r="Z8" s="3209"/>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2553</v>
      </c>
      <c r="Q9" s="1795"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3"/>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3"/>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3"/>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1" t="s">
        <v>2558</v>
      </c>
      <c r="Q15" s="1810" t="str">
        <f t="shared" si="6"/>
        <v>办公集聚程度</v>
      </c>
      <c r="R15" s="774" t="s">
        <v>17</v>
      </c>
      <c r="S15" s="775">
        <f t="shared" si="0"/>
        <v>100</v>
      </c>
      <c r="T15" s="774" t="s">
        <v>17</v>
      </c>
      <c r="U15" s="775">
        <f t="shared" si="1"/>
        <v>100</v>
      </c>
      <c r="V15" s="774" t="s">
        <v>17</v>
      </c>
      <c r="W15" s="775">
        <f t="shared" si="2"/>
        <v>100</v>
      </c>
      <c r="X15" s="1813"/>
      <c r="Y15" s="3174"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82"/>
      <c r="Q16" s="1810"/>
      <c r="R16" s="774"/>
      <c r="S16" s="775"/>
      <c r="T16" s="774"/>
      <c r="U16" s="775"/>
      <c r="V16" s="774"/>
      <c r="W16" s="775"/>
      <c r="X16" s="1813"/>
      <c r="Y16" s="3175"/>
      <c r="Z16" s="1814"/>
      <c r="AA16" s="1811">
        <v>1</v>
      </c>
      <c r="AB16" s="1811">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2"/>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82"/>
      <c r="Q18" s="1810"/>
      <c r="R18" s="774"/>
      <c r="S18" s="775"/>
      <c r="T18" s="774"/>
      <c r="U18" s="775"/>
      <c r="V18" s="774"/>
      <c r="W18" s="775"/>
      <c r="X18" s="1813"/>
      <c r="Y18" s="3175"/>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2"/>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82"/>
      <c r="Q20" s="1810"/>
      <c r="R20" s="774"/>
      <c r="S20" s="775"/>
      <c r="T20" s="774"/>
      <c r="U20" s="775"/>
      <c r="V20" s="774"/>
      <c r="W20" s="775"/>
      <c r="X20" s="1813"/>
      <c r="Y20" s="3175"/>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2"/>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82"/>
      <c r="Q22" s="1810"/>
      <c r="R22" s="774"/>
      <c r="S22" s="775"/>
      <c r="T22" s="774"/>
      <c r="U22" s="775"/>
      <c r="V22" s="774"/>
      <c r="W22" s="775"/>
      <c r="X22" s="1813"/>
      <c r="Y22" s="3175"/>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2"/>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82"/>
      <c r="Q24" s="1810"/>
      <c r="R24" s="774"/>
      <c r="S24" s="775"/>
      <c r="T24" s="774"/>
      <c r="U24" s="775"/>
      <c r="V24" s="774"/>
      <c r="W24" s="775"/>
      <c r="X24" s="1813"/>
      <c r="Y24" s="3175"/>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2"/>
      <c r="Q25" s="1810" t="str">
        <f>B25</f>
        <v>毗邻道路的类型与等级</v>
      </c>
      <c r="R25" s="774" t="s">
        <v>17</v>
      </c>
      <c r="S25" s="775">
        <f>F25</f>
        <v>100</v>
      </c>
      <c r="T25" s="774" t="s">
        <v>17</v>
      </c>
      <c r="U25" s="775">
        <f>H25</f>
        <v>100</v>
      </c>
      <c r="V25" s="774" t="s">
        <v>17</v>
      </c>
      <c r="W25" s="775">
        <f>J25</f>
        <v>100</v>
      </c>
      <c r="X25" s="1813"/>
      <c r="Y25" s="3175"/>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82"/>
      <c r="Q26" s="1810"/>
      <c r="R26" s="774"/>
      <c r="S26" s="775"/>
      <c r="T26" s="774"/>
      <c r="U26" s="775"/>
      <c r="V26" s="774"/>
      <c r="W26" s="775"/>
      <c r="X26" s="1813"/>
      <c r="Y26" s="3175"/>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2"/>
      <c r="Q27" s="1810" t="str">
        <f t="shared" ref="Q27:Q47" si="11">B27</f>
        <v>楼层</v>
      </c>
      <c r="R27" s="774" t="s">
        <v>17</v>
      </c>
      <c r="S27" s="775">
        <f>F27</f>
        <v>100</v>
      </c>
      <c r="T27" s="774" t="s">
        <v>17</v>
      </c>
      <c r="U27" s="775">
        <f>H27</f>
        <v>100</v>
      </c>
      <c r="V27" s="774" t="s">
        <v>17</v>
      </c>
      <c r="W27" s="775">
        <f>J27</f>
        <v>100</v>
      </c>
      <c r="X27" s="1813"/>
      <c r="Y27" s="3175"/>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2"/>
      <c r="Q28" s="1795" t="str">
        <f t="shared" si="11"/>
        <v>朝向</v>
      </c>
      <c r="R28" s="770" t="s">
        <v>17</v>
      </c>
      <c r="S28" s="771">
        <f>F28</f>
        <v>100</v>
      </c>
      <c r="T28" s="770" t="s">
        <v>17</v>
      </c>
      <c r="U28" s="771">
        <f>H28</f>
        <v>100</v>
      </c>
      <c r="V28" s="770" t="s">
        <v>17</v>
      </c>
      <c r="W28" s="771">
        <f>J28</f>
        <v>100</v>
      </c>
      <c r="X28" s="772"/>
      <c r="Y28" s="3175"/>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2"/>
      <c r="Q29" s="1810">
        <f t="shared" si="11"/>
        <v>111</v>
      </c>
      <c r="R29" s="774" t="s">
        <v>17</v>
      </c>
      <c r="S29" s="775">
        <f t="shared" ref="S29:S47" si="12">F29</f>
        <v>100</v>
      </c>
      <c r="T29" s="774" t="s">
        <v>17</v>
      </c>
      <c r="U29" s="775">
        <f t="shared" ref="U29:U47" si="13">H29</f>
        <v>100</v>
      </c>
      <c r="V29" s="774" t="s">
        <v>17</v>
      </c>
      <c r="W29" s="775">
        <f t="shared" ref="W29:W47" si="14">J29</f>
        <v>100</v>
      </c>
      <c r="X29" s="1813"/>
      <c r="Y29" s="3175"/>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2"/>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2"/>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2"/>
      <c r="Q32" s="1810">
        <f t="shared" si="11"/>
        <v>111</v>
      </c>
      <c r="R32" s="774" t="s">
        <v>17</v>
      </c>
      <c r="S32" s="775">
        <f t="shared" si="12"/>
        <v>100</v>
      </c>
      <c r="T32" s="774" t="s">
        <v>17</v>
      </c>
      <c r="U32" s="775">
        <f t="shared" si="13"/>
        <v>100</v>
      </c>
      <c r="V32" s="774" t="s">
        <v>17</v>
      </c>
      <c r="W32" s="775">
        <f t="shared" si="14"/>
        <v>100</v>
      </c>
      <c r="X32" s="1813"/>
      <c r="Y32" s="3175"/>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76" t="s">
        <v>2563</v>
      </c>
      <c r="Q33" s="1810" t="str">
        <f t="shared" si="11"/>
        <v>建筑类型</v>
      </c>
      <c r="R33" s="774" t="s">
        <v>17</v>
      </c>
      <c r="S33" s="775">
        <f t="shared" si="12"/>
        <v>100</v>
      </c>
      <c r="T33" s="774" t="s">
        <v>17</v>
      </c>
      <c r="U33" s="775">
        <f t="shared" si="13"/>
        <v>100</v>
      </c>
      <c r="V33" s="774" t="s">
        <v>17</v>
      </c>
      <c r="W33" s="775">
        <f t="shared" si="14"/>
        <v>100</v>
      </c>
      <c r="X33" s="1813"/>
      <c r="Y33" s="3179"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7"/>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7"/>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7"/>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7"/>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7"/>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7" t="s">
        <v>2563</v>
      </c>
      <c r="Q39" s="1810" t="str">
        <f t="shared" si="11"/>
        <v>物业管理</v>
      </c>
      <c r="R39" s="774" t="s">
        <v>17</v>
      </c>
      <c r="S39" s="775">
        <f t="shared" si="12"/>
        <v>100</v>
      </c>
      <c r="T39" s="774" t="s">
        <v>17</v>
      </c>
      <c r="U39" s="775">
        <f t="shared" si="13"/>
        <v>100</v>
      </c>
      <c r="V39" s="774" t="s">
        <v>17</v>
      </c>
      <c r="W39" s="775">
        <f t="shared" si="14"/>
        <v>100</v>
      </c>
      <c r="X39" s="1813"/>
      <c r="Y39" s="3179"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7"/>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7"/>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7"/>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7"/>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77"/>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7"/>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8"/>
      <c r="Q47" s="1810">
        <f t="shared" si="11"/>
        <v>111</v>
      </c>
      <c r="R47" s="774" t="s">
        <v>17</v>
      </c>
      <c r="S47" s="775">
        <f t="shared" si="12"/>
        <v>100</v>
      </c>
      <c r="T47" s="774" t="s">
        <v>17</v>
      </c>
      <c r="U47" s="775">
        <f t="shared" si="13"/>
        <v>100</v>
      </c>
      <c r="V47" s="774" t="s">
        <v>17</v>
      </c>
      <c r="W47" s="775">
        <f t="shared" si="14"/>
        <v>100</v>
      </c>
      <c r="X47" s="1813"/>
      <c r="Y47" s="3180"/>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183" t="str">
        <f>A48</f>
        <v>成交单价（元/平方米）</v>
      </c>
      <c r="Q48" s="3172"/>
      <c r="R48" s="3173">
        <f>E48</f>
        <v>0</v>
      </c>
      <c r="S48" s="3173"/>
      <c r="T48" s="3173">
        <f>G48</f>
        <v>0</v>
      </c>
      <c r="U48" s="3173"/>
      <c r="V48" s="3173">
        <f>I48</f>
        <v>0</v>
      </c>
      <c r="W48" s="3173"/>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15" t="str">
        <f>A50</f>
        <v>估价对象XX用房的比较价值（楼面单价，元/平方米）</v>
      </c>
      <c r="Q50" s="3216"/>
      <c r="R50" s="3217" t="e">
        <f>IF(F1="售价",ROUND(AVERAGE(R49:V49),0),ROUND(AVERAGE(R49:V49),1))</f>
        <v>#DIV/0!</v>
      </c>
      <c r="S50" s="3217"/>
      <c r="T50" s="3217"/>
      <c r="U50" s="3217"/>
      <c r="V50" s="3217"/>
      <c r="W50" s="321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36467.32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7" t="s">
        <v>2644</v>
      </c>
      <c r="D4" s="3188"/>
      <c r="E4" s="3189" t="s">
        <v>2645</v>
      </c>
      <c r="F4" s="3190"/>
      <c r="G4" s="3187" t="s">
        <v>2646</v>
      </c>
      <c r="H4" s="3188"/>
      <c r="I4" s="3187" t="s">
        <v>2647</v>
      </c>
      <c r="J4" s="3188"/>
      <c r="K4" s="610" t="s">
        <v>2648</v>
      </c>
      <c r="L4" s="1130"/>
      <c r="M4" s="1131"/>
      <c r="N4" s="1131"/>
      <c r="O4" s="1131"/>
      <c r="P4" s="3191" t="s">
        <v>2649</v>
      </c>
      <c r="Q4" s="3192"/>
      <c r="R4" s="3197" t="s">
        <v>2645</v>
      </c>
      <c r="S4" s="3198"/>
      <c r="T4" s="3197" t="s">
        <v>2646</v>
      </c>
      <c r="U4" s="3198"/>
      <c r="V4" s="3203" t="s">
        <v>2647</v>
      </c>
      <c r="W4" s="3203"/>
      <c r="X4" s="1813"/>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2544</v>
      </c>
      <c r="D6" s="3205"/>
      <c r="E6" s="3211" t="s">
        <v>2544</v>
      </c>
      <c r="F6" s="3212"/>
      <c r="G6" s="3204" t="s">
        <v>2544</v>
      </c>
      <c r="H6" s="3205"/>
      <c r="I6" s="3204" t="s">
        <v>2544</v>
      </c>
      <c r="J6" s="3205"/>
      <c r="K6" s="610" t="s">
        <v>2545</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2546</v>
      </c>
      <c r="B7" s="409"/>
      <c r="C7" s="410">
        <f>'数据-取费表'!B2</f>
        <v>43966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2547</v>
      </c>
      <c r="Q7" s="3210"/>
      <c r="R7" s="770" t="s">
        <v>17</v>
      </c>
      <c r="S7" s="771">
        <f t="shared" ref="S7:S15" si="0">F7</f>
        <v>0</v>
      </c>
      <c r="T7" s="770" t="s">
        <v>17</v>
      </c>
      <c r="U7" s="771">
        <f t="shared" ref="U7:U15" si="1">H7</f>
        <v>0</v>
      </c>
      <c r="V7" s="770" t="s">
        <v>17</v>
      </c>
      <c r="W7" s="771">
        <f t="shared" ref="W7:W15" si="2">J7</f>
        <v>0</v>
      </c>
      <c r="X7" s="772"/>
      <c r="Y7" s="3208" t="s">
        <v>2547</v>
      </c>
      <c r="Z7" s="320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2550</v>
      </c>
      <c r="Q8" s="3209"/>
      <c r="R8" s="770" t="s">
        <v>17</v>
      </c>
      <c r="S8" s="771">
        <f t="shared" si="0"/>
        <v>0</v>
      </c>
      <c r="T8" s="770" t="s">
        <v>17</v>
      </c>
      <c r="U8" s="771">
        <f t="shared" si="1"/>
        <v>0</v>
      </c>
      <c r="V8" s="770" t="s">
        <v>17</v>
      </c>
      <c r="W8" s="771">
        <f t="shared" si="2"/>
        <v>0</v>
      </c>
      <c r="X8" s="772"/>
      <c r="Y8" s="3208" t="s">
        <v>2550</v>
      </c>
      <c r="Z8" s="320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2553</v>
      </c>
      <c r="Q9" s="1795"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2558</v>
      </c>
      <c r="Q15" s="1810" t="str">
        <f t="shared" si="6"/>
        <v>产业集聚程度</v>
      </c>
      <c r="R15" s="774" t="s">
        <v>17</v>
      </c>
      <c r="S15" s="775">
        <f t="shared" si="0"/>
        <v>100</v>
      </c>
      <c r="T15" s="774" t="s">
        <v>17</v>
      </c>
      <c r="U15" s="775">
        <f t="shared" si="1"/>
        <v>100</v>
      </c>
      <c r="V15" s="774" t="s">
        <v>17</v>
      </c>
      <c r="W15" s="775">
        <f t="shared" si="2"/>
        <v>100</v>
      </c>
      <c r="X15" s="1813"/>
      <c r="Y15" s="317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75"/>
      <c r="Q18" s="1810"/>
      <c r="R18" s="774"/>
      <c r="S18" s="775"/>
      <c r="T18" s="774"/>
      <c r="U18" s="775"/>
      <c r="V18" s="774"/>
      <c r="W18" s="775"/>
      <c r="X18" s="1813"/>
      <c r="Y18" s="3175"/>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75"/>
      <c r="Q20" s="1810"/>
      <c r="R20" s="774"/>
      <c r="S20" s="775"/>
      <c r="T20" s="774"/>
      <c r="U20" s="775"/>
      <c r="V20" s="774"/>
      <c r="W20" s="775"/>
      <c r="X20" s="1813"/>
      <c r="Y20" s="3175"/>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75"/>
      <c r="Q22" s="1810"/>
      <c r="R22" s="774"/>
      <c r="S22" s="775"/>
      <c r="T22" s="774"/>
      <c r="U22" s="775"/>
      <c r="V22" s="774"/>
      <c r="W22" s="775"/>
      <c r="X22" s="1813"/>
      <c r="Y22" s="3175"/>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75"/>
      <c r="Q24" s="1810"/>
      <c r="R24" s="774"/>
      <c r="S24" s="775"/>
      <c r="T24" s="774"/>
      <c r="U24" s="775"/>
      <c r="V24" s="774"/>
      <c r="W24" s="775"/>
      <c r="X24" s="1813"/>
      <c r="Y24" s="317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10">
        <f>B25</f>
        <v>111</v>
      </c>
      <c r="R25" s="774" t="s">
        <v>17</v>
      </c>
      <c r="S25" s="775">
        <f>F25</f>
        <v>100</v>
      </c>
      <c r="T25" s="774" t="s">
        <v>17</v>
      </c>
      <c r="U25" s="775">
        <f>H25</f>
        <v>100</v>
      </c>
      <c r="V25" s="774" t="s">
        <v>17</v>
      </c>
      <c r="W25" s="775">
        <f>J25</f>
        <v>100</v>
      </c>
      <c r="X25" s="1813"/>
      <c r="Y25" s="317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10">
        <f t="shared" ref="Q26:Q40" si="11">B26</f>
        <v>111</v>
      </c>
      <c r="R26" s="774" t="s">
        <v>17</v>
      </c>
      <c r="S26" s="775">
        <f>F26</f>
        <v>100</v>
      </c>
      <c r="T26" s="774" t="s">
        <v>17</v>
      </c>
      <c r="U26" s="775">
        <f>H26</f>
        <v>100</v>
      </c>
      <c r="V26" s="774" t="s">
        <v>17</v>
      </c>
      <c r="W26" s="775">
        <f>J26</f>
        <v>100</v>
      </c>
      <c r="X26" s="1813"/>
      <c r="Y26" s="317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5">
        <f t="shared" si="11"/>
        <v>111</v>
      </c>
      <c r="R27" s="770" t="s">
        <v>17</v>
      </c>
      <c r="S27" s="771">
        <f>F27</f>
        <v>100</v>
      </c>
      <c r="T27" s="770" t="s">
        <v>17</v>
      </c>
      <c r="U27" s="771">
        <f>H27</f>
        <v>100</v>
      </c>
      <c r="V27" s="770" t="s">
        <v>17</v>
      </c>
      <c r="W27" s="771">
        <f>J27</f>
        <v>100</v>
      </c>
      <c r="X27" s="772"/>
      <c r="Y27" s="317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10">
        <f t="shared" si="11"/>
        <v>111</v>
      </c>
      <c r="R28" s="774" t="s">
        <v>17</v>
      </c>
      <c r="S28" s="775">
        <f t="shared" ref="S28:S40" si="12">F28</f>
        <v>100</v>
      </c>
      <c r="T28" s="774" t="s">
        <v>17</v>
      </c>
      <c r="U28" s="775">
        <f t="shared" ref="U28:U40" si="13">H28</f>
        <v>100</v>
      </c>
      <c r="V28" s="774" t="s">
        <v>17</v>
      </c>
      <c r="W28" s="775">
        <f t="shared" ref="W28:W40" si="14">J28</f>
        <v>100</v>
      </c>
      <c r="X28" s="1813"/>
      <c r="Y28" s="3175"/>
      <c r="Z28" s="1814">
        <f t="shared" ref="Z28:Z40" si="15">Q28</f>
        <v>111</v>
      </c>
      <c r="AA28" s="1811">
        <f t="shared" si="3"/>
        <v>1</v>
      </c>
      <c r="AB28" s="1811">
        <f t="shared" si="4"/>
        <v>1</v>
      </c>
      <c r="AC28" s="1811">
        <f t="shared" si="5"/>
        <v>1</v>
      </c>
    </row>
    <row r="29" spans="1:29" ht="29.2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0" t="s">
        <v>2563</v>
      </c>
      <c r="Q29" s="1810" t="str">
        <f t="shared" si="11"/>
        <v>建筑类型</v>
      </c>
      <c r="R29" s="774" t="s">
        <v>17</v>
      </c>
      <c r="S29" s="775">
        <f t="shared" si="12"/>
        <v>100</v>
      </c>
      <c r="T29" s="774" t="s">
        <v>17</v>
      </c>
      <c r="U29" s="775">
        <f t="shared" si="13"/>
        <v>100</v>
      </c>
      <c r="V29" s="774" t="s">
        <v>17</v>
      </c>
      <c r="W29" s="775">
        <f t="shared" si="14"/>
        <v>100</v>
      </c>
      <c r="X29" s="1813"/>
      <c r="Y29" s="3179"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2563</v>
      </c>
      <c r="Q35" s="1810" t="str">
        <f t="shared" si="11"/>
        <v>市政基础设施</v>
      </c>
      <c r="R35" s="774" t="s">
        <v>17</v>
      </c>
      <c r="S35" s="775">
        <f t="shared" si="12"/>
        <v>100</v>
      </c>
      <c r="T35" s="774" t="s">
        <v>17</v>
      </c>
      <c r="U35" s="775">
        <f t="shared" si="13"/>
        <v>100</v>
      </c>
      <c r="V35" s="774" t="s">
        <v>17</v>
      </c>
      <c r="W35" s="775">
        <f t="shared" si="14"/>
        <v>100</v>
      </c>
      <c r="X35" s="1813"/>
      <c r="Y35" s="3179"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0"/>
      <c r="Q40" s="1810">
        <f t="shared" si="11"/>
        <v>111</v>
      </c>
      <c r="R40" s="774" t="s">
        <v>17</v>
      </c>
      <c r="S40" s="775">
        <f t="shared" si="12"/>
        <v>100</v>
      </c>
      <c r="T40" s="774" t="s">
        <v>17</v>
      </c>
      <c r="U40" s="775">
        <f t="shared" si="13"/>
        <v>100</v>
      </c>
      <c r="V40" s="774" t="s">
        <v>17</v>
      </c>
      <c r="W40" s="775">
        <f t="shared" si="14"/>
        <v>100</v>
      </c>
      <c r="X40" s="1813"/>
      <c r="Y40" s="3180"/>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72" t="str">
        <f>A41</f>
        <v>成交单价（元/平方米）</v>
      </c>
      <c r="Q41" s="3172"/>
      <c r="R41" s="3173">
        <f>E41</f>
        <v>0</v>
      </c>
      <c r="S41" s="3173"/>
      <c r="T41" s="3173">
        <f>G41</f>
        <v>0</v>
      </c>
      <c r="U41" s="3173"/>
      <c r="V41" s="3173">
        <f>I41</f>
        <v>0</v>
      </c>
      <c r="W41" s="3173"/>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69" t="str">
        <f>A43</f>
        <v>估价对象XX用房的比较价值（楼面单价，元/平方米）</v>
      </c>
      <c r="Q43" s="3170"/>
      <c r="R43" s="3171" t="e">
        <f>IF(F1="售价",ROUND(AVERAGE(R42:V42),0),ROUND(AVERAGE(R42:V42),1))</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受贵公司委托，我公司对山西省长治市高新区北二环路与太行北路交叉口东南角出让国有建设用地使用权及在建建筑物房地产抵押价值进行了预评估。</v>
      </c>
    </row>
    <row r="5" spans="1:1" ht="18.75">
      <c r="A5" s="1948" t="s">
        <v>1606</v>
      </c>
    </row>
    <row r="6" spans="1:1" ht="18.75">
      <c r="A6" s="1949" t="s">
        <v>1607</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西省长治市高新区北二环路与太行北路交叉口东南角出让国有建设用地使用权及在建建筑物房地产，为所有。根据《国有土地使用证》[]，估价对象（分摊）出让国有建设用地使用权面积为15680.97平方米，建筑面积为36467.32平方米。</v>
      </c>
    </row>
    <row r="8" spans="1:1" ht="57.75">
      <c r="A8" s="1950" t="s">
        <v>1608</v>
      </c>
    </row>
    <row r="9" spans="1:1" ht="18.75">
      <c r="A9" s="1949" t="s">
        <v>1609</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西省长治市高新区北二环路与太行北路交叉口东南角出让国有建设用地使用权及在建建筑物房地产,属开发建设的，该项目尚在开发建设中。根据《国有土地使用证》[]，估价对象（分摊）出让国有建设用地使用权面积为15680.97平方米，规划建筑面积为36467.32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2020年5月15日</v>
      </c>
    </row>
    <row r="16" spans="1:1" ht="18.75">
      <c r="A16" s="1952" t="s">
        <v>1613</v>
      </c>
    </row>
    <row r="17" spans="1:1" ht="75">
      <c r="A17" s="1947" t="s">
        <v>1614</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7" t="s">
        <v>2644</v>
      </c>
      <c r="D4" s="3188"/>
      <c r="E4" s="3189" t="s">
        <v>2645</v>
      </c>
      <c r="F4" s="3190"/>
      <c r="G4" s="3187" t="s">
        <v>2646</v>
      </c>
      <c r="H4" s="3188"/>
      <c r="I4" s="3187" t="s">
        <v>2647</v>
      </c>
      <c r="J4" s="3188"/>
      <c r="K4" s="610" t="s">
        <v>2648</v>
      </c>
      <c r="L4" s="1130"/>
      <c r="M4" s="1131"/>
      <c r="N4" s="1131"/>
      <c r="O4" s="1131"/>
      <c r="P4" s="3191" t="s">
        <v>2649</v>
      </c>
      <c r="Q4" s="3192"/>
      <c r="R4" s="3197" t="s">
        <v>2645</v>
      </c>
      <c r="S4" s="3198"/>
      <c r="T4" s="3197" t="s">
        <v>2646</v>
      </c>
      <c r="U4" s="3198"/>
      <c r="V4" s="3203" t="s">
        <v>2647</v>
      </c>
      <c r="W4" s="3203"/>
      <c r="X4" s="1813"/>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2544</v>
      </c>
      <c r="D6" s="3205"/>
      <c r="E6" s="3211" t="s">
        <v>2544</v>
      </c>
      <c r="F6" s="3212"/>
      <c r="G6" s="3204" t="s">
        <v>2544</v>
      </c>
      <c r="H6" s="3205"/>
      <c r="I6" s="3204" t="s">
        <v>2544</v>
      </c>
      <c r="J6" s="3205"/>
      <c r="K6" s="610" t="s">
        <v>2545</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2546</v>
      </c>
      <c r="B7" s="409"/>
      <c r="C7" s="410">
        <f>'数据-取费表'!B2</f>
        <v>43966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2547</v>
      </c>
      <c r="Q7" s="3210"/>
      <c r="R7" s="770" t="s">
        <v>17</v>
      </c>
      <c r="S7" s="771">
        <f t="shared" ref="S7:S14" si="0">F7</f>
        <v>0</v>
      </c>
      <c r="T7" s="770" t="s">
        <v>17</v>
      </c>
      <c r="U7" s="771">
        <f t="shared" ref="U7:U14" si="1">H7</f>
        <v>0</v>
      </c>
      <c r="V7" s="770" t="s">
        <v>17</v>
      </c>
      <c r="W7" s="771">
        <f t="shared" ref="W7:W14" si="2">J7</f>
        <v>0</v>
      </c>
      <c r="X7" s="772"/>
      <c r="Y7" s="3208" t="s">
        <v>2547</v>
      </c>
      <c r="Z7" s="320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2550</v>
      </c>
      <c r="Q8" s="3209"/>
      <c r="R8" s="770" t="s">
        <v>17</v>
      </c>
      <c r="S8" s="771">
        <f t="shared" si="0"/>
        <v>0</v>
      </c>
      <c r="T8" s="770" t="s">
        <v>17</v>
      </c>
      <c r="U8" s="771">
        <f t="shared" si="1"/>
        <v>0</v>
      </c>
      <c r="V8" s="770" t="s">
        <v>17</v>
      </c>
      <c r="W8" s="771">
        <f t="shared" si="2"/>
        <v>0</v>
      </c>
      <c r="X8" s="772"/>
      <c r="Y8" s="3208" t="s">
        <v>2550</v>
      </c>
      <c r="Z8" s="320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2553</v>
      </c>
      <c r="Q9" s="1795" t="str">
        <f t="shared" ref="Q9:Q14" si="6">B9</f>
        <v>用途</v>
      </c>
      <c r="R9" s="770" t="s">
        <v>17</v>
      </c>
      <c r="S9" s="771">
        <f t="shared" si="0"/>
        <v>100</v>
      </c>
      <c r="T9" s="770" t="s">
        <v>17</v>
      </c>
      <c r="U9" s="771">
        <f t="shared" si="1"/>
        <v>100</v>
      </c>
      <c r="V9" s="770" t="s">
        <v>17</v>
      </c>
      <c r="W9" s="771">
        <f t="shared" si="2"/>
        <v>100</v>
      </c>
      <c r="X9" s="772"/>
      <c r="Y9" s="299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2558</v>
      </c>
      <c r="Q14" s="1810" t="str">
        <f t="shared" si="6"/>
        <v>交通便捷度</v>
      </c>
      <c r="R14" s="774" t="s">
        <v>17</v>
      </c>
      <c r="S14" s="775">
        <f t="shared" si="0"/>
        <v>100</v>
      </c>
      <c r="T14" s="774" t="s">
        <v>17</v>
      </c>
      <c r="U14" s="775">
        <f t="shared" si="1"/>
        <v>100</v>
      </c>
      <c r="V14" s="774" t="s">
        <v>17</v>
      </c>
      <c r="W14" s="775">
        <f t="shared" si="2"/>
        <v>100</v>
      </c>
      <c r="X14" s="1813"/>
      <c r="Y14" s="317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5"/>
      <c r="Q15" s="1810"/>
      <c r="R15" s="774"/>
      <c r="S15" s="775"/>
      <c r="T15" s="774"/>
      <c r="U15" s="775"/>
      <c r="V15" s="774"/>
      <c r="W15" s="775"/>
      <c r="X15" s="1813"/>
      <c r="Y15" s="3175"/>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75"/>
      <c r="Q17" s="1810"/>
      <c r="R17" s="774"/>
      <c r="S17" s="775"/>
      <c r="T17" s="774"/>
      <c r="U17" s="775"/>
      <c r="V17" s="774"/>
      <c r="W17" s="775"/>
      <c r="X17" s="1813"/>
      <c r="Y17" s="3175"/>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75"/>
      <c r="Q19" s="1810"/>
      <c r="R19" s="774"/>
      <c r="S19" s="775"/>
      <c r="T19" s="774"/>
      <c r="U19" s="775"/>
      <c r="V19" s="774"/>
      <c r="W19" s="775"/>
      <c r="X19" s="1813"/>
      <c r="Y19" s="3175"/>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5"/>
      <c r="Q21" s="1810"/>
      <c r="R21" s="774"/>
      <c r="S21" s="775"/>
      <c r="T21" s="774"/>
      <c r="U21" s="775"/>
      <c r="V21" s="774"/>
      <c r="W21" s="775"/>
      <c r="X21" s="1813"/>
      <c r="Y21" s="317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10">
        <f t="shared" ref="Q24:Q36"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9.2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2563</v>
      </c>
      <c r="Q32" s="1810" t="str">
        <f t="shared" si="11"/>
        <v>车位类型</v>
      </c>
      <c r="R32" s="774" t="s">
        <v>17</v>
      </c>
      <c r="S32" s="775">
        <f t="shared" si="12"/>
        <v>100</v>
      </c>
      <c r="T32" s="774" t="s">
        <v>17</v>
      </c>
      <c r="U32" s="775">
        <f t="shared" si="13"/>
        <v>100</v>
      </c>
      <c r="V32" s="774" t="s">
        <v>17</v>
      </c>
      <c r="W32" s="775">
        <f t="shared" si="14"/>
        <v>100</v>
      </c>
      <c r="X32" s="1813"/>
      <c r="Y32" s="3179"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72" t="str">
        <f>A37</f>
        <v>成交单价</v>
      </c>
      <c r="Q37" s="3172"/>
      <c r="R37" s="3173">
        <f>E37</f>
        <v>0</v>
      </c>
      <c r="S37" s="3173"/>
      <c r="T37" s="3173">
        <f>G37</f>
        <v>0</v>
      </c>
      <c r="U37" s="3173"/>
      <c r="V37" s="3173">
        <f>I37</f>
        <v>0</v>
      </c>
      <c r="W37" s="3173"/>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69" t="str">
        <f>A39</f>
        <v>估价对象XX用房的比较价值（楼面单价，元/平方米）</v>
      </c>
      <c r="Q39" s="3170"/>
      <c r="R39" s="3171" t="e">
        <f>IF(F1="售价",ROUND(AVERAGE(R38:V38),0),ROUND(AVERAGE(R38:V38),1))</f>
        <v>#DIV/0!</v>
      </c>
      <c r="S39" s="3171"/>
      <c r="T39" s="3171"/>
      <c r="U39" s="3171"/>
      <c r="V39" s="3171"/>
      <c r="W39" s="31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7" t="s">
        <v>2644</v>
      </c>
      <c r="D4" s="3188"/>
      <c r="E4" s="3189" t="s">
        <v>2645</v>
      </c>
      <c r="F4" s="3190"/>
      <c r="G4" s="3187" t="s">
        <v>2646</v>
      </c>
      <c r="H4" s="3188"/>
      <c r="I4" s="3187" t="s">
        <v>2647</v>
      </c>
      <c r="J4" s="3188"/>
      <c r="K4" s="610" t="s">
        <v>2648</v>
      </c>
      <c r="L4" s="1130"/>
      <c r="M4" s="1131"/>
      <c r="N4" s="1131"/>
      <c r="O4" s="1131"/>
      <c r="P4" s="3191" t="s">
        <v>2649</v>
      </c>
      <c r="Q4" s="3192"/>
      <c r="R4" s="3197" t="s">
        <v>2645</v>
      </c>
      <c r="S4" s="3198"/>
      <c r="T4" s="3197" t="s">
        <v>2646</v>
      </c>
      <c r="U4" s="3198"/>
      <c r="V4" s="3203" t="s">
        <v>2647</v>
      </c>
      <c r="W4" s="3203"/>
      <c r="X4" s="1813"/>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04" t="s">
        <v>2544</v>
      </c>
      <c r="D6" s="3205"/>
      <c r="E6" s="3211" t="s">
        <v>2544</v>
      </c>
      <c r="F6" s="3212"/>
      <c r="G6" s="3204" t="s">
        <v>2544</v>
      </c>
      <c r="H6" s="3205"/>
      <c r="I6" s="3204" t="s">
        <v>2544</v>
      </c>
      <c r="J6" s="3205"/>
      <c r="K6" s="610" t="s">
        <v>2545</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2546</v>
      </c>
      <c r="B7" s="409"/>
      <c r="C7" s="410">
        <f>'数据-取费表'!B2</f>
        <v>43966</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8" t="s">
        <v>2547</v>
      </c>
      <c r="Q7" s="3210"/>
      <c r="R7" s="770" t="s">
        <v>17</v>
      </c>
      <c r="S7" s="771">
        <f t="shared" ref="S7:S14" si="0">F7</f>
        <v>0</v>
      </c>
      <c r="T7" s="770" t="s">
        <v>17</v>
      </c>
      <c r="U7" s="771">
        <f t="shared" ref="U7:U14" si="1">H7</f>
        <v>0</v>
      </c>
      <c r="V7" s="770" t="s">
        <v>17</v>
      </c>
      <c r="W7" s="771">
        <f t="shared" ref="W7:W14" si="2">J7</f>
        <v>0</v>
      </c>
      <c r="X7" s="772"/>
      <c r="Y7" s="3208" t="s">
        <v>2547</v>
      </c>
      <c r="Z7" s="320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2550</v>
      </c>
      <c r="Q8" s="3209"/>
      <c r="R8" s="770" t="s">
        <v>17</v>
      </c>
      <c r="S8" s="771">
        <f t="shared" si="0"/>
        <v>0</v>
      </c>
      <c r="T8" s="770" t="s">
        <v>17</v>
      </c>
      <c r="U8" s="771">
        <f t="shared" si="1"/>
        <v>0</v>
      </c>
      <c r="V8" s="770" t="s">
        <v>17</v>
      </c>
      <c r="W8" s="771">
        <f t="shared" si="2"/>
        <v>0</v>
      </c>
      <c r="X8" s="772"/>
      <c r="Y8" s="3208" t="s">
        <v>2550</v>
      </c>
      <c r="Z8" s="320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2553</v>
      </c>
      <c r="Q9" s="1795" t="str">
        <f t="shared" ref="Q9:Q14" si="6">B9</f>
        <v>用途</v>
      </c>
      <c r="R9" s="770" t="s">
        <v>17</v>
      </c>
      <c r="S9" s="771">
        <f t="shared" si="0"/>
        <v>100</v>
      </c>
      <c r="T9" s="770" t="s">
        <v>17</v>
      </c>
      <c r="U9" s="771">
        <f t="shared" si="1"/>
        <v>100</v>
      </c>
      <c r="V9" s="770" t="s">
        <v>17</v>
      </c>
      <c r="W9" s="771">
        <f t="shared" si="2"/>
        <v>100</v>
      </c>
      <c r="X9" s="772"/>
      <c r="Y9" s="299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5">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2558</v>
      </c>
      <c r="Q14" s="1810" t="str">
        <f t="shared" si="6"/>
        <v>交通便捷度</v>
      </c>
      <c r="R14" s="774" t="s">
        <v>17</v>
      </c>
      <c r="S14" s="775">
        <f t="shared" si="0"/>
        <v>100</v>
      </c>
      <c r="T14" s="774" t="s">
        <v>17</v>
      </c>
      <c r="U14" s="775">
        <f t="shared" si="1"/>
        <v>100</v>
      </c>
      <c r="V14" s="774" t="s">
        <v>17</v>
      </c>
      <c r="W14" s="775">
        <f t="shared" si="2"/>
        <v>100</v>
      </c>
      <c r="X14" s="1813"/>
      <c r="Y14" s="317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5"/>
      <c r="Q15" s="1810"/>
      <c r="R15" s="774"/>
      <c r="S15" s="775"/>
      <c r="T15" s="774"/>
      <c r="U15" s="775"/>
      <c r="V15" s="774"/>
      <c r="W15" s="775"/>
      <c r="X15" s="1813"/>
      <c r="Y15" s="3175"/>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75"/>
      <c r="Q17" s="1810"/>
      <c r="R17" s="774"/>
      <c r="S17" s="775"/>
      <c r="T17" s="774"/>
      <c r="U17" s="775"/>
      <c r="V17" s="774"/>
      <c r="W17" s="775"/>
      <c r="X17" s="1813"/>
      <c r="Y17" s="3175"/>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75"/>
      <c r="Q19" s="1810"/>
      <c r="R19" s="774"/>
      <c r="S19" s="775"/>
      <c r="T19" s="774"/>
      <c r="U19" s="775"/>
      <c r="V19" s="774"/>
      <c r="W19" s="775"/>
      <c r="X19" s="1813"/>
      <c r="Y19" s="3175"/>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5"/>
      <c r="Q21" s="1810"/>
      <c r="R21" s="774"/>
      <c r="S21" s="775"/>
      <c r="T21" s="774"/>
      <c r="U21" s="775"/>
      <c r="V21" s="774"/>
      <c r="W21" s="775"/>
      <c r="X21" s="1813"/>
      <c r="Y21" s="317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10">
        <f t="shared" ref="Q24:Q34"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9.2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0"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2563</v>
      </c>
      <c r="Q32" s="1810">
        <f t="shared" si="11"/>
        <v>111</v>
      </c>
      <c r="R32" s="774" t="s">
        <v>17</v>
      </c>
      <c r="S32" s="775">
        <f t="shared" si="12"/>
        <v>100</v>
      </c>
      <c r="T32" s="774" t="s">
        <v>17</v>
      </c>
      <c r="U32" s="775">
        <f t="shared" si="13"/>
        <v>100</v>
      </c>
      <c r="V32" s="774" t="s">
        <v>17</v>
      </c>
      <c r="W32" s="775">
        <f t="shared" si="14"/>
        <v>100</v>
      </c>
      <c r="X32" s="1813"/>
      <c r="Y32" s="3179"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72" t="str">
        <f>A35</f>
        <v>成交单价（元/平方米）</v>
      </c>
      <c r="Q35" s="3172"/>
      <c r="R35" s="3173">
        <f>E35</f>
        <v>0</v>
      </c>
      <c r="S35" s="3173"/>
      <c r="T35" s="3173">
        <f>G35</f>
        <v>0</v>
      </c>
      <c r="U35" s="3173"/>
      <c r="V35" s="3173">
        <f>I35</f>
        <v>0</v>
      </c>
      <c r="W35" s="3173"/>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69" t="str">
        <f>A37</f>
        <v>估价对象XX用房的比较价值（楼面单价，元/平方米）</v>
      </c>
      <c r="Q37" s="3170"/>
      <c r="R37" s="3171" t="e">
        <f>IF(F1="售价",ROUND(AVERAGE(R36:V36),0),ROUND(AVERAGE(R36:V36),1))</f>
        <v>#DIV/0!</v>
      </c>
      <c r="S37" s="3171"/>
      <c r="T37" s="3171"/>
      <c r="U37" s="3171"/>
      <c r="V37" s="3171"/>
      <c r="W37" s="31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G49" sqref="G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3590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984</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7" t="s">
        <v>2644</v>
      </c>
      <c r="D4" s="3188"/>
      <c r="E4" s="3189" t="s">
        <v>2645</v>
      </c>
      <c r="F4" s="3190"/>
      <c r="G4" s="3187" t="s">
        <v>2646</v>
      </c>
      <c r="H4" s="3188"/>
      <c r="I4" s="3187" t="s">
        <v>2647</v>
      </c>
      <c r="J4" s="3188"/>
      <c r="K4" s="610" t="s">
        <v>2648</v>
      </c>
      <c r="L4" s="1130"/>
      <c r="M4" s="1131"/>
      <c r="N4" s="1131"/>
      <c r="O4" s="1131"/>
      <c r="P4" s="3191" t="s">
        <v>2649</v>
      </c>
      <c r="Q4" s="3192"/>
      <c r="R4" s="3197" t="s">
        <v>2645</v>
      </c>
      <c r="S4" s="3198"/>
      <c r="T4" s="3197" t="s">
        <v>2646</v>
      </c>
      <c r="U4" s="3198"/>
      <c r="V4" s="3203" t="s">
        <v>2647</v>
      </c>
      <c r="W4" s="3203"/>
      <c r="X4" s="1813"/>
      <c r="Y4" s="3197" t="s">
        <v>2649</v>
      </c>
      <c r="Z4" s="3198"/>
      <c r="AA4" s="3184" t="s">
        <v>2645</v>
      </c>
      <c r="AB4" s="3185" t="s">
        <v>2646</v>
      </c>
      <c r="AC4" s="3184" t="s">
        <v>2647</v>
      </c>
    </row>
    <row r="5" spans="1:30" ht="15">
      <c r="A5" s="404"/>
      <c r="B5" s="405"/>
      <c r="C5" s="3206" t="s">
        <v>2540</v>
      </c>
      <c r="D5" s="3207"/>
      <c r="E5" s="3213" t="s">
        <v>2541</v>
      </c>
      <c r="F5" s="3214"/>
      <c r="G5" s="3206" t="s">
        <v>2542</v>
      </c>
      <c r="H5" s="3207"/>
      <c r="I5" s="3206" t="s">
        <v>2543</v>
      </c>
      <c r="J5" s="3207"/>
      <c r="K5" s="610"/>
      <c r="L5" s="1130"/>
      <c r="M5" s="1131"/>
      <c r="N5" s="1131"/>
      <c r="O5" s="1131"/>
      <c r="P5" s="3193"/>
      <c r="Q5" s="3194"/>
      <c r="R5" s="3199"/>
      <c r="S5" s="3200"/>
      <c r="T5" s="3199"/>
      <c r="U5" s="3200"/>
      <c r="V5" s="3203"/>
      <c r="W5" s="3203"/>
      <c r="X5" s="1813"/>
      <c r="Y5" s="3199"/>
      <c r="Z5" s="3200"/>
      <c r="AA5" s="3185"/>
      <c r="AB5" s="3185"/>
      <c r="AC5" s="3185"/>
    </row>
    <row r="6" spans="1:30" ht="15.75" thickBot="1">
      <c r="A6" s="406"/>
      <c r="B6" s="407"/>
      <c r="C6" s="3204" t="s">
        <v>2544</v>
      </c>
      <c r="D6" s="3205"/>
      <c r="E6" s="3211" t="str">
        <f>中指案例!A8</f>
        <v>长治市潞州区大辛庄镇小神村</v>
      </c>
      <c r="F6" s="3212"/>
      <c r="G6" s="3204" t="str">
        <f>中指案例!A14</f>
        <v>长治市太行西街</v>
      </c>
      <c r="H6" s="3205"/>
      <c r="I6" s="3204" t="str">
        <f>中指案例!A16</f>
        <v>物流园区星淮海彩灯艺术有限公司东,长治市海珠商贸有限公司西北</v>
      </c>
      <c r="J6" s="3205"/>
      <c r="K6" s="610" t="s">
        <v>2545</v>
      </c>
      <c r="L6" s="1130"/>
      <c r="M6" s="1131"/>
      <c r="N6" s="1131"/>
      <c r="O6" s="1131"/>
      <c r="P6" s="3195"/>
      <c r="Q6" s="3196"/>
      <c r="R6" s="3199"/>
      <c r="S6" s="3200"/>
      <c r="T6" s="3201"/>
      <c r="U6" s="3202"/>
      <c r="V6" s="3203"/>
      <c r="W6" s="3203"/>
      <c r="X6" s="1813"/>
      <c r="Y6" s="3201"/>
      <c r="Z6" s="3202"/>
      <c r="AA6" s="3186"/>
      <c r="AB6" s="3186"/>
      <c r="AC6" s="3186"/>
    </row>
    <row r="7" spans="1:30" s="117" customFormat="1" ht="15.75" thickBot="1">
      <c r="A7" s="408" t="s">
        <v>2546</v>
      </c>
      <c r="B7" s="409"/>
      <c r="C7" s="410">
        <f>'数据-取费表'!B2</f>
        <v>43966</v>
      </c>
      <c r="D7" s="411">
        <v>100</v>
      </c>
      <c r="E7" s="412" t="str">
        <f>中指案例!H8</f>
        <v>2019-11-25</v>
      </c>
      <c r="F7" s="413">
        <f>SUMIF(70:70,YEAR(E7)&amp;"-"&amp;INT((MONTH(E7)+2)/3),71:71)</f>
        <v>100</v>
      </c>
      <c r="G7" s="2696" t="str">
        <f>中指案例!H14</f>
        <v>2019-09-23</v>
      </c>
      <c r="H7" s="411">
        <f>SUMIF(70:70,YEAR(G7)&amp;"-"&amp;INT((MONTH(G7)+2)/3),71:71)</f>
        <v>100</v>
      </c>
      <c r="I7" s="2696" t="str">
        <f>中指案例!H16</f>
        <v>2019-09-05</v>
      </c>
      <c r="J7" s="411">
        <f>SUMIF(70:70,YEAR(I7)&amp;"-"&amp;INT((MONTH(I7)+2)/3),71:71)</f>
        <v>100</v>
      </c>
      <c r="K7" s="611"/>
      <c r="L7" s="1132"/>
      <c r="M7" s="1133"/>
      <c r="N7" s="1133"/>
      <c r="O7" s="1133"/>
      <c r="P7" s="3208" t="s">
        <v>2547</v>
      </c>
      <c r="Q7" s="3210"/>
      <c r="R7" s="770" t="s">
        <v>17</v>
      </c>
      <c r="S7" s="771">
        <f t="shared" ref="S7:S15" si="0">F7</f>
        <v>100</v>
      </c>
      <c r="T7" s="770" t="s">
        <v>17</v>
      </c>
      <c r="U7" s="771">
        <f t="shared" ref="U7:U15" si="1">H7</f>
        <v>100</v>
      </c>
      <c r="V7" s="770" t="s">
        <v>17</v>
      </c>
      <c r="W7" s="771">
        <f t="shared" ref="W7:W15" si="2">J7</f>
        <v>100</v>
      </c>
      <c r="X7" s="772"/>
      <c r="Y7" s="3208" t="s">
        <v>2547</v>
      </c>
      <c r="Z7" s="3209"/>
      <c r="AA7" s="773">
        <f>D7/F7</f>
        <v>1</v>
      </c>
      <c r="AB7" s="773">
        <f>D7/H7</f>
        <v>1</v>
      </c>
      <c r="AC7" s="773">
        <f>D7/J7</f>
        <v>1</v>
      </c>
    </row>
    <row r="8" spans="1:30" s="117" customFormat="1" ht="15.75" thickBot="1">
      <c r="A8" s="408" t="s">
        <v>2548</v>
      </c>
      <c r="B8" s="409"/>
      <c r="C8" s="414" t="s">
        <v>2549</v>
      </c>
      <c r="D8" s="411">
        <v>100</v>
      </c>
      <c r="E8" s="414" t="s">
        <v>3311</v>
      </c>
      <c r="F8" s="413">
        <f>SUMIF(73:73,E8,74:74)-SUMIF(73:73,C8,74:74)+100</f>
        <v>100</v>
      </c>
      <c r="G8" s="414" t="s">
        <v>3311</v>
      </c>
      <c r="H8" s="411">
        <f>SUMIF(73:73,G8,74:74)-SUMIF(73:73,C8,74:74)+100</f>
        <v>100</v>
      </c>
      <c r="I8" s="414" t="s">
        <v>3311</v>
      </c>
      <c r="J8" s="411">
        <f>SUMIF(73:73,I8,74:74)-SUMIF(73:73,C8,74:74)+100</f>
        <v>100</v>
      </c>
      <c r="K8" s="611"/>
      <c r="L8" s="1132"/>
      <c r="M8" s="1133"/>
      <c r="N8" s="1133"/>
      <c r="O8" s="1133"/>
      <c r="P8" s="3208" t="s">
        <v>2550</v>
      </c>
      <c r="Q8" s="3209"/>
      <c r="R8" s="770" t="s">
        <v>17</v>
      </c>
      <c r="S8" s="771">
        <f t="shared" si="0"/>
        <v>100</v>
      </c>
      <c r="T8" s="770" t="s">
        <v>17</v>
      </c>
      <c r="U8" s="771">
        <f t="shared" si="1"/>
        <v>100</v>
      </c>
      <c r="V8" s="770" t="s">
        <v>17</v>
      </c>
      <c r="W8" s="771">
        <f t="shared" si="2"/>
        <v>100</v>
      </c>
      <c r="X8" s="772"/>
      <c r="Y8" s="3208" t="s">
        <v>2550</v>
      </c>
      <c r="Z8" s="3209"/>
      <c r="AA8" s="773">
        <f t="shared" ref="AA8:AA45" si="3">D8/F8</f>
        <v>1</v>
      </c>
      <c r="AB8" s="773">
        <f t="shared" ref="AB8:AB45" si="4">D8/H8</f>
        <v>1</v>
      </c>
      <c r="AC8" s="773">
        <f t="shared" ref="AC8:AC45" si="5">D8/J8</f>
        <v>1</v>
      </c>
    </row>
    <row r="9" spans="1:30" s="117" customFormat="1">
      <c r="A9" s="415" t="s">
        <v>2551</v>
      </c>
      <c r="B9" s="71" t="s">
        <v>2552</v>
      </c>
      <c r="C9" s="2699" t="s">
        <v>3312</v>
      </c>
      <c r="D9" s="135">
        <v>100</v>
      </c>
      <c r="E9" s="2699" t="s">
        <v>3314</v>
      </c>
      <c r="F9" s="135">
        <f>SUMIF(75:75,E9,76:76)-SUMIF(75:75,C9,76:76)+100</f>
        <v>102</v>
      </c>
      <c r="G9" s="2699" t="s">
        <v>3314</v>
      </c>
      <c r="H9" s="135">
        <f>SUMIF(75:75,G9,76:76)-SUMIF(75:75,C9,76:76)+100</f>
        <v>102</v>
      </c>
      <c r="I9" s="2699" t="s">
        <v>3314</v>
      </c>
      <c r="J9" s="135">
        <f>SUMIF(75:75,I9,76:76)-SUMIF(75:75,C9,76:76)+100</f>
        <v>102</v>
      </c>
      <c r="K9" s="611"/>
      <c r="L9" s="1132"/>
      <c r="M9" s="1133"/>
      <c r="N9" s="1133"/>
      <c r="O9" s="1134"/>
      <c r="P9" s="3172" t="s">
        <v>2553</v>
      </c>
      <c r="Q9" s="1795" t="str">
        <f t="shared" ref="Q9:Q15" si="6">B9</f>
        <v>用途</v>
      </c>
      <c r="R9" s="770" t="s">
        <v>17</v>
      </c>
      <c r="S9" s="771">
        <f t="shared" si="0"/>
        <v>102</v>
      </c>
      <c r="T9" s="770" t="s">
        <v>17</v>
      </c>
      <c r="U9" s="771">
        <f t="shared" si="1"/>
        <v>102</v>
      </c>
      <c r="V9" s="770" t="s">
        <v>17</v>
      </c>
      <c r="W9" s="771">
        <f t="shared" si="2"/>
        <v>102</v>
      </c>
      <c r="X9" s="772"/>
      <c r="Y9" s="2997" t="s">
        <v>2554</v>
      </c>
      <c r="Z9" s="55" t="str">
        <f t="shared" ref="Z9:Z15" si="7">Q9</f>
        <v>用途</v>
      </c>
      <c r="AA9" s="773">
        <f t="shared" si="3"/>
        <v>0.98039215686274506</v>
      </c>
      <c r="AB9" s="773">
        <f t="shared" si="4"/>
        <v>0.98039215686274506</v>
      </c>
      <c r="AC9" s="773">
        <f t="shared" si="5"/>
        <v>0.98039215686274506</v>
      </c>
    </row>
    <row r="10" spans="1:30" s="427" customFormat="1" ht="27">
      <c r="A10" s="421"/>
      <c r="B10" s="422" t="s">
        <v>2555</v>
      </c>
      <c r="C10" s="432">
        <f>项目基本情况!F15</f>
        <v>42.4</v>
      </c>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172"/>
      <c r="Q10" s="1795" t="str">
        <f t="shared" si="6"/>
        <v>土地使用年限（年）</v>
      </c>
      <c r="R10" s="770" t="s">
        <v>17</v>
      </c>
      <c r="S10" s="771">
        <f t="shared" si="0"/>
        <v>107</v>
      </c>
      <c r="T10" s="770" t="s">
        <v>17</v>
      </c>
      <c r="U10" s="771">
        <f t="shared" si="1"/>
        <v>107</v>
      </c>
      <c r="V10" s="770" t="s">
        <v>17</v>
      </c>
      <c r="W10" s="771">
        <f t="shared" si="2"/>
        <v>107</v>
      </c>
      <c r="X10" s="772"/>
      <c r="Y10" s="2997"/>
      <c r="Z10" s="55" t="str">
        <f t="shared" si="7"/>
        <v>土地使用年限（年）</v>
      </c>
      <c r="AA10" s="773">
        <f t="shared" si="3"/>
        <v>0.93457943925233644</v>
      </c>
      <c r="AB10" s="773">
        <f t="shared" si="4"/>
        <v>0.93457943925233644</v>
      </c>
      <c r="AC10" s="773">
        <f t="shared" si="5"/>
        <v>0.93457943925233644</v>
      </c>
    </row>
    <row r="11" spans="1:30" ht="15">
      <c r="A11" s="428"/>
      <c r="B11" s="422" t="s">
        <v>2556</v>
      </c>
      <c r="C11" s="429">
        <f>'数据-汇总表'!I6</f>
        <v>2.1</v>
      </c>
      <c r="D11" s="136">
        <v>100</v>
      </c>
      <c r="E11" s="429">
        <v>2.9</v>
      </c>
      <c r="F11" s="136">
        <f>LOOKUP(E11,80:80,81:81)-LOOKUP(C11,80:80,81:81)+100</f>
        <v>100</v>
      </c>
      <c r="G11" s="430">
        <v>2</v>
      </c>
      <c r="H11" s="136">
        <f>LOOKUP(G11,80:80,81:81)-LOOKUP(C11,80:80,81:81)+100</f>
        <v>100</v>
      </c>
      <c r="I11" s="429">
        <v>0.8</v>
      </c>
      <c r="J11" s="136">
        <f>LOOKUP(I11,80:80,81:81)-LOOKUP(C11,80:80,81:81)+100</f>
        <v>100</v>
      </c>
      <c r="K11" s="673">
        <v>1</v>
      </c>
      <c r="L11" s="1138"/>
      <c r="M11" s="1131"/>
      <c r="N11" s="1131"/>
      <c r="O11" s="1139"/>
      <c r="P11" s="3172"/>
      <c r="Q11" s="1795" t="str">
        <f t="shared" si="6"/>
        <v>容积率</v>
      </c>
      <c r="R11" s="770" t="s">
        <v>17</v>
      </c>
      <c r="S11" s="771">
        <f t="shared" si="0"/>
        <v>100</v>
      </c>
      <c r="T11" s="770" t="s">
        <v>17</v>
      </c>
      <c r="U11" s="771">
        <f t="shared" si="1"/>
        <v>100</v>
      </c>
      <c r="V11" s="770" t="s">
        <v>17</v>
      </c>
      <c r="W11" s="771">
        <f t="shared" si="2"/>
        <v>100</v>
      </c>
      <c r="X11" s="772"/>
      <c r="Y11" s="2997"/>
      <c r="Z11" s="55" t="str">
        <f t="shared" si="7"/>
        <v>容积率</v>
      </c>
      <c r="AA11" s="773">
        <f t="shared" si="3"/>
        <v>1</v>
      </c>
      <c r="AB11" s="773">
        <f t="shared" si="4"/>
        <v>1</v>
      </c>
      <c r="AC11" s="773">
        <f t="shared" si="5"/>
        <v>1</v>
      </c>
    </row>
    <row r="12" spans="1:30" s="117" customFormat="1" ht="15" hidden="1">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5"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hidden="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hidden="1">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2558</v>
      </c>
      <c r="Q15" s="1810" t="str">
        <f t="shared" si="6"/>
        <v>居住社区成熟度</v>
      </c>
      <c r="R15" s="774" t="s">
        <v>17</v>
      </c>
      <c r="S15" s="775">
        <f t="shared" si="0"/>
        <v>100</v>
      </c>
      <c r="T15" s="774" t="s">
        <v>17</v>
      </c>
      <c r="U15" s="775">
        <f t="shared" si="1"/>
        <v>100</v>
      </c>
      <c r="V15" s="774" t="s">
        <v>17</v>
      </c>
      <c r="W15" s="775">
        <f t="shared" si="2"/>
        <v>100</v>
      </c>
      <c r="X15" s="1813"/>
      <c r="Y15" s="3174" t="s">
        <v>2558</v>
      </c>
      <c r="Z15" s="1814" t="str">
        <f t="shared" si="7"/>
        <v>居住社区成熟度</v>
      </c>
      <c r="AA15" s="1811">
        <f t="shared" si="3"/>
        <v>1</v>
      </c>
      <c r="AB15" s="1811">
        <f t="shared" si="4"/>
        <v>1</v>
      </c>
      <c r="AC15" s="1811">
        <f t="shared" si="5"/>
        <v>1</v>
      </c>
    </row>
    <row r="16" spans="1:30" ht="15" hidden="1">
      <c r="A16" s="428"/>
      <c r="B16" s="446"/>
      <c r="C16" s="447" t="s">
        <v>3316</v>
      </c>
      <c r="D16" s="448"/>
      <c r="E16" s="2605" t="s">
        <v>3316</v>
      </c>
      <c r="F16" s="448"/>
      <c r="G16" s="2605" t="s">
        <v>3316</v>
      </c>
      <c r="H16" s="450"/>
      <c r="I16" s="2604" t="s">
        <v>3316</v>
      </c>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5"/>
      <c r="Q17" s="1810" t="str">
        <f>B17</f>
        <v>商业繁华度</v>
      </c>
      <c r="R17" s="774" t="s">
        <v>17</v>
      </c>
      <c r="S17" s="775">
        <f>F17</f>
        <v>100</v>
      </c>
      <c r="T17" s="774" t="s">
        <v>17</v>
      </c>
      <c r="U17" s="775">
        <f>H17</f>
        <v>100</v>
      </c>
      <c r="V17" s="774" t="s">
        <v>17</v>
      </c>
      <c r="W17" s="775">
        <f>J17</f>
        <v>100</v>
      </c>
      <c r="X17" s="1813"/>
      <c r="Y17" s="3175"/>
      <c r="Z17" s="1814" t="str">
        <f>Q17</f>
        <v>商业繁华度</v>
      </c>
      <c r="AA17" s="1811">
        <f t="shared" si="3"/>
        <v>1</v>
      </c>
      <c r="AB17" s="1811">
        <f t="shared" si="4"/>
        <v>1</v>
      </c>
      <c r="AC17" s="1811">
        <f t="shared" si="5"/>
        <v>1</v>
      </c>
    </row>
    <row r="18" spans="1:29" ht="15">
      <c r="A18" s="428"/>
      <c r="B18" s="456"/>
      <c r="C18" s="2608" t="s">
        <v>3317</v>
      </c>
      <c r="D18" s="450"/>
      <c r="E18" s="2610" t="s">
        <v>3317</v>
      </c>
      <c r="F18" s="450"/>
      <c r="G18" s="2610" t="s">
        <v>3317</v>
      </c>
      <c r="H18" s="448"/>
      <c r="I18" s="2609" t="s">
        <v>3317</v>
      </c>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95</v>
      </c>
      <c r="G19" s="457"/>
      <c r="H19" s="450">
        <f>SUMIF(92:92,G20,93:93)-SUMIF(92:92,C20,93:93)+100</f>
        <v>100</v>
      </c>
      <c r="I19" s="459"/>
      <c r="J19" s="450">
        <f>SUMIF(92:92,I20,93:93)-SUMIF(92:92,C20,93:93)+100</f>
        <v>100</v>
      </c>
      <c r="K19" s="673">
        <v>5</v>
      </c>
      <c r="L19" s="1140"/>
      <c r="M19" s="1131"/>
      <c r="N19" s="1131"/>
      <c r="O19" s="1139"/>
      <c r="P19" s="3175"/>
      <c r="Q19" s="1810" t="str">
        <f>B19</f>
        <v>办公集聚程度</v>
      </c>
      <c r="R19" s="774" t="s">
        <v>17</v>
      </c>
      <c r="S19" s="775">
        <f>F19</f>
        <v>95</v>
      </c>
      <c r="T19" s="774" t="s">
        <v>17</v>
      </c>
      <c r="U19" s="775">
        <f>H19</f>
        <v>100</v>
      </c>
      <c r="V19" s="774" t="s">
        <v>17</v>
      </c>
      <c r="W19" s="775">
        <f>J19</f>
        <v>100</v>
      </c>
      <c r="X19" s="1813"/>
      <c r="Y19" s="3175"/>
      <c r="Z19" s="1814" t="str">
        <f>Q19</f>
        <v>办公集聚程度</v>
      </c>
      <c r="AA19" s="1811">
        <f t="shared" si="3"/>
        <v>1.0526315789473684</v>
      </c>
      <c r="AB19" s="1811">
        <f t="shared" si="4"/>
        <v>1</v>
      </c>
      <c r="AC19" s="1811">
        <f t="shared" si="5"/>
        <v>1</v>
      </c>
    </row>
    <row r="20" spans="1:29" ht="15">
      <c r="A20" s="428"/>
      <c r="B20" s="456"/>
      <c r="C20" s="447" t="s">
        <v>3317</v>
      </c>
      <c r="D20" s="448"/>
      <c r="E20" s="2605" t="s">
        <v>3316</v>
      </c>
      <c r="F20" s="448"/>
      <c r="G20" s="2605" t="s">
        <v>3317</v>
      </c>
      <c r="H20" s="448"/>
      <c r="I20" s="2604" t="s">
        <v>3317</v>
      </c>
      <c r="J20" s="448"/>
      <c r="K20" s="672"/>
      <c r="L20" s="1140"/>
      <c r="M20" s="1131"/>
      <c r="N20" s="1131"/>
      <c r="O20" s="1139"/>
      <c r="P20" s="3175"/>
      <c r="Q20" s="1810"/>
      <c r="R20" s="774"/>
      <c r="S20" s="775"/>
      <c r="T20" s="774"/>
      <c r="U20" s="775"/>
      <c r="V20" s="774"/>
      <c r="W20" s="775"/>
      <c r="X20" s="1813"/>
      <c r="Y20" s="3175"/>
      <c r="Z20" s="1814"/>
      <c r="AA20" s="1811">
        <v>1</v>
      </c>
      <c r="AB20" s="1811">
        <v>1</v>
      </c>
      <c r="AC20" s="1811">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10" t="str">
        <f>B21</f>
        <v>交通便捷度</v>
      </c>
      <c r="R21" s="774" t="s">
        <v>17</v>
      </c>
      <c r="S21" s="775">
        <f>F21</f>
        <v>100</v>
      </c>
      <c r="T21" s="774" t="s">
        <v>17</v>
      </c>
      <c r="U21" s="775">
        <f>H21</f>
        <v>100</v>
      </c>
      <c r="V21" s="774" t="s">
        <v>17</v>
      </c>
      <c r="W21" s="775">
        <f>J21</f>
        <v>100</v>
      </c>
      <c r="X21" s="1813"/>
      <c r="Y21" s="3175"/>
      <c r="Z21" s="1814" t="str">
        <f>Q21</f>
        <v>交通便捷度</v>
      </c>
      <c r="AA21" s="1811">
        <f t="shared" si="3"/>
        <v>1</v>
      </c>
      <c r="AB21" s="1811">
        <f t="shared" si="4"/>
        <v>1</v>
      </c>
      <c r="AC21" s="1811">
        <f t="shared" si="5"/>
        <v>1</v>
      </c>
    </row>
    <row r="22" spans="1:29" ht="15">
      <c r="A22" s="428"/>
      <c r="B22" s="1384"/>
      <c r="C22" s="447" t="s">
        <v>3317</v>
      </c>
      <c r="D22" s="450"/>
      <c r="E22" s="2605" t="s">
        <v>3317</v>
      </c>
      <c r="F22" s="448"/>
      <c r="G22" s="2605" t="s">
        <v>3317</v>
      </c>
      <c r="H22" s="448"/>
      <c r="I22" s="2604" t="s">
        <v>3317</v>
      </c>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ht="15">
      <c r="A23" s="404"/>
      <c r="B23" s="451" t="s">
        <v>2746</v>
      </c>
      <c r="C23" s="1389">
        <f>估价对象房地状况!C19</f>
        <v>0</v>
      </c>
      <c r="D23" s="455">
        <v>100</v>
      </c>
      <c r="E23" s="452"/>
      <c r="F23" s="455">
        <f>SUMIF(96:96,E24,97:97)-SUMIF(96:96,C24,97:97)+100</f>
        <v>95</v>
      </c>
      <c r="G23" s="454"/>
      <c r="H23" s="455">
        <f>SUMIF(96:96,G24,97:97)-SUMIF(96:96,C24,97:97)+100</f>
        <v>100</v>
      </c>
      <c r="I23" s="454"/>
      <c r="J23" s="455">
        <f>SUMIF(96:96,I24,97:97)-SUMIF(96:96,C24,97:97)+100</f>
        <v>100</v>
      </c>
      <c r="K23" s="673">
        <v>5</v>
      </c>
      <c r="L23" s="1140"/>
      <c r="M23" s="1131"/>
      <c r="N23" s="1131"/>
      <c r="O23" s="1139"/>
      <c r="P23" s="3175"/>
      <c r="Q23" s="1810" t="str">
        <f t="shared" ref="Q23:Q37" si="8">B23</f>
        <v>区域土地利用方向</v>
      </c>
      <c r="R23" s="774" t="s">
        <v>17</v>
      </c>
      <c r="S23" s="775">
        <f>F23</f>
        <v>95</v>
      </c>
      <c r="T23" s="774" t="s">
        <v>17</v>
      </c>
      <c r="U23" s="775">
        <f>H23</f>
        <v>100</v>
      </c>
      <c r="V23" s="774" t="s">
        <v>17</v>
      </c>
      <c r="W23" s="775">
        <f>J23</f>
        <v>100</v>
      </c>
      <c r="X23" s="1813"/>
      <c r="Y23" s="3175"/>
      <c r="Z23" s="1814" t="str">
        <f>Q23</f>
        <v>区域土地利用方向</v>
      </c>
      <c r="AA23" s="1811">
        <f t="shared" si="3"/>
        <v>1.0526315789473684</v>
      </c>
      <c r="AB23" s="1811">
        <f t="shared" si="4"/>
        <v>1</v>
      </c>
      <c r="AC23" s="1811">
        <f t="shared" si="5"/>
        <v>1</v>
      </c>
    </row>
    <row r="24" spans="1:29" ht="15">
      <c r="A24" s="404"/>
      <c r="B24" s="456"/>
      <c r="C24" s="616" t="s">
        <v>3317</v>
      </c>
      <c r="D24" s="448"/>
      <c r="E24" s="2605" t="s">
        <v>3316</v>
      </c>
      <c r="F24" s="448"/>
      <c r="G24" s="2604" t="s">
        <v>3317</v>
      </c>
      <c r="H24" s="448"/>
      <c r="I24" s="2604" t="s">
        <v>3317</v>
      </c>
      <c r="J24" s="448"/>
      <c r="K24" s="812"/>
      <c r="L24" s="1140"/>
      <c r="M24" s="1131"/>
      <c r="N24" s="1131"/>
      <c r="O24" s="1139"/>
      <c r="P24" s="3175"/>
      <c r="Q24" s="1810"/>
      <c r="R24" s="774"/>
      <c r="S24" s="775"/>
      <c r="T24" s="774"/>
      <c r="U24" s="775"/>
      <c r="V24" s="774"/>
      <c r="W24" s="775"/>
      <c r="X24" s="1813"/>
      <c r="Y24" s="3175"/>
      <c r="Z24" s="1814"/>
      <c r="AA24" s="1811"/>
      <c r="AB24" s="1811"/>
      <c r="AC24" s="1811"/>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10" t="str">
        <f t="shared" si="8"/>
        <v>自然及人文环境状况</v>
      </c>
      <c r="R25" s="774" t="s">
        <v>17</v>
      </c>
      <c r="S25" s="775">
        <f>F25</f>
        <v>100</v>
      </c>
      <c r="T25" s="774" t="s">
        <v>17</v>
      </c>
      <c r="U25" s="775">
        <f>H25</f>
        <v>100</v>
      </c>
      <c r="V25" s="774" t="s">
        <v>17</v>
      </c>
      <c r="W25" s="775">
        <f>J25</f>
        <v>100</v>
      </c>
      <c r="X25" s="1813"/>
      <c r="Y25" s="3175"/>
      <c r="Z25" s="1814" t="str">
        <f>Q25</f>
        <v>自然及人文环境状况</v>
      </c>
      <c r="AA25" s="1811">
        <f t="shared" si="3"/>
        <v>1</v>
      </c>
      <c r="AB25" s="1811">
        <f t="shared" si="4"/>
        <v>1</v>
      </c>
      <c r="AC25" s="1811">
        <f t="shared" si="5"/>
        <v>1</v>
      </c>
    </row>
    <row r="26" spans="1:29" ht="15">
      <c r="A26" s="404"/>
      <c r="B26" s="456"/>
      <c r="C26" s="447" t="s">
        <v>3316</v>
      </c>
      <c r="D26" s="448"/>
      <c r="E26" s="2611" t="s">
        <v>3316</v>
      </c>
      <c r="F26" s="448"/>
      <c r="G26" s="2611" t="s">
        <v>3316</v>
      </c>
      <c r="H26" s="448"/>
      <c r="I26" s="447" t="s">
        <v>3316</v>
      </c>
      <c r="J26" s="448"/>
      <c r="K26" s="672"/>
      <c r="L26" s="1140"/>
      <c r="M26" s="1131"/>
      <c r="N26" s="1131"/>
      <c r="O26" s="1139"/>
      <c r="P26" s="3175"/>
      <c r="Q26" s="1810"/>
      <c r="R26" s="774"/>
      <c r="S26" s="775"/>
      <c r="T26" s="774"/>
      <c r="U26" s="775"/>
      <c r="V26" s="774"/>
      <c r="W26" s="775"/>
      <c r="X26" s="1813"/>
      <c r="Y26" s="3175"/>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5" t="str">
        <f t="shared" si="8"/>
        <v>公共配套设施</v>
      </c>
      <c r="R27" s="770" t="s">
        <v>17</v>
      </c>
      <c r="S27" s="771">
        <f>F27</f>
        <v>100</v>
      </c>
      <c r="T27" s="770" t="s">
        <v>17</v>
      </c>
      <c r="U27" s="771">
        <f>H27</f>
        <v>100</v>
      </c>
      <c r="V27" s="770" t="s">
        <v>17</v>
      </c>
      <c r="W27" s="771">
        <f>J27</f>
        <v>100</v>
      </c>
      <c r="X27" s="772"/>
      <c r="Y27" s="3175"/>
      <c r="Z27" s="55" t="str">
        <f>Q27</f>
        <v>公共配套设施</v>
      </c>
      <c r="AA27" s="1811">
        <f>D27/F27</f>
        <v>1</v>
      </c>
      <c r="AB27" s="1811">
        <f>D27/H27</f>
        <v>1</v>
      </c>
      <c r="AC27" s="1811">
        <f>D27/J27</f>
        <v>1</v>
      </c>
    </row>
    <row r="28" spans="1:29" s="117" customFormat="1" ht="15">
      <c r="A28" s="649"/>
      <c r="B28" s="456"/>
      <c r="C28" s="2700" t="s">
        <v>3317</v>
      </c>
      <c r="D28" s="448"/>
      <c r="E28" s="2611" t="s">
        <v>3317</v>
      </c>
      <c r="F28" s="448"/>
      <c r="G28" s="2611" t="s">
        <v>3317</v>
      </c>
      <c r="H28" s="448"/>
      <c r="I28" s="447" t="s">
        <v>3317</v>
      </c>
      <c r="J28" s="448"/>
      <c r="K28" s="672"/>
      <c r="L28" s="1132"/>
      <c r="M28" s="1133"/>
      <c r="N28" s="1133"/>
      <c r="O28" s="1134"/>
      <c r="P28" s="3175"/>
      <c r="Q28" s="1795"/>
      <c r="R28" s="770"/>
      <c r="S28" s="771"/>
      <c r="T28" s="770"/>
      <c r="U28" s="771"/>
      <c r="V28" s="770"/>
      <c r="W28" s="771"/>
      <c r="X28" s="772"/>
      <c r="Y28" s="3175"/>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5"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1">
        <f>D29/F29</f>
        <v>1</v>
      </c>
      <c r="AB29" s="1811">
        <f>D29/H29</f>
        <v>1</v>
      </c>
      <c r="AC29" s="1811">
        <f>D29/J29</f>
        <v>1</v>
      </c>
    </row>
    <row r="30" spans="1:29" s="117" customFormat="1" ht="15.75" thickBot="1">
      <c r="A30" s="649"/>
      <c r="B30" s="456"/>
      <c r="C30" s="2700" t="s">
        <v>3318</v>
      </c>
      <c r="D30" s="448"/>
      <c r="E30" s="2701" t="s">
        <v>3318</v>
      </c>
      <c r="F30" s="448"/>
      <c r="G30" s="2701" t="s">
        <v>3318</v>
      </c>
      <c r="H30" s="448"/>
      <c r="I30" s="2701" t="s">
        <v>3318</v>
      </c>
      <c r="J30" s="448"/>
      <c r="K30" s="672"/>
      <c r="L30" s="1132"/>
      <c r="M30" s="1133"/>
      <c r="N30" s="1133"/>
      <c r="O30" s="1134"/>
      <c r="P30" s="3175"/>
      <c r="Q30" s="1795"/>
      <c r="R30" s="770"/>
      <c r="S30" s="771"/>
      <c r="T30" s="770"/>
      <c r="U30" s="771"/>
      <c r="V30" s="770"/>
      <c r="W30" s="771"/>
      <c r="X30" s="772"/>
      <c r="Y30" s="3175"/>
      <c r="Z30" s="55"/>
      <c r="AA30" s="1811">
        <v>1</v>
      </c>
      <c r="AB30" s="1811">
        <v>1</v>
      </c>
      <c r="AC30" s="1811">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5"/>
      <c r="Z31" s="1814" t="str">
        <f t="shared" ref="Z31:Z45" si="13">Q31</f>
        <v>临街状况</v>
      </c>
      <c r="AA31" s="1811">
        <f t="shared" si="3"/>
        <v>1</v>
      </c>
      <c r="AB31" s="1811">
        <f t="shared" si="4"/>
        <v>1</v>
      </c>
      <c r="AC31" s="1811">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10" t="str">
        <f t="shared" si="8"/>
        <v>毗邻道路的类型与等级</v>
      </c>
      <c r="R32" s="774" t="s">
        <v>17</v>
      </c>
      <c r="S32" s="775">
        <f t="shared" si="10"/>
        <v>100</v>
      </c>
      <c r="T32" s="774" t="s">
        <v>17</v>
      </c>
      <c r="U32" s="775">
        <f t="shared" si="11"/>
        <v>100</v>
      </c>
      <c r="V32" s="774" t="s">
        <v>17</v>
      </c>
      <c r="W32" s="775">
        <f t="shared" si="12"/>
        <v>100</v>
      </c>
      <c r="X32" s="1813"/>
      <c r="Y32" s="3175"/>
      <c r="Z32" s="1814" t="str">
        <f t="shared" si="13"/>
        <v>毗邻道路的类型与等级</v>
      </c>
      <c r="AA32" s="1811">
        <f t="shared" si="3"/>
        <v>1</v>
      </c>
      <c r="AB32" s="1811">
        <f t="shared" si="4"/>
        <v>1</v>
      </c>
      <c r="AC32" s="1811">
        <f t="shared" si="5"/>
        <v>1</v>
      </c>
    </row>
    <row r="33" spans="1:29" ht="15" hidden="1">
      <c r="A33" s="428"/>
      <c r="B33" s="456"/>
      <c r="C33" s="447"/>
      <c r="D33" s="448"/>
      <c r="E33" s="2611"/>
      <c r="F33" s="448"/>
      <c r="G33" s="2611"/>
      <c r="H33" s="448"/>
      <c r="I33" s="447"/>
      <c r="J33" s="448"/>
      <c r="K33" s="613"/>
      <c r="L33" s="1140"/>
      <c r="M33" s="1131"/>
      <c r="N33" s="1131"/>
      <c r="O33" s="1139"/>
      <c r="P33" s="3175"/>
      <c r="Q33" s="1810"/>
      <c r="R33" s="774"/>
      <c r="S33" s="775"/>
      <c r="T33" s="774"/>
      <c r="U33" s="775"/>
      <c r="V33" s="774"/>
      <c r="W33" s="775"/>
      <c r="X33" s="1813"/>
      <c r="Y33" s="3175"/>
      <c r="Z33" s="1814"/>
      <c r="AA33" s="1811">
        <v>1</v>
      </c>
      <c r="AB33" s="1811">
        <v>1</v>
      </c>
      <c r="AC33" s="1811">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10" t="str">
        <f t="shared" si="8"/>
        <v>土地级别</v>
      </c>
      <c r="R34" s="774" t="s">
        <v>17</v>
      </c>
      <c r="S34" s="775">
        <f t="shared" si="10"/>
        <v>100</v>
      </c>
      <c r="T34" s="774" t="s">
        <v>17</v>
      </c>
      <c r="U34" s="775">
        <f t="shared" si="11"/>
        <v>100</v>
      </c>
      <c r="V34" s="774" t="s">
        <v>17</v>
      </c>
      <c r="W34" s="775">
        <f t="shared" si="12"/>
        <v>100</v>
      </c>
      <c r="X34" s="1813"/>
      <c r="Y34" s="3175"/>
      <c r="Z34" s="1814" t="str">
        <f t="shared" si="13"/>
        <v>土地级别</v>
      </c>
      <c r="AA34" s="1811">
        <f t="shared" si="3"/>
        <v>1</v>
      </c>
      <c r="AB34" s="1811">
        <f t="shared" si="4"/>
        <v>1</v>
      </c>
      <c r="AC34" s="1811">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10">
        <f t="shared" si="8"/>
        <v>111</v>
      </c>
      <c r="R35" s="774" t="s">
        <v>17</v>
      </c>
      <c r="S35" s="775">
        <f t="shared" si="10"/>
        <v>100</v>
      </c>
      <c r="T35" s="774" t="s">
        <v>17</v>
      </c>
      <c r="U35" s="775">
        <f t="shared" si="11"/>
        <v>100</v>
      </c>
      <c r="V35" s="774" t="s">
        <v>17</v>
      </c>
      <c r="W35" s="775">
        <f t="shared" si="12"/>
        <v>100</v>
      </c>
      <c r="X35" s="1813"/>
      <c r="Y35" s="3175"/>
      <c r="Z35" s="1814">
        <f t="shared" si="13"/>
        <v>111</v>
      </c>
      <c r="AA35" s="1811">
        <f t="shared" si="3"/>
        <v>1</v>
      </c>
      <c r="AB35" s="1811">
        <f t="shared" si="4"/>
        <v>1</v>
      </c>
      <c r="AC35" s="1811">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0" t="s">
        <v>2563</v>
      </c>
      <c r="Q36" s="1810">
        <f t="shared" si="8"/>
        <v>111</v>
      </c>
      <c r="R36" s="774" t="s">
        <v>17</v>
      </c>
      <c r="S36" s="775">
        <f t="shared" si="10"/>
        <v>100</v>
      </c>
      <c r="T36" s="774" t="s">
        <v>17</v>
      </c>
      <c r="U36" s="775">
        <f t="shared" si="11"/>
        <v>100</v>
      </c>
      <c r="V36" s="774" t="s">
        <v>17</v>
      </c>
      <c r="W36" s="775">
        <f t="shared" si="12"/>
        <v>100</v>
      </c>
      <c r="X36" s="1813"/>
      <c r="Y36" s="3179" t="s">
        <v>2563</v>
      </c>
      <c r="Z36" s="1814">
        <f t="shared" si="13"/>
        <v>111</v>
      </c>
      <c r="AA36" s="1811">
        <f t="shared" si="3"/>
        <v>1</v>
      </c>
      <c r="AB36" s="1811">
        <f t="shared" si="4"/>
        <v>1</v>
      </c>
      <c r="AC36" s="1811">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2561</v>
      </c>
      <c r="B38" s="456" t="s">
        <v>2749</v>
      </c>
      <c r="C38" s="679">
        <f>'数据-基础表'!A3</f>
        <v>15680.97</v>
      </c>
      <c r="D38" s="467">
        <v>100</v>
      </c>
      <c r="E38" s="679">
        <f>中指案例!D8</f>
        <v>5714.42</v>
      </c>
      <c r="F38" s="467">
        <f>LOOKUP(E38,117:117,118:118)-LOOKUP(C38,117:117,118:118)+100</f>
        <v>100</v>
      </c>
      <c r="G38" s="679">
        <f>中指案例!D14</f>
        <v>50386.9</v>
      </c>
      <c r="H38" s="467">
        <f>LOOKUP(G38,117:117,118:118)-LOOKUP(C38,117:117,118:118)+100</f>
        <v>102</v>
      </c>
      <c r="I38" s="530">
        <f>中指案例!D16</f>
        <v>11716.14</v>
      </c>
      <c r="J38" s="467">
        <f>LOOKUP(I38,117:117,118:118)-LOOKUP(C38,117:117,118:118)+100</f>
        <v>100</v>
      </c>
      <c r="K38" s="613"/>
      <c r="L38" s="1140"/>
      <c r="M38" s="1131"/>
      <c r="N38" s="1131"/>
      <c r="O38" s="1139"/>
      <c r="P38" s="3179"/>
      <c r="Q38" s="1810" t="str">
        <f>B38</f>
        <v>宗地面积</v>
      </c>
      <c r="R38" s="774" t="s">
        <v>17</v>
      </c>
      <c r="S38" s="775">
        <f t="shared" si="10"/>
        <v>100</v>
      </c>
      <c r="T38" s="774" t="s">
        <v>17</v>
      </c>
      <c r="U38" s="775">
        <f t="shared" si="11"/>
        <v>102</v>
      </c>
      <c r="V38" s="774" t="s">
        <v>17</v>
      </c>
      <c r="W38" s="775">
        <f t="shared" si="12"/>
        <v>100</v>
      </c>
      <c r="X38" s="1813"/>
      <c r="Y38" s="3179"/>
      <c r="Z38" s="1814" t="str">
        <f t="shared" si="13"/>
        <v>宗地面积</v>
      </c>
      <c r="AA38" s="1811">
        <f t="shared" si="3"/>
        <v>1</v>
      </c>
      <c r="AB38" s="1811">
        <f t="shared" si="4"/>
        <v>0.98039215686274506</v>
      </c>
      <c r="AC38" s="1811">
        <f t="shared" si="5"/>
        <v>1</v>
      </c>
    </row>
    <row r="39" spans="1:29" ht="15.75" thickBot="1">
      <c r="A39" s="472"/>
      <c r="B39" s="422" t="s">
        <v>2750</v>
      </c>
      <c r="C39" s="2613" t="s">
        <v>3319</v>
      </c>
      <c r="D39" s="435">
        <v>100</v>
      </c>
      <c r="E39" s="2613" t="s">
        <v>3319</v>
      </c>
      <c r="F39" s="435">
        <f>SUMIF(119:119,E39,120:120)-SUMIF(119:119,C39,120:120)+100</f>
        <v>100</v>
      </c>
      <c r="G39" s="2613" t="s">
        <v>3319</v>
      </c>
      <c r="H39" s="435">
        <f>SUMIF(119:119,G39,120:120)-SUMIF(119:119,C39,120:120)+100</f>
        <v>100</v>
      </c>
      <c r="I39" s="2613" t="s">
        <v>3319</v>
      </c>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hidden="1">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hidden="1">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hidden="1">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79" t="s">
        <v>2563</v>
      </c>
      <c r="Q42" s="1810" t="str">
        <f t="shared" si="14"/>
        <v>工程地质条件</v>
      </c>
      <c r="R42" s="774" t="s">
        <v>17</v>
      </c>
      <c r="S42" s="775">
        <f t="shared" si="10"/>
        <v>100</v>
      </c>
      <c r="T42" s="774" t="s">
        <v>17</v>
      </c>
      <c r="U42" s="775">
        <f t="shared" si="11"/>
        <v>100</v>
      </c>
      <c r="V42" s="774" t="s">
        <v>17</v>
      </c>
      <c r="W42" s="775">
        <f t="shared" si="12"/>
        <v>100</v>
      </c>
      <c r="X42" s="1813"/>
      <c r="Y42" s="3179" t="s">
        <v>2563</v>
      </c>
      <c r="Z42" s="1814" t="str">
        <f t="shared" si="13"/>
        <v>工程地质条件</v>
      </c>
      <c r="AA42" s="1811">
        <f t="shared" si="3"/>
        <v>1</v>
      </c>
      <c r="AB42" s="1811">
        <f t="shared" si="4"/>
        <v>1</v>
      </c>
      <c r="AC42" s="1811">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hidden="1"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2718</v>
      </c>
      <c r="B46" s="2704" t="s">
        <v>3326</v>
      </c>
      <c r="C46" s="682" t="s">
        <v>1</v>
      </c>
      <c r="D46" s="481"/>
      <c r="E46" s="482">
        <f>中指案例!K8</f>
        <v>918.73</v>
      </c>
      <c r="F46" s="483"/>
      <c r="G46" s="484">
        <f>中指案例!K14</f>
        <v>1288.6300000000001</v>
      </c>
      <c r="H46" s="485"/>
      <c r="I46" s="482">
        <f>中指案例!K16</f>
        <v>1284.54</v>
      </c>
      <c r="J46" s="485"/>
      <c r="K46" s="783"/>
      <c r="L46" s="1143"/>
      <c r="M46" s="1144"/>
      <c r="N46" s="1131"/>
      <c r="O46" s="1144"/>
      <c r="P46" s="3172" t="str">
        <f>A46</f>
        <v>成交单价</v>
      </c>
      <c r="Q46" s="3172"/>
      <c r="R46" s="3203">
        <f>E46</f>
        <v>918.73</v>
      </c>
      <c r="S46" s="3203"/>
      <c r="T46" s="3203">
        <f>G46</f>
        <v>1288.6300000000001</v>
      </c>
      <c r="U46" s="3203"/>
      <c r="V46" s="3203">
        <f>I46</f>
        <v>1284.54</v>
      </c>
      <c r="W46" s="3203"/>
      <c r="X46" s="759"/>
      <c r="Y46" s="781"/>
      <c r="Z46" s="759"/>
      <c r="AA46" s="759"/>
      <c r="AB46" s="759"/>
      <c r="AC46" s="759"/>
    </row>
    <row r="47" spans="1:29" ht="15.75" thickBot="1">
      <c r="A47" s="486" t="s">
        <v>2667</v>
      </c>
      <c r="B47" s="683"/>
      <c r="C47" s="490">
        <f>R48</f>
        <v>1089</v>
      </c>
      <c r="D47" s="489"/>
      <c r="E47" s="490">
        <f>R47</f>
        <v>933</v>
      </c>
      <c r="F47" s="491"/>
      <c r="G47" s="488">
        <f>T47</f>
        <v>1158</v>
      </c>
      <c r="H47" s="489"/>
      <c r="I47" s="490">
        <f>V47</f>
        <v>1177</v>
      </c>
      <c r="J47" s="489"/>
      <c r="K47" s="784"/>
      <c r="L47" s="1143"/>
      <c r="M47" s="1144"/>
      <c r="N47" s="1144"/>
      <c r="O47" s="1144"/>
      <c r="P47" s="3172" t="str">
        <f>A47</f>
        <v>比较价值（元/平方米）</v>
      </c>
      <c r="Q47" s="3172"/>
      <c r="R47" s="3231">
        <f>ROUND(PRODUCT(R46,AA7:AA45),0)</f>
        <v>933</v>
      </c>
      <c r="S47" s="3231"/>
      <c r="T47" s="3231">
        <f>ROUND(PRODUCT(T46,AB7:AB45),0)</f>
        <v>1158</v>
      </c>
      <c r="U47" s="3231"/>
      <c r="V47" s="3231">
        <f>ROUND(PRODUCT(V46,AC7:AC45),0)</f>
        <v>1177</v>
      </c>
      <c r="W47" s="3231"/>
      <c r="X47" s="759"/>
      <c r="Y47" s="759"/>
      <c r="Z47" s="759"/>
      <c r="AA47" s="759"/>
      <c r="AB47" s="759"/>
      <c r="AC47" s="759"/>
    </row>
    <row r="48" spans="1:29" ht="15.75" thickBot="1">
      <c r="A48" s="492" t="s">
        <v>2754</v>
      </c>
      <c r="B48" s="493"/>
      <c r="C48" s="494">
        <f>R48</f>
        <v>1089</v>
      </c>
      <c r="D48" s="494"/>
      <c r="E48" s="494"/>
      <c r="F48" s="494"/>
      <c r="G48" s="494"/>
      <c r="H48" s="494"/>
      <c r="I48" s="494"/>
      <c r="J48" s="494"/>
      <c r="K48" s="785"/>
      <c r="L48" s="1143"/>
      <c r="M48" s="1144"/>
      <c r="N48" s="1144"/>
      <c r="O48" s="1144"/>
      <c r="P48" s="3169" t="str">
        <f>A48</f>
        <v>估价对象XX用房的比较价值（楼面单价，元/平方米）</v>
      </c>
      <c r="Q48" s="3170"/>
      <c r="R48" s="3232">
        <f>ROUND(AVERAGE(R47:V47),0)</f>
        <v>1089</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1.5532310907448332E-2</v>
      </c>
      <c r="F51" s="500" t="str">
        <f>IF(OR(E51&gt;=0.3,E51&lt;=-0.3),"超过30%","")</f>
        <v/>
      </c>
      <c r="G51" s="499">
        <f>IF(G46&lt;G47,G47/G46-1,G46/G47-1)</f>
        <v>0.1128065630397237</v>
      </c>
      <c r="H51" s="500" t="str">
        <f>IF(OR(G51&gt;=0.3,G51&lt;=-0.3),"超过30%","")</f>
        <v/>
      </c>
      <c r="I51" s="499">
        <f>IF(I46&lt;I47,I47/I46-1,I46/I47-1)</f>
        <v>9.1367884451996506E-2</v>
      </c>
      <c r="J51" s="500" t="str">
        <f>IF(OR(I51&gt;=0.3,I51&lt;=-0.3),"超过30%","")</f>
        <v/>
      </c>
      <c r="K51" s="1105"/>
      <c r="L51" s="1106"/>
      <c r="M51" s="1144"/>
      <c r="N51" s="1144"/>
      <c r="O51" s="1144"/>
    </row>
    <row r="52" spans="1:15" ht="13.5" customHeight="1">
      <c r="A52" s="1144"/>
      <c r="B52" s="1144"/>
      <c r="C52" s="497" t="s">
        <v>2670</v>
      </c>
      <c r="D52" s="501"/>
      <c r="E52" s="499">
        <f>IF(E47&lt;G47,G47/E47-1,E47/G47-1)</f>
        <v>0.2411575562700965</v>
      </c>
      <c r="F52" s="500" t="str">
        <f>IF(OR(E52&gt;=0.2,E52&lt;=-0.2),"超过20%","")</f>
        <v>超过20%</v>
      </c>
      <c r="G52" s="499">
        <f>IF(G47&lt;I47,I47/G47-1,G47/I47-1)</f>
        <v>1.6407599309153698E-2</v>
      </c>
      <c r="H52" s="500" t="str">
        <f>IF(OR(G52&gt;=0.2,G52&lt;=-0.2),"超过20%","")</f>
        <v/>
      </c>
      <c r="I52" s="499">
        <f>IF(I47&lt;E47,E47/I47-1,I47/E47-1)</f>
        <v>0.26152197213290451</v>
      </c>
      <c r="J52" s="500" t="str">
        <f>IF(OR(I52&gt;=0.2,I52&lt;=-0.2),"超过20%","")</f>
        <v>超过20%</v>
      </c>
      <c r="K52" s="1105"/>
      <c r="L52" s="1106"/>
      <c r="M52" s="1144"/>
      <c r="N52" s="1144"/>
      <c r="O52" s="1144"/>
    </row>
    <row r="53" spans="1:15" s="502" customFormat="1" ht="13.5" customHeight="1">
      <c r="A53" s="1145"/>
      <c r="B53" s="1145"/>
      <c r="C53" s="497" t="s">
        <v>2671</v>
      </c>
      <c r="D53" s="501"/>
      <c r="E53" s="499">
        <f>IF(E46&lt;G46,G46/E46-1,E46/G46-1)</f>
        <v>0.40262100943694024</v>
      </c>
      <c r="F53" s="500" t="str">
        <f>IF(OR(E53&gt;=0.3,E53&lt;=-0.3),"超过30%","")</f>
        <v>超过30%</v>
      </c>
      <c r="G53" s="499">
        <f>IF(G46&lt;I46,I46/G46-1,G46/I46-1)</f>
        <v>3.1840191819640928E-3</v>
      </c>
      <c r="H53" s="500" t="str">
        <f>IF(OR(G53&gt;=0.3,G53&lt;=-0.3),"超过30%","")</f>
        <v/>
      </c>
      <c r="I53" s="499">
        <f>IF(I46&lt;E46,E46/I46-1,I46/E46-1)</f>
        <v>0.39816921184678833</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87" t="s">
        <v>2761</v>
      </c>
      <c r="H55" s="3233"/>
      <c r="I55" s="144" t="s">
        <v>2762</v>
      </c>
      <c r="J55" s="2707" t="str">
        <f>项目基本情况!F35</f>
        <v>山西省长治市</v>
      </c>
      <c r="K55" s="2708" t="s">
        <v>2763</v>
      </c>
      <c r="L55" s="1106"/>
      <c r="M55" s="1144"/>
      <c r="N55" s="1144"/>
      <c r="O55" s="1144"/>
    </row>
    <row r="56" spans="1:15" s="692" customFormat="1">
      <c r="A56" s="688" t="s">
        <v>2764</v>
      </c>
      <c r="B56" s="689">
        <f>C48</f>
        <v>1089</v>
      </c>
      <c r="C56" s="690">
        <v>1</v>
      </c>
      <c r="D56" s="1163">
        <v>1</v>
      </c>
      <c r="E56" s="690">
        <f>'数据-汇总表'!E8+'数据-汇总表'!E9</f>
        <v>32963.68</v>
      </c>
      <c r="F56" s="1103">
        <f t="shared" ref="F56:F65" si="15">ROUND(B56*E56/10000,0)</f>
        <v>3590</v>
      </c>
      <c r="G56" s="3183"/>
      <c r="H56" s="3172"/>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234"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234"/>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234"/>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234"/>
      <c r="H60" s="1104">
        <f>项目基本情况!B37</f>
        <v>0</v>
      </c>
      <c r="I60" s="1108">
        <f>SUMIF(修正!A45:A56,H60,修正!E45:E56)</f>
        <v>0</v>
      </c>
      <c r="J60" s="1112"/>
      <c r="K60" s="1145"/>
      <c r="L60" s="941"/>
      <c r="M60" s="941"/>
      <c r="N60" s="941"/>
      <c r="O60" s="941"/>
    </row>
    <row r="61" spans="1:15" s="692" customFormat="1">
      <c r="A61" s="693" t="s">
        <v>2770</v>
      </c>
      <c r="B61" s="262">
        <f t="shared" si="17"/>
        <v>0</v>
      </c>
      <c r="C61" s="200">
        <f t="shared" si="16"/>
        <v>0</v>
      </c>
      <c r="D61" s="1164">
        <v>0.25</v>
      </c>
      <c r="E61" s="261">
        <f>'数据-汇总表'!E11</f>
        <v>0</v>
      </c>
      <c r="F61" s="1103">
        <f t="shared" si="15"/>
        <v>0</v>
      </c>
      <c r="G61" s="2709" t="s">
        <v>2771</v>
      </c>
      <c r="H61" s="1104">
        <f>项目基本情况!C37</f>
        <v>0</v>
      </c>
      <c r="I61" s="1108">
        <f>SUMIF(修正!A45:A56,H61,修正!F45:F56)</f>
        <v>0</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2380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09"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0</v>
      </c>
      <c r="C65" s="200">
        <f t="shared" si="16"/>
        <v>0</v>
      </c>
      <c r="D65" s="1164">
        <v>0.25</v>
      </c>
      <c r="E65" s="261">
        <f>'数据-汇总表'!E15</f>
        <v>0</v>
      </c>
      <c r="F65" s="1103">
        <f t="shared" si="15"/>
        <v>0</v>
      </c>
      <c r="G65" s="2710"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35343.68</v>
      </c>
      <c r="F66" s="697">
        <f>IF(B46="楼面地价",SUM(F56:F65),ROUND(C48*E66/10000,0))</f>
        <v>3590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2" t="s">
        <v>2780</v>
      </c>
      <c r="B71" s="332" t="str">
        <f>"北京市平均增长率"&amp;TEXT(SUMIF(基准地价修正!N21:N25,A71,基准地价修正!P21:P25),"0.00%")</f>
        <v>北京市平均增长率0.00%</v>
      </c>
      <c r="C71" s="603">
        <v>100</v>
      </c>
      <c r="D71" s="595">
        <v>100</v>
      </c>
      <c r="E71" s="595">
        <v>100</v>
      </c>
      <c r="F71" s="595">
        <v>100</v>
      </c>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3288" t="s">
        <v>3313</v>
      </c>
      <c r="D75" s="3288" t="s">
        <v>3315</v>
      </c>
      <c r="E75" s="530"/>
      <c r="F75" s="530"/>
      <c r="G75" s="530"/>
      <c r="H75" s="530"/>
      <c r="I75" s="530"/>
      <c r="J75" s="530"/>
      <c r="K75" s="531"/>
      <c r="L75" s="532"/>
      <c r="M75" s="533"/>
      <c r="N75" s="1152"/>
      <c r="O75" s="1152"/>
      <c r="P75" s="45"/>
      <c r="Q75" s="504"/>
    </row>
    <row r="76" spans="1:17" ht="15.75" thickBot="1">
      <c r="A76" s="534"/>
      <c r="B76" s="535"/>
      <c r="C76" s="536">
        <v>100</v>
      </c>
      <c r="D76" s="536">
        <v>102</v>
      </c>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0（含）-3</v>
      </c>
      <c r="D79" s="547" t="str">
        <f t="shared" ref="D79:L79" si="20">D80&amp;"（含）"&amp;"-"&amp;E80</f>
        <v>3（含）-5</v>
      </c>
      <c r="E79" s="547" t="str">
        <f t="shared" si="20"/>
        <v>5（含）-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3</v>
      </c>
      <c r="E80" s="549">
        <v>5</v>
      </c>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2788</v>
      </c>
      <c r="C116" s="529" t="str">
        <f>C117&amp;"(含)"&amp;"-"&amp;D117</f>
        <v>0(含)-20000</v>
      </c>
      <c r="D116" s="529" t="str">
        <f t="shared" ref="D116:M116" si="25">D117&amp;"(含)"&amp;"-"&amp;E117</f>
        <v>20000(含)-40000</v>
      </c>
      <c r="E116" s="529" t="str">
        <f t="shared" si="25"/>
        <v>40000(含)-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c r="H118" s="591"/>
      <c r="I118" s="591"/>
      <c r="J118" s="591"/>
      <c r="K118" s="591"/>
      <c r="L118" s="591"/>
      <c r="M118" s="592"/>
      <c r="N118" s="1153"/>
      <c r="O118" s="1153"/>
      <c r="P118" s="45"/>
      <c r="Q118" s="504"/>
    </row>
    <row r="119" spans="1:17" ht="15" thickTop="1">
      <c r="A119" s="599"/>
      <c r="B119" s="538" t="s">
        <v>2789</v>
      </c>
      <c r="C119" s="3289" t="s">
        <v>3320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3290" t="s">
        <v>3321</v>
      </c>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N87"/>
  <sheetViews>
    <sheetView workbookViewId="0">
      <selection activeCell="A16" sqref="A16"/>
    </sheetView>
  </sheetViews>
  <sheetFormatPr defaultRowHeight="12.75"/>
  <cols>
    <col min="1" max="1" width="49.625" style="3285" customWidth="1"/>
    <col min="2" max="2" width="6.25" style="3285" customWidth="1"/>
    <col min="3" max="3" width="11.75" style="3285" customWidth="1"/>
    <col min="4" max="5" width="13.875" style="3285" customWidth="1"/>
    <col min="6" max="6" width="24" style="3285" customWidth="1"/>
    <col min="7" max="7" width="7.875" style="3285" customWidth="1"/>
    <col min="8" max="8" width="9" style="3285" customWidth="1"/>
    <col min="9" max="10" width="10.625" style="3285" customWidth="1"/>
    <col min="11" max="11" width="14.375" style="3285" customWidth="1"/>
    <col min="12" max="12" width="6.25" style="3285" customWidth="1"/>
    <col min="13" max="13" width="32" style="3285" customWidth="1"/>
    <col min="14" max="14" width="7.875" style="3285" customWidth="1"/>
    <col min="15" max="256" width="9" style="3285"/>
    <col min="257" max="257" width="49.625" style="3285" customWidth="1"/>
    <col min="258" max="258" width="6.25" style="3285" customWidth="1"/>
    <col min="259" max="259" width="11.75" style="3285" customWidth="1"/>
    <col min="260" max="261" width="13.875" style="3285" customWidth="1"/>
    <col min="262" max="262" width="24" style="3285" customWidth="1"/>
    <col min="263" max="263" width="7.875" style="3285" customWidth="1"/>
    <col min="264" max="264" width="9" style="3285" customWidth="1"/>
    <col min="265" max="266" width="10.625" style="3285" customWidth="1"/>
    <col min="267" max="267" width="14.375" style="3285" customWidth="1"/>
    <col min="268" max="268" width="6.25" style="3285" customWidth="1"/>
    <col min="269" max="269" width="32" style="3285" customWidth="1"/>
    <col min="270" max="270" width="7.875" style="3285" customWidth="1"/>
    <col min="271" max="512" width="9" style="3285"/>
    <col min="513" max="513" width="49.625" style="3285" customWidth="1"/>
    <col min="514" max="514" width="6.25" style="3285" customWidth="1"/>
    <col min="515" max="515" width="11.75" style="3285" customWidth="1"/>
    <col min="516" max="517" width="13.875" style="3285" customWidth="1"/>
    <col min="518" max="518" width="24" style="3285" customWidth="1"/>
    <col min="519" max="519" width="7.875" style="3285" customWidth="1"/>
    <col min="520" max="520" width="9" style="3285" customWidth="1"/>
    <col min="521" max="522" width="10.625" style="3285" customWidth="1"/>
    <col min="523" max="523" width="14.375" style="3285" customWidth="1"/>
    <col min="524" max="524" width="6.25" style="3285" customWidth="1"/>
    <col min="525" max="525" width="32" style="3285" customWidth="1"/>
    <col min="526" max="526" width="7.875" style="3285" customWidth="1"/>
    <col min="527" max="768" width="9" style="3285"/>
    <col min="769" max="769" width="49.625" style="3285" customWidth="1"/>
    <col min="770" max="770" width="6.25" style="3285" customWidth="1"/>
    <col min="771" max="771" width="11.75" style="3285" customWidth="1"/>
    <col min="772" max="773" width="13.875" style="3285" customWidth="1"/>
    <col min="774" max="774" width="24" style="3285" customWidth="1"/>
    <col min="775" max="775" width="7.875" style="3285" customWidth="1"/>
    <col min="776" max="776" width="9" style="3285" customWidth="1"/>
    <col min="777" max="778" width="10.625" style="3285" customWidth="1"/>
    <col min="779" max="779" width="14.375" style="3285" customWidth="1"/>
    <col min="780" max="780" width="6.25" style="3285" customWidth="1"/>
    <col min="781" max="781" width="32" style="3285" customWidth="1"/>
    <col min="782" max="782" width="7.875" style="3285" customWidth="1"/>
    <col min="783" max="1024" width="9" style="3285"/>
    <col min="1025" max="1025" width="49.625" style="3285" customWidth="1"/>
    <col min="1026" max="1026" width="6.25" style="3285" customWidth="1"/>
    <col min="1027" max="1027" width="11.75" style="3285" customWidth="1"/>
    <col min="1028" max="1029" width="13.875" style="3285" customWidth="1"/>
    <col min="1030" max="1030" width="24" style="3285" customWidth="1"/>
    <col min="1031" max="1031" width="7.875" style="3285" customWidth="1"/>
    <col min="1032" max="1032" width="9" style="3285" customWidth="1"/>
    <col min="1033" max="1034" width="10.625" style="3285" customWidth="1"/>
    <col min="1035" max="1035" width="14.375" style="3285" customWidth="1"/>
    <col min="1036" max="1036" width="6.25" style="3285" customWidth="1"/>
    <col min="1037" max="1037" width="32" style="3285" customWidth="1"/>
    <col min="1038" max="1038" width="7.875" style="3285" customWidth="1"/>
    <col min="1039" max="1280" width="9" style="3285"/>
    <col min="1281" max="1281" width="49.625" style="3285" customWidth="1"/>
    <col min="1282" max="1282" width="6.25" style="3285" customWidth="1"/>
    <col min="1283" max="1283" width="11.75" style="3285" customWidth="1"/>
    <col min="1284" max="1285" width="13.875" style="3285" customWidth="1"/>
    <col min="1286" max="1286" width="24" style="3285" customWidth="1"/>
    <col min="1287" max="1287" width="7.875" style="3285" customWidth="1"/>
    <col min="1288" max="1288" width="9" style="3285" customWidth="1"/>
    <col min="1289" max="1290" width="10.625" style="3285" customWidth="1"/>
    <col min="1291" max="1291" width="14.375" style="3285" customWidth="1"/>
    <col min="1292" max="1292" width="6.25" style="3285" customWidth="1"/>
    <col min="1293" max="1293" width="32" style="3285" customWidth="1"/>
    <col min="1294" max="1294" width="7.875" style="3285" customWidth="1"/>
    <col min="1295" max="1536" width="9" style="3285"/>
    <col min="1537" max="1537" width="49.625" style="3285" customWidth="1"/>
    <col min="1538" max="1538" width="6.25" style="3285" customWidth="1"/>
    <col min="1539" max="1539" width="11.75" style="3285" customWidth="1"/>
    <col min="1540" max="1541" width="13.875" style="3285" customWidth="1"/>
    <col min="1542" max="1542" width="24" style="3285" customWidth="1"/>
    <col min="1543" max="1543" width="7.875" style="3285" customWidth="1"/>
    <col min="1544" max="1544" width="9" style="3285" customWidth="1"/>
    <col min="1545" max="1546" width="10.625" style="3285" customWidth="1"/>
    <col min="1547" max="1547" width="14.375" style="3285" customWidth="1"/>
    <col min="1548" max="1548" width="6.25" style="3285" customWidth="1"/>
    <col min="1549" max="1549" width="32" style="3285" customWidth="1"/>
    <col min="1550" max="1550" width="7.875" style="3285" customWidth="1"/>
    <col min="1551" max="1792" width="9" style="3285"/>
    <col min="1793" max="1793" width="49.625" style="3285" customWidth="1"/>
    <col min="1794" max="1794" width="6.25" style="3285" customWidth="1"/>
    <col min="1795" max="1795" width="11.75" style="3285" customWidth="1"/>
    <col min="1796" max="1797" width="13.875" style="3285" customWidth="1"/>
    <col min="1798" max="1798" width="24" style="3285" customWidth="1"/>
    <col min="1799" max="1799" width="7.875" style="3285" customWidth="1"/>
    <col min="1800" max="1800" width="9" style="3285" customWidth="1"/>
    <col min="1801" max="1802" width="10.625" style="3285" customWidth="1"/>
    <col min="1803" max="1803" width="14.375" style="3285" customWidth="1"/>
    <col min="1804" max="1804" width="6.25" style="3285" customWidth="1"/>
    <col min="1805" max="1805" width="32" style="3285" customWidth="1"/>
    <col min="1806" max="1806" width="7.875" style="3285" customWidth="1"/>
    <col min="1807" max="2048" width="9" style="3285"/>
    <col min="2049" max="2049" width="49.625" style="3285" customWidth="1"/>
    <col min="2050" max="2050" width="6.25" style="3285" customWidth="1"/>
    <col min="2051" max="2051" width="11.75" style="3285" customWidth="1"/>
    <col min="2052" max="2053" width="13.875" style="3285" customWidth="1"/>
    <col min="2054" max="2054" width="24" style="3285" customWidth="1"/>
    <col min="2055" max="2055" width="7.875" style="3285" customWidth="1"/>
    <col min="2056" max="2056" width="9" style="3285" customWidth="1"/>
    <col min="2057" max="2058" width="10.625" style="3285" customWidth="1"/>
    <col min="2059" max="2059" width="14.375" style="3285" customWidth="1"/>
    <col min="2060" max="2060" width="6.25" style="3285" customWidth="1"/>
    <col min="2061" max="2061" width="32" style="3285" customWidth="1"/>
    <col min="2062" max="2062" width="7.875" style="3285" customWidth="1"/>
    <col min="2063" max="2304" width="9" style="3285"/>
    <col min="2305" max="2305" width="49.625" style="3285" customWidth="1"/>
    <col min="2306" max="2306" width="6.25" style="3285" customWidth="1"/>
    <col min="2307" max="2307" width="11.75" style="3285" customWidth="1"/>
    <col min="2308" max="2309" width="13.875" style="3285" customWidth="1"/>
    <col min="2310" max="2310" width="24" style="3285" customWidth="1"/>
    <col min="2311" max="2311" width="7.875" style="3285" customWidth="1"/>
    <col min="2312" max="2312" width="9" style="3285" customWidth="1"/>
    <col min="2313" max="2314" width="10.625" style="3285" customWidth="1"/>
    <col min="2315" max="2315" width="14.375" style="3285" customWidth="1"/>
    <col min="2316" max="2316" width="6.25" style="3285" customWidth="1"/>
    <col min="2317" max="2317" width="32" style="3285" customWidth="1"/>
    <col min="2318" max="2318" width="7.875" style="3285" customWidth="1"/>
    <col min="2319" max="2560" width="9" style="3285"/>
    <col min="2561" max="2561" width="49.625" style="3285" customWidth="1"/>
    <col min="2562" max="2562" width="6.25" style="3285" customWidth="1"/>
    <col min="2563" max="2563" width="11.75" style="3285" customWidth="1"/>
    <col min="2564" max="2565" width="13.875" style="3285" customWidth="1"/>
    <col min="2566" max="2566" width="24" style="3285" customWidth="1"/>
    <col min="2567" max="2567" width="7.875" style="3285" customWidth="1"/>
    <col min="2568" max="2568" width="9" style="3285" customWidth="1"/>
    <col min="2569" max="2570" width="10.625" style="3285" customWidth="1"/>
    <col min="2571" max="2571" width="14.375" style="3285" customWidth="1"/>
    <col min="2572" max="2572" width="6.25" style="3285" customWidth="1"/>
    <col min="2573" max="2573" width="32" style="3285" customWidth="1"/>
    <col min="2574" max="2574" width="7.875" style="3285" customWidth="1"/>
    <col min="2575" max="2816" width="9" style="3285"/>
    <col min="2817" max="2817" width="49.625" style="3285" customWidth="1"/>
    <col min="2818" max="2818" width="6.25" style="3285" customWidth="1"/>
    <col min="2819" max="2819" width="11.75" style="3285" customWidth="1"/>
    <col min="2820" max="2821" width="13.875" style="3285" customWidth="1"/>
    <col min="2822" max="2822" width="24" style="3285" customWidth="1"/>
    <col min="2823" max="2823" width="7.875" style="3285" customWidth="1"/>
    <col min="2824" max="2824" width="9" style="3285" customWidth="1"/>
    <col min="2825" max="2826" width="10.625" style="3285" customWidth="1"/>
    <col min="2827" max="2827" width="14.375" style="3285" customWidth="1"/>
    <col min="2828" max="2828" width="6.25" style="3285" customWidth="1"/>
    <col min="2829" max="2829" width="32" style="3285" customWidth="1"/>
    <col min="2830" max="2830" width="7.875" style="3285" customWidth="1"/>
    <col min="2831" max="3072" width="9" style="3285"/>
    <col min="3073" max="3073" width="49.625" style="3285" customWidth="1"/>
    <col min="3074" max="3074" width="6.25" style="3285" customWidth="1"/>
    <col min="3075" max="3075" width="11.75" style="3285" customWidth="1"/>
    <col min="3076" max="3077" width="13.875" style="3285" customWidth="1"/>
    <col min="3078" max="3078" width="24" style="3285" customWidth="1"/>
    <col min="3079" max="3079" width="7.875" style="3285" customWidth="1"/>
    <col min="3080" max="3080" width="9" style="3285" customWidth="1"/>
    <col min="3081" max="3082" width="10.625" style="3285" customWidth="1"/>
    <col min="3083" max="3083" width="14.375" style="3285" customWidth="1"/>
    <col min="3084" max="3084" width="6.25" style="3285" customWidth="1"/>
    <col min="3085" max="3085" width="32" style="3285" customWidth="1"/>
    <col min="3086" max="3086" width="7.875" style="3285" customWidth="1"/>
    <col min="3087" max="3328" width="9" style="3285"/>
    <col min="3329" max="3329" width="49.625" style="3285" customWidth="1"/>
    <col min="3330" max="3330" width="6.25" style="3285" customWidth="1"/>
    <col min="3331" max="3331" width="11.75" style="3285" customWidth="1"/>
    <col min="3332" max="3333" width="13.875" style="3285" customWidth="1"/>
    <col min="3334" max="3334" width="24" style="3285" customWidth="1"/>
    <col min="3335" max="3335" width="7.875" style="3285" customWidth="1"/>
    <col min="3336" max="3336" width="9" style="3285" customWidth="1"/>
    <col min="3337" max="3338" width="10.625" style="3285" customWidth="1"/>
    <col min="3339" max="3339" width="14.375" style="3285" customWidth="1"/>
    <col min="3340" max="3340" width="6.25" style="3285" customWidth="1"/>
    <col min="3341" max="3341" width="32" style="3285" customWidth="1"/>
    <col min="3342" max="3342" width="7.875" style="3285" customWidth="1"/>
    <col min="3343" max="3584" width="9" style="3285"/>
    <col min="3585" max="3585" width="49.625" style="3285" customWidth="1"/>
    <col min="3586" max="3586" width="6.25" style="3285" customWidth="1"/>
    <col min="3587" max="3587" width="11.75" style="3285" customWidth="1"/>
    <col min="3588" max="3589" width="13.875" style="3285" customWidth="1"/>
    <col min="3590" max="3590" width="24" style="3285" customWidth="1"/>
    <col min="3591" max="3591" width="7.875" style="3285" customWidth="1"/>
    <col min="3592" max="3592" width="9" style="3285" customWidth="1"/>
    <col min="3593" max="3594" width="10.625" style="3285" customWidth="1"/>
    <col min="3595" max="3595" width="14.375" style="3285" customWidth="1"/>
    <col min="3596" max="3596" width="6.25" style="3285" customWidth="1"/>
    <col min="3597" max="3597" width="32" style="3285" customWidth="1"/>
    <col min="3598" max="3598" width="7.875" style="3285" customWidth="1"/>
    <col min="3599" max="3840" width="9" style="3285"/>
    <col min="3841" max="3841" width="49.625" style="3285" customWidth="1"/>
    <col min="3842" max="3842" width="6.25" style="3285" customWidth="1"/>
    <col min="3843" max="3843" width="11.75" style="3285" customWidth="1"/>
    <col min="3844" max="3845" width="13.875" style="3285" customWidth="1"/>
    <col min="3846" max="3846" width="24" style="3285" customWidth="1"/>
    <col min="3847" max="3847" width="7.875" style="3285" customWidth="1"/>
    <col min="3848" max="3848" width="9" style="3285" customWidth="1"/>
    <col min="3849" max="3850" width="10.625" style="3285" customWidth="1"/>
    <col min="3851" max="3851" width="14.375" style="3285" customWidth="1"/>
    <col min="3852" max="3852" width="6.25" style="3285" customWidth="1"/>
    <col min="3853" max="3853" width="32" style="3285" customWidth="1"/>
    <col min="3854" max="3854" width="7.875" style="3285" customWidth="1"/>
    <col min="3855" max="4096" width="9" style="3285"/>
    <col min="4097" max="4097" width="49.625" style="3285" customWidth="1"/>
    <col min="4098" max="4098" width="6.25" style="3285" customWidth="1"/>
    <col min="4099" max="4099" width="11.75" style="3285" customWidth="1"/>
    <col min="4100" max="4101" width="13.875" style="3285" customWidth="1"/>
    <col min="4102" max="4102" width="24" style="3285" customWidth="1"/>
    <col min="4103" max="4103" width="7.875" style="3285" customWidth="1"/>
    <col min="4104" max="4104" width="9" style="3285" customWidth="1"/>
    <col min="4105" max="4106" width="10.625" style="3285" customWidth="1"/>
    <col min="4107" max="4107" width="14.375" style="3285" customWidth="1"/>
    <col min="4108" max="4108" width="6.25" style="3285" customWidth="1"/>
    <col min="4109" max="4109" width="32" style="3285" customWidth="1"/>
    <col min="4110" max="4110" width="7.875" style="3285" customWidth="1"/>
    <col min="4111" max="4352" width="9" style="3285"/>
    <col min="4353" max="4353" width="49.625" style="3285" customWidth="1"/>
    <col min="4354" max="4354" width="6.25" style="3285" customWidth="1"/>
    <col min="4355" max="4355" width="11.75" style="3285" customWidth="1"/>
    <col min="4356" max="4357" width="13.875" style="3285" customWidth="1"/>
    <col min="4358" max="4358" width="24" style="3285" customWidth="1"/>
    <col min="4359" max="4359" width="7.875" style="3285" customWidth="1"/>
    <col min="4360" max="4360" width="9" style="3285" customWidth="1"/>
    <col min="4361" max="4362" width="10.625" style="3285" customWidth="1"/>
    <col min="4363" max="4363" width="14.375" style="3285" customWidth="1"/>
    <col min="4364" max="4364" width="6.25" style="3285" customWidth="1"/>
    <col min="4365" max="4365" width="32" style="3285" customWidth="1"/>
    <col min="4366" max="4366" width="7.875" style="3285" customWidth="1"/>
    <col min="4367" max="4608" width="9" style="3285"/>
    <col min="4609" max="4609" width="49.625" style="3285" customWidth="1"/>
    <col min="4610" max="4610" width="6.25" style="3285" customWidth="1"/>
    <col min="4611" max="4611" width="11.75" style="3285" customWidth="1"/>
    <col min="4612" max="4613" width="13.875" style="3285" customWidth="1"/>
    <col min="4614" max="4614" width="24" style="3285" customWidth="1"/>
    <col min="4615" max="4615" width="7.875" style="3285" customWidth="1"/>
    <col min="4616" max="4616" width="9" style="3285" customWidth="1"/>
    <col min="4617" max="4618" width="10.625" style="3285" customWidth="1"/>
    <col min="4619" max="4619" width="14.375" style="3285" customWidth="1"/>
    <col min="4620" max="4620" width="6.25" style="3285" customWidth="1"/>
    <col min="4621" max="4621" width="32" style="3285" customWidth="1"/>
    <col min="4622" max="4622" width="7.875" style="3285" customWidth="1"/>
    <col min="4623" max="4864" width="9" style="3285"/>
    <col min="4865" max="4865" width="49.625" style="3285" customWidth="1"/>
    <col min="4866" max="4866" width="6.25" style="3285" customWidth="1"/>
    <col min="4867" max="4867" width="11.75" style="3285" customWidth="1"/>
    <col min="4868" max="4869" width="13.875" style="3285" customWidth="1"/>
    <col min="4870" max="4870" width="24" style="3285" customWidth="1"/>
    <col min="4871" max="4871" width="7.875" style="3285" customWidth="1"/>
    <col min="4872" max="4872" width="9" style="3285" customWidth="1"/>
    <col min="4873" max="4874" width="10.625" style="3285" customWidth="1"/>
    <col min="4875" max="4875" width="14.375" style="3285" customWidth="1"/>
    <col min="4876" max="4876" width="6.25" style="3285" customWidth="1"/>
    <col min="4877" max="4877" width="32" style="3285" customWidth="1"/>
    <col min="4878" max="4878" width="7.875" style="3285" customWidth="1"/>
    <col min="4879" max="5120" width="9" style="3285"/>
    <col min="5121" max="5121" width="49.625" style="3285" customWidth="1"/>
    <col min="5122" max="5122" width="6.25" style="3285" customWidth="1"/>
    <col min="5123" max="5123" width="11.75" style="3285" customWidth="1"/>
    <col min="5124" max="5125" width="13.875" style="3285" customWidth="1"/>
    <col min="5126" max="5126" width="24" style="3285" customWidth="1"/>
    <col min="5127" max="5127" width="7.875" style="3285" customWidth="1"/>
    <col min="5128" max="5128" width="9" style="3285" customWidth="1"/>
    <col min="5129" max="5130" width="10.625" style="3285" customWidth="1"/>
    <col min="5131" max="5131" width="14.375" style="3285" customWidth="1"/>
    <col min="5132" max="5132" width="6.25" style="3285" customWidth="1"/>
    <col min="5133" max="5133" width="32" style="3285" customWidth="1"/>
    <col min="5134" max="5134" width="7.875" style="3285" customWidth="1"/>
    <col min="5135" max="5376" width="9" style="3285"/>
    <col min="5377" max="5377" width="49.625" style="3285" customWidth="1"/>
    <col min="5378" max="5378" width="6.25" style="3285" customWidth="1"/>
    <col min="5379" max="5379" width="11.75" style="3285" customWidth="1"/>
    <col min="5380" max="5381" width="13.875" style="3285" customWidth="1"/>
    <col min="5382" max="5382" width="24" style="3285" customWidth="1"/>
    <col min="5383" max="5383" width="7.875" style="3285" customWidth="1"/>
    <col min="5384" max="5384" width="9" style="3285" customWidth="1"/>
    <col min="5385" max="5386" width="10.625" style="3285" customWidth="1"/>
    <col min="5387" max="5387" width="14.375" style="3285" customWidth="1"/>
    <col min="5388" max="5388" width="6.25" style="3285" customWidth="1"/>
    <col min="5389" max="5389" width="32" style="3285" customWidth="1"/>
    <col min="5390" max="5390" width="7.875" style="3285" customWidth="1"/>
    <col min="5391" max="5632" width="9" style="3285"/>
    <col min="5633" max="5633" width="49.625" style="3285" customWidth="1"/>
    <col min="5634" max="5634" width="6.25" style="3285" customWidth="1"/>
    <col min="5635" max="5635" width="11.75" style="3285" customWidth="1"/>
    <col min="5636" max="5637" width="13.875" style="3285" customWidth="1"/>
    <col min="5638" max="5638" width="24" style="3285" customWidth="1"/>
    <col min="5639" max="5639" width="7.875" style="3285" customWidth="1"/>
    <col min="5640" max="5640" width="9" style="3285" customWidth="1"/>
    <col min="5641" max="5642" width="10.625" style="3285" customWidth="1"/>
    <col min="5643" max="5643" width="14.375" style="3285" customWidth="1"/>
    <col min="5644" max="5644" width="6.25" style="3285" customWidth="1"/>
    <col min="5645" max="5645" width="32" style="3285" customWidth="1"/>
    <col min="5646" max="5646" width="7.875" style="3285" customWidth="1"/>
    <col min="5647" max="5888" width="9" style="3285"/>
    <col min="5889" max="5889" width="49.625" style="3285" customWidth="1"/>
    <col min="5890" max="5890" width="6.25" style="3285" customWidth="1"/>
    <col min="5891" max="5891" width="11.75" style="3285" customWidth="1"/>
    <col min="5892" max="5893" width="13.875" style="3285" customWidth="1"/>
    <col min="5894" max="5894" width="24" style="3285" customWidth="1"/>
    <col min="5895" max="5895" width="7.875" style="3285" customWidth="1"/>
    <col min="5896" max="5896" width="9" style="3285" customWidth="1"/>
    <col min="5897" max="5898" width="10.625" style="3285" customWidth="1"/>
    <col min="5899" max="5899" width="14.375" style="3285" customWidth="1"/>
    <col min="5900" max="5900" width="6.25" style="3285" customWidth="1"/>
    <col min="5901" max="5901" width="32" style="3285" customWidth="1"/>
    <col min="5902" max="5902" width="7.875" style="3285" customWidth="1"/>
    <col min="5903" max="6144" width="9" style="3285"/>
    <col min="6145" max="6145" width="49.625" style="3285" customWidth="1"/>
    <col min="6146" max="6146" width="6.25" style="3285" customWidth="1"/>
    <col min="6147" max="6147" width="11.75" style="3285" customWidth="1"/>
    <col min="6148" max="6149" width="13.875" style="3285" customWidth="1"/>
    <col min="6150" max="6150" width="24" style="3285" customWidth="1"/>
    <col min="6151" max="6151" width="7.875" style="3285" customWidth="1"/>
    <col min="6152" max="6152" width="9" style="3285" customWidth="1"/>
    <col min="6153" max="6154" width="10.625" style="3285" customWidth="1"/>
    <col min="6155" max="6155" width="14.375" style="3285" customWidth="1"/>
    <col min="6156" max="6156" width="6.25" style="3285" customWidth="1"/>
    <col min="6157" max="6157" width="32" style="3285" customWidth="1"/>
    <col min="6158" max="6158" width="7.875" style="3285" customWidth="1"/>
    <col min="6159" max="6400" width="9" style="3285"/>
    <col min="6401" max="6401" width="49.625" style="3285" customWidth="1"/>
    <col min="6402" max="6402" width="6.25" style="3285" customWidth="1"/>
    <col min="6403" max="6403" width="11.75" style="3285" customWidth="1"/>
    <col min="6404" max="6405" width="13.875" style="3285" customWidth="1"/>
    <col min="6406" max="6406" width="24" style="3285" customWidth="1"/>
    <col min="6407" max="6407" width="7.875" style="3285" customWidth="1"/>
    <col min="6408" max="6408" width="9" style="3285" customWidth="1"/>
    <col min="6409" max="6410" width="10.625" style="3285" customWidth="1"/>
    <col min="6411" max="6411" width="14.375" style="3285" customWidth="1"/>
    <col min="6412" max="6412" width="6.25" style="3285" customWidth="1"/>
    <col min="6413" max="6413" width="32" style="3285" customWidth="1"/>
    <col min="6414" max="6414" width="7.875" style="3285" customWidth="1"/>
    <col min="6415" max="6656" width="9" style="3285"/>
    <col min="6657" max="6657" width="49.625" style="3285" customWidth="1"/>
    <col min="6658" max="6658" width="6.25" style="3285" customWidth="1"/>
    <col min="6659" max="6659" width="11.75" style="3285" customWidth="1"/>
    <col min="6660" max="6661" width="13.875" style="3285" customWidth="1"/>
    <col min="6662" max="6662" width="24" style="3285" customWidth="1"/>
    <col min="6663" max="6663" width="7.875" style="3285" customWidth="1"/>
    <col min="6664" max="6664" width="9" style="3285" customWidth="1"/>
    <col min="6665" max="6666" width="10.625" style="3285" customWidth="1"/>
    <col min="6667" max="6667" width="14.375" style="3285" customWidth="1"/>
    <col min="6668" max="6668" width="6.25" style="3285" customWidth="1"/>
    <col min="6669" max="6669" width="32" style="3285" customWidth="1"/>
    <col min="6670" max="6670" width="7.875" style="3285" customWidth="1"/>
    <col min="6671" max="6912" width="9" style="3285"/>
    <col min="6913" max="6913" width="49.625" style="3285" customWidth="1"/>
    <col min="6914" max="6914" width="6.25" style="3285" customWidth="1"/>
    <col min="6915" max="6915" width="11.75" style="3285" customWidth="1"/>
    <col min="6916" max="6917" width="13.875" style="3285" customWidth="1"/>
    <col min="6918" max="6918" width="24" style="3285" customWidth="1"/>
    <col min="6919" max="6919" width="7.875" style="3285" customWidth="1"/>
    <col min="6920" max="6920" width="9" style="3285" customWidth="1"/>
    <col min="6921" max="6922" width="10.625" style="3285" customWidth="1"/>
    <col min="6923" max="6923" width="14.375" style="3285" customWidth="1"/>
    <col min="6924" max="6924" width="6.25" style="3285" customWidth="1"/>
    <col min="6925" max="6925" width="32" style="3285" customWidth="1"/>
    <col min="6926" max="6926" width="7.875" style="3285" customWidth="1"/>
    <col min="6927" max="7168" width="9" style="3285"/>
    <col min="7169" max="7169" width="49.625" style="3285" customWidth="1"/>
    <col min="7170" max="7170" width="6.25" style="3285" customWidth="1"/>
    <col min="7171" max="7171" width="11.75" style="3285" customWidth="1"/>
    <col min="7172" max="7173" width="13.875" style="3285" customWidth="1"/>
    <col min="7174" max="7174" width="24" style="3285" customWidth="1"/>
    <col min="7175" max="7175" width="7.875" style="3285" customWidth="1"/>
    <col min="7176" max="7176" width="9" style="3285" customWidth="1"/>
    <col min="7177" max="7178" width="10.625" style="3285" customWidth="1"/>
    <col min="7179" max="7179" width="14.375" style="3285" customWidth="1"/>
    <col min="7180" max="7180" width="6.25" style="3285" customWidth="1"/>
    <col min="7181" max="7181" width="32" style="3285" customWidth="1"/>
    <col min="7182" max="7182" width="7.875" style="3285" customWidth="1"/>
    <col min="7183" max="7424" width="9" style="3285"/>
    <col min="7425" max="7425" width="49.625" style="3285" customWidth="1"/>
    <col min="7426" max="7426" width="6.25" style="3285" customWidth="1"/>
    <col min="7427" max="7427" width="11.75" style="3285" customWidth="1"/>
    <col min="7428" max="7429" width="13.875" style="3285" customWidth="1"/>
    <col min="7430" max="7430" width="24" style="3285" customWidth="1"/>
    <col min="7431" max="7431" width="7.875" style="3285" customWidth="1"/>
    <col min="7432" max="7432" width="9" style="3285" customWidth="1"/>
    <col min="7433" max="7434" width="10.625" style="3285" customWidth="1"/>
    <col min="7435" max="7435" width="14.375" style="3285" customWidth="1"/>
    <col min="7436" max="7436" width="6.25" style="3285" customWidth="1"/>
    <col min="7437" max="7437" width="32" style="3285" customWidth="1"/>
    <col min="7438" max="7438" width="7.875" style="3285" customWidth="1"/>
    <col min="7439" max="7680" width="9" style="3285"/>
    <col min="7681" max="7681" width="49.625" style="3285" customWidth="1"/>
    <col min="7682" max="7682" width="6.25" style="3285" customWidth="1"/>
    <col min="7683" max="7683" width="11.75" style="3285" customWidth="1"/>
    <col min="7684" max="7685" width="13.875" style="3285" customWidth="1"/>
    <col min="7686" max="7686" width="24" style="3285" customWidth="1"/>
    <col min="7687" max="7687" width="7.875" style="3285" customWidth="1"/>
    <col min="7688" max="7688" width="9" style="3285" customWidth="1"/>
    <col min="7689" max="7690" width="10.625" style="3285" customWidth="1"/>
    <col min="7691" max="7691" width="14.375" style="3285" customWidth="1"/>
    <col min="7692" max="7692" width="6.25" style="3285" customWidth="1"/>
    <col min="7693" max="7693" width="32" style="3285" customWidth="1"/>
    <col min="7694" max="7694" width="7.875" style="3285" customWidth="1"/>
    <col min="7695" max="7936" width="9" style="3285"/>
    <col min="7937" max="7937" width="49.625" style="3285" customWidth="1"/>
    <col min="7938" max="7938" width="6.25" style="3285" customWidth="1"/>
    <col min="7939" max="7939" width="11.75" style="3285" customWidth="1"/>
    <col min="7940" max="7941" width="13.875" style="3285" customWidth="1"/>
    <col min="7942" max="7942" width="24" style="3285" customWidth="1"/>
    <col min="7943" max="7943" width="7.875" style="3285" customWidth="1"/>
    <col min="7944" max="7944" width="9" style="3285" customWidth="1"/>
    <col min="7945" max="7946" width="10.625" style="3285" customWidth="1"/>
    <col min="7947" max="7947" width="14.375" style="3285" customWidth="1"/>
    <col min="7948" max="7948" width="6.25" style="3285" customWidth="1"/>
    <col min="7949" max="7949" width="32" style="3285" customWidth="1"/>
    <col min="7950" max="7950" width="7.875" style="3285" customWidth="1"/>
    <col min="7951" max="8192" width="9" style="3285"/>
    <col min="8193" max="8193" width="49.625" style="3285" customWidth="1"/>
    <col min="8194" max="8194" width="6.25" style="3285" customWidth="1"/>
    <col min="8195" max="8195" width="11.75" style="3285" customWidth="1"/>
    <col min="8196" max="8197" width="13.875" style="3285" customWidth="1"/>
    <col min="8198" max="8198" width="24" style="3285" customWidth="1"/>
    <col min="8199" max="8199" width="7.875" style="3285" customWidth="1"/>
    <col min="8200" max="8200" width="9" style="3285" customWidth="1"/>
    <col min="8201" max="8202" width="10.625" style="3285" customWidth="1"/>
    <col min="8203" max="8203" width="14.375" style="3285" customWidth="1"/>
    <col min="8204" max="8204" width="6.25" style="3285" customWidth="1"/>
    <col min="8205" max="8205" width="32" style="3285" customWidth="1"/>
    <col min="8206" max="8206" width="7.875" style="3285" customWidth="1"/>
    <col min="8207" max="8448" width="9" style="3285"/>
    <col min="8449" max="8449" width="49.625" style="3285" customWidth="1"/>
    <col min="8450" max="8450" width="6.25" style="3285" customWidth="1"/>
    <col min="8451" max="8451" width="11.75" style="3285" customWidth="1"/>
    <col min="8452" max="8453" width="13.875" style="3285" customWidth="1"/>
    <col min="8454" max="8454" width="24" style="3285" customWidth="1"/>
    <col min="8455" max="8455" width="7.875" style="3285" customWidth="1"/>
    <col min="8456" max="8456" width="9" style="3285" customWidth="1"/>
    <col min="8457" max="8458" width="10.625" style="3285" customWidth="1"/>
    <col min="8459" max="8459" width="14.375" style="3285" customWidth="1"/>
    <col min="8460" max="8460" width="6.25" style="3285" customWidth="1"/>
    <col min="8461" max="8461" width="32" style="3285" customWidth="1"/>
    <col min="8462" max="8462" width="7.875" style="3285" customWidth="1"/>
    <col min="8463" max="8704" width="9" style="3285"/>
    <col min="8705" max="8705" width="49.625" style="3285" customWidth="1"/>
    <col min="8706" max="8706" width="6.25" style="3285" customWidth="1"/>
    <col min="8707" max="8707" width="11.75" style="3285" customWidth="1"/>
    <col min="8708" max="8709" width="13.875" style="3285" customWidth="1"/>
    <col min="8710" max="8710" width="24" style="3285" customWidth="1"/>
    <col min="8711" max="8711" width="7.875" style="3285" customWidth="1"/>
    <col min="8712" max="8712" width="9" style="3285" customWidth="1"/>
    <col min="8713" max="8714" width="10.625" style="3285" customWidth="1"/>
    <col min="8715" max="8715" width="14.375" style="3285" customWidth="1"/>
    <col min="8716" max="8716" width="6.25" style="3285" customWidth="1"/>
    <col min="8717" max="8717" width="32" style="3285" customWidth="1"/>
    <col min="8718" max="8718" width="7.875" style="3285" customWidth="1"/>
    <col min="8719" max="8960" width="9" style="3285"/>
    <col min="8961" max="8961" width="49.625" style="3285" customWidth="1"/>
    <col min="8962" max="8962" width="6.25" style="3285" customWidth="1"/>
    <col min="8963" max="8963" width="11.75" style="3285" customWidth="1"/>
    <col min="8964" max="8965" width="13.875" style="3285" customWidth="1"/>
    <col min="8966" max="8966" width="24" style="3285" customWidth="1"/>
    <col min="8967" max="8967" width="7.875" style="3285" customWidth="1"/>
    <col min="8968" max="8968" width="9" style="3285" customWidth="1"/>
    <col min="8969" max="8970" width="10.625" style="3285" customWidth="1"/>
    <col min="8971" max="8971" width="14.375" style="3285" customWidth="1"/>
    <col min="8972" max="8972" width="6.25" style="3285" customWidth="1"/>
    <col min="8973" max="8973" width="32" style="3285" customWidth="1"/>
    <col min="8974" max="8974" width="7.875" style="3285" customWidth="1"/>
    <col min="8975" max="9216" width="9" style="3285"/>
    <col min="9217" max="9217" width="49.625" style="3285" customWidth="1"/>
    <col min="9218" max="9218" width="6.25" style="3285" customWidth="1"/>
    <col min="9219" max="9219" width="11.75" style="3285" customWidth="1"/>
    <col min="9220" max="9221" width="13.875" style="3285" customWidth="1"/>
    <col min="9222" max="9222" width="24" style="3285" customWidth="1"/>
    <col min="9223" max="9223" width="7.875" style="3285" customWidth="1"/>
    <col min="9224" max="9224" width="9" style="3285" customWidth="1"/>
    <col min="9225" max="9226" width="10.625" style="3285" customWidth="1"/>
    <col min="9227" max="9227" width="14.375" style="3285" customWidth="1"/>
    <col min="9228" max="9228" width="6.25" style="3285" customWidth="1"/>
    <col min="9229" max="9229" width="32" style="3285" customWidth="1"/>
    <col min="9230" max="9230" width="7.875" style="3285" customWidth="1"/>
    <col min="9231" max="9472" width="9" style="3285"/>
    <col min="9473" max="9473" width="49.625" style="3285" customWidth="1"/>
    <col min="9474" max="9474" width="6.25" style="3285" customWidth="1"/>
    <col min="9475" max="9475" width="11.75" style="3285" customWidth="1"/>
    <col min="9476" max="9477" width="13.875" style="3285" customWidth="1"/>
    <col min="9478" max="9478" width="24" style="3285" customWidth="1"/>
    <col min="9479" max="9479" width="7.875" style="3285" customWidth="1"/>
    <col min="9480" max="9480" width="9" style="3285" customWidth="1"/>
    <col min="9481" max="9482" width="10.625" style="3285" customWidth="1"/>
    <col min="9483" max="9483" width="14.375" style="3285" customWidth="1"/>
    <col min="9484" max="9484" width="6.25" style="3285" customWidth="1"/>
    <col min="9485" max="9485" width="32" style="3285" customWidth="1"/>
    <col min="9486" max="9486" width="7.875" style="3285" customWidth="1"/>
    <col min="9487" max="9728" width="9" style="3285"/>
    <col min="9729" max="9729" width="49.625" style="3285" customWidth="1"/>
    <col min="9730" max="9730" width="6.25" style="3285" customWidth="1"/>
    <col min="9731" max="9731" width="11.75" style="3285" customWidth="1"/>
    <col min="9732" max="9733" width="13.875" style="3285" customWidth="1"/>
    <col min="9734" max="9734" width="24" style="3285" customWidth="1"/>
    <col min="9735" max="9735" width="7.875" style="3285" customWidth="1"/>
    <col min="9736" max="9736" width="9" style="3285" customWidth="1"/>
    <col min="9737" max="9738" width="10.625" style="3285" customWidth="1"/>
    <col min="9739" max="9739" width="14.375" style="3285" customWidth="1"/>
    <col min="9740" max="9740" width="6.25" style="3285" customWidth="1"/>
    <col min="9741" max="9741" width="32" style="3285" customWidth="1"/>
    <col min="9742" max="9742" width="7.875" style="3285" customWidth="1"/>
    <col min="9743" max="9984" width="9" style="3285"/>
    <col min="9985" max="9985" width="49.625" style="3285" customWidth="1"/>
    <col min="9986" max="9986" width="6.25" style="3285" customWidth="1"/>
    <col min="9987" max="9987" width="11.75" style="3285" customWidth="1"/>
    <col min="9988" max="9989" width="13.875" style="3285" customWidth="1"/>
    <col min="9990" max="9990" width="24" style="3285" customWidth="1"/>
    <col min="9991" max="9991" width="7.875" style="3285" customWidth="1"/>
    <col min="9992" max="9992" width="9" style="3285" customWidth="1"/>
    <col min="9993" max="9994" width="10.625" style="3285" customWidth="1"/>
    <col min="9995" max="9995" width="14.375" style="3285" customWidth="1"/>
    <col min="9996" max="9996" width="6.25" style="3285" customWidth="1"/>
    <col min="9997" max="9997" width="32" style="3285" customWidth="1"/>
    <col min="9998" max="9998" width="7.875" style="3285" customWidth="1"/>
    <col min="9999" max="10240" width="9" style="3285"/>
    <col min="10241" max="10241" width="49.625" style="3285" customWidth="1"/>
    <col min="10242" max="10242" width="6.25" style="3285" customWidth="1"/>
    <col min="10243" max="10243" width="11.75" style="3285" customWidth="1"/>
    <col min="10244" max="10245" width="13.875" style="3285" customWidth="1"/>
    <col min="10246" max="10246" width="24" style="3285" customWidth="1"/>
    <col min="10247" max="10247" width="7.875" style="3285" customWidth="1"/>
    <col min="10248" max="10248" width="9" style="3285" customWidth="1"/>
    <col min="10249" max="10250" width="10.625" style="3285" customWidth="1"/>
    <col min="10251" max="10251" width="14.375" style="3285" customWidth="1"/>
    <col min="10252" max="10252" width="6.25" style="3285" customWidth="1"/>
    <col min="10253" max="10253" width="32" style="3285" customWidth="1"/>
    <col min="10254" max="10254" width="7.875" style="3285" customWidth="1"/>
    <col min="10255" max="10496" width="9" style="3285"/>
    <col min="10497" max="10497" width="49.625" style="3285" customWidth="1"/>
    <col min="10498" max="10498" width="6.25" style="3285" customWidth="1"/>
    <col min="10499" max="10499" width="11.75" style="3285" customWidth="1"/>
    <col min="10500" max="10501" width="13.875" style="3285" customWidth="1"/>
    <col min="10502" max="10502" width="24" style="3285" customWidth="1"/>
    <col min="10503" max="10503" width="7.875" style="3285" customWidth="1"/>
    <col min="10504" max="10504" width="9" style="3285" customWidth="1"/>
    <col min="10505" max="10506" width="10.625" style="3285" customWidth="1"/>
    <col min="10507" max="10507" width="14.375" style="3285" customWidth="1"/>
    <col min="10508" max="10508" width="6.25" style="3285" customWidth="1"/>
    <col min="10509" max="10509" width="32" style="3285" customWidth="1"/>
    <col min="10510" max="10510" width="7.875" style="3285" customWidth="1"/>
    <col min="10511" max="10752" width="9" style="3285"/>
    <col min="10753" max="10753" width="49.625" style="3285" customWidth="1"/>
    <col min="10754" max="10754" width="6.25" style="3285" customWidth="1"/>
    <col min="10755" max="10755" width="11.75" style="3285" customWidth="1"/>
    <col min="10756" max="10757" width="13.875" style="3285" customWidth="1"/>
    <col min="10758" max="10758" width="24" style="3285" customWidth="1"/>
    <col min="10759" max="10759" width="7.875" style="3285" customWidth="1"/>
    <col min="10760" max="10760" width="9" style="3285" customWidth="1"/>
    <col min="10761" max="10762" width="10.625" style="3285" customWidth="1"/>
    <col min="10763" max="10763" width="14.375" style="3285" customWidth="1"/>
    <col min="10764" max="10764" width="6.25" style="3285" customWidth="1"/>
    <col min="10765" max="10765" width="32" style="3285" customWidth="1"/>
    <col min="10766" max="10766" width="7.875" style="3285" customWidth="1"/>
    <col min="10767" max="11008" width="9" style="3285"/>
    <col min="11009" max="11009" width="49.625" style="3285" customWidth="1"/>
    <col min="11010" max="11010" width="6.25" style="3285" customWidth="1"/>
    <col min="11011" max="11011" width="11.75" style="3285" customWidth="1"/>
    <col min="11012" max="11013" width="13.875" style="3285" customWidth="1"/>
    <col min="11014" max="11014" width="24" style="3285" customWidth="1"/>
    <col min="11015" max="11015" width="7.875" style="3285" customWidth="1"/>
    <col min="11016" max="11016" width="9" style="3285" customWidth="1"/>
    <col min="11017" max="11018" width="10.625" style="3285" customWidth="1"/>
    <col min="11019" max="11019" width="14.375" style="3285" customWidth="1"/>
    <col min="11020" max="11020" width="6.25" style="3285" customWidth="1"/>
    <col min="11021" max="11021" width="32" style="3285" customWidth="1"/>
    <col min="11022" max="11022" width="7.875" style="3285" customWidth="1"/>
    <col min="11023" max="11264" width="9" style="3285"/>
    <col min="11265" max="11265" width="49.625" style="3285" customWidth="1"/>
    <col min="11266" max="11266" width="6.25" style="3285" customWidth="1"/>
    <col min="11267" max="11267" width="11.75" style="3285" customWidth="1"/>
    <col min="11268" max="11269" width="13.875" style="3285" customWidth="1"/>
    <col min="11270" max="11270" width="24" style="3285" customWidth="1"/>
    <col min="11271" max="11271" width="7.875" style="3285" customWidth="1"/>
    <col min="11272" max="11272" width="9" style="3285" customWidth="1"/>
    <col min="11273" max="11274" width="10.625" style="3285" customWidth="1"/>
    <col min="11275" max="11275" width="14.375" style="3285" customWidth="1"/>
    <col min="11276" max="11276" width="6.25" style="3285" customWidth="1"/>
    <col min="11277" max="11277" width="32" style="3285" customWidth="1"/>
    <col min="11278" max="11278" width="7.875" style="3285" customWidth="1"/>
    <col min="11279" max="11520" width="9" style="3285"/>
    <col min="11521" max="11521" width="49.625" style="3285" customWidth="1"/>
    <col min="11522" max="11522" width="6.25" style="3285" customWidth="1"/>
    <col min="11523" max="11523" width="11.75" style="3285" customWidth="1"/>
    <col min="11524" max="11525" width="13.875" style="3285" customWidth="1"/>
    <col min="11526" max="11526" width="24" style="3285" customWidth="1"/>
    <col min="11527" max="11527" width="7.875" style="3285" customWidth="1"/>
    <col min="11528" max="11528" width="9" style="3285" customWidth="1"/>
    <col min="11529" max="11530" width="10.625" style="3285" customWidth="1"/>
    <col min="11531" max="11531" width="14.375" style="3285" customWidth="1"/>
    <col min="11532" max="11532" width="6.25" style="3285" customWidth="1"/>
    <col min="11533" max="11533" width="32" style="3285" customWidth="1"/>
    <col min="11534" max="11534" width="7.875" style="3285" customWidth="1"/>
    <col min="11535" max="11776" width="9" style="3285"/>
    <col min="11777" max="11777" width="49.625" style="3285" customWidth="1"/>
    <col min="11778" max="11778" width="6.25" style="3285" customWidth="1"/>
    <col min="11779" max="11779" width="11.75" style="3285" customWidth="1"/>
    <col min="11780" max="11781" width="13.875" style="3285" customWidth="1"/>
    <col min="11782" max="11782" width="24" style="3285" customWidth="1"/>
    <col min="11783" max="11783" width="7.875" style="3285" customWidth="1"/>
    <col min="11784" max="11784" width="9" style="3285" customWidth="1"/>
    <col min="11785" max="11786" width="10.625" style="3285" customWidth="1"/>
    <col min="11787" max="11787" width="14.375" style="3285" customWidth="1"/>
    <col min="11788" max="11788" width="6.25" style="3285" customWidth="1"/>
    <col min="11789" max="11789" width="32" style="3285" customWidth="1"/>
    <col min="11790" max="11790" width="7.875" style="3285" customWidth="1"/>
    <col min="11791" max="12032" width="9" style="3285"/>
    <col min="12033" max="12033" width="49.625" style="3285" customWidth="1"/>
    <col min="12034" max="12034" width="6.25" style="3285" customWidth="1"/>
    <col min="12035" max="12035" width="11.75" style="3285" customWidth="1"/>
    <col min="12036" max="12037" width="13.875" style="3285" customWidth="1"/>
    <col min="12038" max="12038" width="24" style="3285" customWidth="1"/>
    <col min="12039" max="12039" width="7.875" style="3285" customWidth="1"/>
    <col min="12040" max="12040" width="9" style="3285" customWidth="1"/>
    <col min="12041" max="12042" width="10.625" style="3285" customWidth="1"/>
    <col min="12043" max="12043" width="14.375" style="3285" customWidth="1"/>
    <col min="12044" max="12044" width="6.25" style="3285" customWidth="1"/>
    <col min="12045" max="12045" width="32" style="3285" customWidth="1"/>
    <col min="12046" max="12046" width="7.875" style="3285" customWidth="1"/>
    <col min="12047" max="12288" width="9" style="3285"/>
    <col min="12289" max="12289" width="49.625" style="3285" customWidth="1"/>
    <col min="12290" max="12290" width="6.25" style="3285" customWidth="1"/>
    <col min="12291" max="12291" width="11.75" style="3285" customWidth="1"/>
    <col min="12292" max="12293" width="13.875" style="3285" customWidth="1"/>
    <col min="12294" max="12294" width="24" style="3285" customWidth="1"/>
    <col min="12295" max="12295" width="7.875" style="3285" customWidth="1"/>
    <col min="12296" max="12296" width="9" style="3285" customWidth="1"/>
    <col min="12297" max="12298" width="10.625" style="3285" customWidth="1"/>
    <col min="12299" max="12299" width="14.375" style="3285" customWidth="1"/>
    <col min="12300" max="12300" width="6.25" style="3285" customWidth="1"/>
    <col min="12301" max="12301" width="32" style="3285" customWidth="1"/>
    <col min="12302" max="12302" width="7.875" style="3285" customWidth="1"/>
    <col min="12303" max="12544" width="9" style="3285"/>
    <col min="12545" max="12545" width="49.625" style="3285" customWidth="1"/>
    <col min="12546" max="12546" width="6.25" style="3285" customWidth="1"/>
    <col min="12547" max="12547" width="11.75" style="3285" customWidth="1"/>
    <col min="12548" max="12549" width="13.875" style="3285" customWidth="1"/>
    <col min="12550" max="12550" width="24" style="3285" customWidth="1"/>
    <col min="12551" max="12551" width="7.875" style="3285" customWidth="1"/>
    <col min="12552" max="12552" width="9" style="3285" customWidth="1"/>
    <col min="12553" max="12554" width="10.625" style="3285" customWidth="1"/>
    <col min="12555" max="12555" width="14.375" style="3285" customWidth="1"/>
    <col min="12556" max="12556" width="6.25" style="3285" customWidth="1"/>
    <col min="12557" max="12557" width="32" style="3285" customWidth="1"/>
    <col min="12558" max="12558" width="7.875" style="3285" customWidth="1"/>
    <col min="12559" max="12800" width="9" style="3285"/>
    <col min="12801" max="12801" width="49.625" style="3285" customWidth="1"/>
    <col min="12802" max="12802" width="6.25" style="3285" customWidth="1"/>
    <col min="12803" max="12803" width="11.75" style="3285" customWidth="1"/>
    <col min="12804" max="12805" width="13.875" style="3285" customWidth="1"/>
    <col min="12806" max="12806" width="24" style="3285" customWidth="1"/>
    <col min="12807" max="12807" width="7.875" style="3285" customWidth="1"/>
    <col min="12808" max="12808" width="9" style="3285" customWidth="1"/>
    <col min="12809" max="12810" width="10.625" style="3285" customWidth="1"/>
    <col min="12811" max="12811" width="14.375" style="3285" customWidth="1"/>
    <col min="12812" max="12812" width="6.25" style="3285" customWidth="1"/>
    <col min="12813" max="12813" width="32" style="3285" customWidth="1"/>
    <col min="12814" max="12814" width="7.875" style="3285" customWidth="1"/>
    <col min="12815" max="13056" width="9" style="3285"/>
    <col min="13057" max="13057" width="49.625" style="3285" customWidth="1"/>
    <col min="13058" max="13058" width="6.25" style="3285" customWidth="1"/>
    <col min="13059" max="13059" width="11.75" style="3285" customWidth="1"/>
    <col min="13060" max="13061" width="13.875" style="3285" customWidth="1"/>
    <col min="13062" max="13062" width="24" style="3285" customWidth="1"/>
    <col min="13063" max="13063" width="7.875" style="3285" customWidth="1"/>
    <col min="13064" max="13064" width="9" style="3285" customWidth="1"/>
    <col min="13065" max="13066" width="10.625" style="3285" customWidth="1"/>
    <col min="13067" max="13067" width="14.375" style="3285" customWidth="1"/>
    <col min="13068" max="13068" width="6.25" style="3285" customWidth="1"/>
    <col min="13069" max="13069" width="32" style="3285" customWidth="1"/>
    <col min="13070" max="13070" width="7.875" style="3285" customWidth="1"/>
    <col min="13071" max="13312" width="9" style="3285"/>
    <col min="13313" max="13313" width="49.625" style="3285" customWidth="1"/>
    <col min="13314" max="13314" width="6.25" style="3285" customWidth="1"/>
    <col min="13315" max="13315" width="11.75" style="3285" customWidth="1"/>
    <col min="13316" max="13317" width="13.875" style="3285" customWidth="1"/>
    <col min="13318" max="13318" width="24" style="3285" customWidth="1"/>
    <col min="13319" max="13319" width="7.875" style="3285" customWidth="1"/>
    <col min="13320" max="13320" width="9" style="3285" customWidth="1"/>
    <col min="13321" max="13322" width="10.625" style="3285" customWidth="1"/>
    <col min="13323" max="13323" width="14.375" style="3285" customWidth="1"/>
    <col min="13324" max="13324" width="6.25" style="3285" customWidth="1"/>
    <col min="13325" max="13325" width="32" style="3285" customWidth="1"/>
    <col min="13326" max="13326" width="7.875" style="3285" customWidth="1"/>
    <col min="13327" max="13568" width="9" style="3285"/>
    <col min="13569" max="13569" width="49.625" style="3285" customWidth="1"/>
    <col min="13570" max="13570" width="6.25" style="3285" customWidth="1"/>
    <col min="13571" max="13571" width="11.75" style="3285" customWidth="1"/>
    <col min="13572" max="13573" width="13.875" style="3285" customWidth="1"/>
    <col min="13574" max="13574" width="24" style="3285" customWidth="1"/>
    <col min="13575" max="13575" width="7.875" style="3285" customWidth="1"/>
    <col min="13576" max="13576" width="9" style="3285" customWidth="1"/>
    <col min="13577" max="13578" width="10.625" style="3285" customWidth="1"/>
    <col min="13579" max="13579" width="14.375" style="3285" customWidth="1"/>
    <col min="13580" max="13580" width="6.25" style="3285" customWidth="1"/>
    <col min="13581" max="13581" width="32" style="3285" customWidth="1"/>
    <col min="13582" max="13582" width="7.875" style="3285" customWidth="1"/>
    <col min="13583" max="13824" width="9" style="3285"/>
    <col min="13825" max="13825" width="49.625" style="3285" customWidth="1"/>
    <col min="13826" max="13826" width="6.25" style="3285" customWidth="1"/>
    <col min="13827" max="13827" width="11.75" style="3285" customWidth="1"/>
    <col min="13828" max="13829" width="13.875" style="3285" customWidth="1"/>
    <col min="13830" max="13830" width="24" style="3285" customWidth="1"/>
    <col min="13831" max="13831" width="7.875" style="3285" customWidth="1"/>
    <col min="13832" max="13832" width="9" style="3285" customWidth="1"/>
    <col min="13833" max="13834" width="10.625" style="3285" customWidth="1"/>
    <col min="13835" max="13835" width="14.375" style="3285" customWidth="1"/>
    <col min="13836" max="13836" width="6.25" style="3285" customWidth="1"/>
    <col min="13837" max="13837" width="32" style="3285" customWidth="1"/>
    <col min="13838" max="13838" width="7.875" style="3285" customWidth="1"/>
    <col min="13839" max="14080" width="9" style="3285"/>
    <col min="14081" max="14081" width="49.625" style="3285" customWidth="1"/>
    <col min="14082" max="14082" width="6.25" style="3285" customWidth="1"/>
    <col min="14083" max="14083" width="11.75" style="3285" customWidth="1"/>
    <col min="14084" max="14085" width="13.875" style="3285" customWidth="1"/>
    <col min="14086" max="14086" width="24" style="3285" customWidth="1"/>
    <col min="14087" max="14087" width="7.875" style="3285" customWidth="1"/>
    <col min="14088" max="14088" width="9" style="3285" customWidth="1"/>
    <col min="14089" max="14090" width="10.625" style="3285" customWidth="1"/>
    <col min="14091" max="14091" width="14.375" style="3285" customWidth="1"/>
    <col min="14092" max="14092" width="6.25" style="3285" customWidth="1"/>
    <col min="14093" max="14093" width="32" style="3285" customWidth="1"/>
    <col min="14094" max="14094" width="7.875" style="3285" customWidth="1"/>
    <col min="14095" max="14336" width="9" style="3285"/>
    <col min="14337" max="14337" width="49.625" style="3285" customWidth="1"/>
    <col min="14338" max="14338" width="6.25" style="3285" customWidth="1"/>
    <col min="14339" max="14339" width="11.75" style="3285" customWidth="1"/>
    <col min="14340" max="14341" width="13.875" style="3285" customWidth="1"/>
    <col min="14342" max="14342" width="24" style="3285" customWidth="1"/>
    <col min="14343" max="14343" width="7.875" style="3285" customWidth="1"/>
    <col min="14344" max="14344" width="9" style="3285" customWidth="1"/>
    <col min="14345" max="14346" width="10.625" style="3285" customWidth="1"/>
    <col min="14347" max="14347" width="14.375" style="3285" customWidth="1"/>
    <col min="14348" max="14348" width="6.25" style="3285" customWidth="1"/>
    <col min="14349" max="14349" width="32" style="3285" customWidth="1"/>
    <col min="14350" max="14350" width="7.875" style="3285" customWidth="1"/>
    <col min="14351" max="14592" width="9" style="3285"/>
    <col min="14593" max="14593" width="49.625" style="3285" customWidth="1"/>
    <col min="14594" max="14594" width="6.25" style="3285" customWidth="1"/>
    <col min="14595" max="14595" width="11.75" style="3285" customWidth="1"/>
    <col min="14596" max="14597" width="13.875" style="3285" customWidth="1"/>
    <col min="14598" max="14598" width="24" style="3285" customWidth="1"/>
    <col min="14599" max="14599" width="7.875" style="3285" customWidth="1"/>
    <col min="14600" max="14600" width="9" style="3285" customWidth="1"/>
    <col min="14601" max="14602" width="10.625" style="3285" customWidth="1"/>
    <col min="14603" max="14603" width="14.375" style="3285" customWidth="1"/>
    <col min="14604" max="14604" width="6.25" style="3285" customWidth="1"/>
    <col min="14605" max="14605" width="32" style="3285" customWidth="1"/>
    <col min="14606" max="14606" width="7.875" style="3285" customWidth="1"/>
    <col min="14607" max="14848" width="9" style="3285"/>
    <col min="14849" max="14849" width="49.625" style="3285" customWidth="1"/>
    <col min="14850" max="14850" width="6.25" style="3285" customWidth="1"/>
    <col min="14851" max="14851" width="11.75" style="3285" customWidth="1"/>
    <col min="14852" max="14853" width="13.875" style="3285" customWidth="1"/>
    <col min="14854" max="14854" width="24" style="3285" customWidth="1"/>
    <col min="14855" max="14855" width="7.875" style="3285" customWidth="1"/>
    <col min="14856" max="14856" width="9" style="3285" customWidth="1"/>
    <col min="14857" max="14858" width="10.625" style="3285" customWidth="1"/>
    <col min="14859" max="14859" width="14.375" style="3285" customWidth="1"/>
    <col min="14860" max="14860" width="6.25" style="3285" customWidth="1"/>
    <col min="14861" max="14861" width="32" style="3285" customWidth="1"/>
    <col min="14862" max="14862" width="7.875" style="3285" customWidth="1"/>
    <col min="14863" max="15104" width="9" style="3285"/>
    <col min="15105" max="15105" width="49.625" style="3285" customWidth="1"/>
    <col min="15106" max="15106" width="6.25" style="3285" customWidth="1"/>
    <col min="15107" max="15107" width="11.75" style="3285" customWidth="1"/>
    <col min="15108" max="15109" width="13.875" style="3285" customWidth="1"/>
    <col min="15110" max="15110" width="24" style="3285" customWidth="1"/>
    <col min="15111" max="15111" width="7.875" style="3285" customWidth="1"/>
    <col min="15112" max="15112" width="9" style="3285" customWidth="1"/>
    <col min="15113" max="15114" width="10.625" style="3285" customWidth="1"/>
    <col min="15115" max="15115" width="14.375" style="3285" customWidth="1"/>
    <col min="15116" max="15116" width="6.25" style="3285" customWidth="1"/>
    <col min="15117" max="15117" width="32" style="3285" customWidth="1"/>
    <col min="15118" max="15118" width="7.875" style="3285" customWidth="1"/>
    <col min="15119" max="15360" width="9" style="3285"/>
    <col min="15361" max="15361" width="49.625" style="3285" customWidth="1"/>
    <col min="15362" max="15362" width="6.25" style="3285" customWidth="1"/>
    <col min="15363" max="15363" width="11.75" style="3285" customWidth="1"/>
    <col min="15364" max="15365" width="13.875" style="3285" customWidth="1"/>
    <col min="15366" max="15366" width="24" style="3285" customWidth="1"/>
    <col min="15367" max="15367" width="7.875" style="3285" customWidth="1"/>
    <col min="15368" max="15368" width="9" style="3285" customWidth="1"/>
    <col min="15369" max="15370" width="10.625" style="3285" customWidth="1"/>
    <col min="15371" max="15371" width="14.375" style="3285" customWidth="1"/>
    <col min="15372" max="15372" width="6.25" style="3285" customWidth="1"/>
    <col min="15373" max="15373" width="32" style="3285" customWidth="1"/>
    <col min="15374" max="15374" width="7.875" style="3285" customWidth="1"/>
    <col min="15375" max="15616" width="9" style="3285"/>
    <col min="15617" max="15617" width="49.625" style="3285" customWidth="1"/>
    <col min="15618" max="15618" width="6.25" style="3285" customWidth="1"/>
    <col min="15619" max="15619" width="11.75" style="3285" customWidth="1"/>
    <col min="15620" max="15621" width="13.875" style="3285" customWidth="1"/>
    <col min="15622" max="15622" width="24" style="3285" customWidth="1"/>
    <col min="15623" max="15623" width="7.875" style="3285" customWidth="1"/>
    <col min="15624" max="15624" width="9" style="3285" customWidth="1"/>
    <col min="15625" max="15626" width="10.625" style="3285" customWidth="1"/>
    <col min="15627" max="15627" width="14.375" style="3285" customWidth="1"/>
    <col min="15628" max="15628" width="6.25" style="3285" customWidth="1"/>
    <col min="15629" max="15629" width="32" style="3285" customWidth="1"/>
    <col min="15630" max="15630" width="7.875" style="3285" customWidth="1"/>
    <col min="15631" max="15872" width="9" style="3285"/>
    <col min="15873" max="15873" width="49.625" style="3285" customWidth="1"/>
    <col min="15874" max="15874" width="6.25" style="3285" customWidth="1"/>
    <col min="15875" max="15875" width="11.75" style="3285" customWidth="1"/>
    <col min="15876" max="15877" width="13.875" style="3285" customWidth="1"/>
    <col min="15878" max="15878" width="24" style="3285" customWidth="1"/>
    <col min="15879" max="15879" width="7.875" style="3285" customWidth="1"/>
    <col min="15880" max="15880" width="9" style="3285" customWidth="1"/>
    <col min="15881" max="15882" width="10.625" style="3285" customWidth="1"/>
    <col min="15883" max="15883" width="14.375" style="3285" customWidth="1"/>
    <col min="15884" max="15884" width="6.25" style="3285" customWidth="1"/>
    <col min="15885" max="15885" width="32" style="3285" customWidth="1"/>
    <col min="15886" max="15886" width="7.875" style="3285" customWidth="1"/>
    <col min="15887" max="16128" width="9" style="3285"/>
    <col min="16129" max="16129" width="49.625" style="3285" customWidth="1"/>
    <col min="16130" max="16130" width="6.25" style="3285" customWidth="1"/>
    <col min="16131" max="16131" width="11.75" style="3285" customWidth="1"/>
    <col min="16132" max="16133" width="13.875" style="3285" customWidth="1"/>
    <col min="16134" max="16134" width="24" style="3285" customWidth="1"/>
    <col min="16135" max="16135" width="7.875" style="3285" customWidth="1"/>
    <col min="16136" max="16136" width="9" style="3285" customWidth="1"/>
    <col min="16137" max="16138" width="10.625" style="3285" customWidth="1"/>
    <col min="16139" max="16139" width="14.375" style="3285" customWidth="1"/>
    <col min="16140" max="16140" width="6.25" style="3285" customWidth="1"/>
    <col min="16141" max="16141" width="32" style="3285" customWidth="1"/>
    <col min="16142" max="16142" width="7.875" style="3285" customWidth="1"/>
    <col min="16143" max="16384" width="9" style="3285"/>
  </cols>
  <sheetData>
    <row r="1" spans="1:14">
      <c r="A1" s="3285" t="s">
        <v>3072</v>
      </c>
      <c r="B1" s="3285" t="s">
        <v>3073</v>
      </c>
      <c r="C1" s="3285" t="s">
        <v>3074</v>
      </c>
      <c r="D1" s="3285" t="s">
        <v>3075</v>
      </c>
      <c r="E1" s="3285" t="s">
        <v>3076</v>
      </c>
      <c r="F1" s="3285" t="s">
        <v>3077</v>
      </c>
      <c r="G1" s="3285" t="s">
        <v>3078</v>
      </c>
      <c r="H1" s="3285" t="s">
        <v>3079</v>
      </c>
      <c r="I1" s="3285" t="s">
        <v>3080</v>
      </c>
      <c r="J1" s="3285" t="s">
        <v>3081</v>
      </c>
      <c r="K1" s="3285" t="s">
        <v>3082</v>
      </c>
      <c r="L1" s="3285" t="s">
        <v>3083</v>
      </c>
      <c r="M1" s="3285" t="s">
        <v>3084</v>
      </c>
      <c r="N1" s="3285" t="s">
        <v>3085</v>
      </c>
    </row>
    <row r="2" spans="1:14" hidden="1">
      <c r="A2" s="3285" t="s">
        <v>3086</v>
      </c>
      <c r="B2" s="3285" t="s">
        <v>3087</v>
      </c>
      <c r="C2" s="3285" t="s">
        <v>3088</v>
      </c>
      <c r="D2" s="3285">
        <v>7433.9</v>
      </c>
      <c r="E2" s="3285">
        <v>14867.8</v>
      </c>
      <c r="F2" s="3285" t="s">
        <v>3089</v>
      </c>
      <c r="G2" s="3285" t="s">
        <v>3090</v>
      </c>
      <c r="H2" s="3285" t="s">
        <v>3091</v>
      </c>
      <c r="I2" s="3285">
        <v>2750</v>
      </c>
      <c r="J2" s="3285">
        <v>2999</v>
      </c>
      <c r="K2" s="3285">
        <v>2017.1</v>
      </c>
      <c r="L2" s="3285">
        <v>9.0500000000000007</v>
      </c>
      <c r="M2" s="3285" t="s">
        <v>3092</v>
      </c>
      <c r="N2" s="3285" t="s">
        <v>3093</v>
      </c>
    </row>
    <row r="3" spans="1:14" hidden="1">
      <c r="A3" s="3285" t="s">
        <v>3094</v>
      </c>
      <c r="B3" s="3285" t="s">
        <v>3087</v>
      </c>
      <c r="C3" s="3285" t="s">
        <v>3088</v>
      </c>
      <c r="D3" s="3285">
        <v>21510.61</v>
      </c>
      <c r="E3" s="3285">
        <v>60229.71</v>
      </c>
      <c r="F3" s="3285" t="s">
        <v>3095</v>
      </c>
      <c r="G3" s="3285" t="s">
        <v>3090</v>
      </c>
      <c r="H3" s="3285" t="s">
        <v>3096</v>
      </c>
      <c r="I3" s="3285">
        <v>7000</v>
      </c>
      <c r="J3" s="3285">
        <v>13000</v>
      </c>
      <c r="K3" s="3285">
        <v>2158.4</v>
      </c>
      <c r="L3" s="3285">
        <v>85.71</v>
      </c>
      <c r="M3" s="3285" t="s">
        <v>3097</v>
      </c>
      <c r="N3" s="3285" t="s">
        <v>3093</v>
      </c>
    </row>
    <row r="4" spans="1:14" hidden="1">
      <c r="A4" s="3285" t="s">
        <v>3094</v>
      </c>
      <c r="B4" s="3285" t="s">
        <v>3087</v>
      </c>
      <c r="C4" s="3285" t="s">
        <v>3088</v>
      </c>
      <c r="D4" s="3285">
        <v>52131.09</v>
      </c>
      <c r="E4" s="3285">
        <v>145967.04999999999</v>
      </c>
      <c r="F4" s="3285" t="s">
        <v>3095</v>
      </c>
      <c r="G4" s="3285" t="s">
        <v>3090</v>
      </c>
      <c r="H4" s="3285" t="s">
        <v>3096</v>
      </c>
      <c r="I4" s="3285">
        <v>21200</v>
      </c>
      <c r="J4" s="3285">
        <v>32000</v>
      </c>
      <c r="K4" s="3285">
        <v>2192.2800000000002</v>
      </c>
      <c r="L4" s="3285">
        <v>50.94</v>
      </c>
      <c r="M4" s="3285" t="s">
        <v>3098</v>
      </c>
      <c r="N4" s="3285" t="s">
        <v>3093</v>
      </c>
    </row>
    <row r="5" spans="1:14" hidden="1">
      <c r="A5" s="3285" t="s">
        <v>3094</v>
      </c>
      <c r="B5" s="3285" t="s">
        <v>3087</v>
      </c>
      <c r="C5" s="3285" t="s">
        <v>3088</v>
      </c>
      <c r="D5" s="3285">
        <v>59128.43</v>
      </c>
      <c r="E5" s="3285">
        <v>165559.6</v>
      </c>
      <c r="F5" s="3285" t="s">
        <v>3095</v>
      </c>
      <c r="G5" s="3285" t="s">
        <v>3090</v>
      </c>
      <c r="H5" s="3285" t="s">
        <v>3096</v>
      </c>
      <c r="I5" s="3285">
        <v>24000</v>
      </c>
      <c r="J5" s="3285">
        <v>37600</v>
      </c>
      <c r="K5" s="3285">
        <v>2271.09</v>
      </c>
      <c r="L5" s="3285">
        <v>56.67</v>
      </c>
      <c r="M5" s="3285" t="s">
        <v>3098</v>
      </c>
      <c r="N5" s="3285" t="s">
        <v>3093</v>
      </c>
    </row>
    <row r="6" spans="1:14" hidden="1">
      <c r="A6" s="3285" t="s">
        <v>3094</v>
      </c>
      <c r="B6" s="3285" t="s">
        <v>3087</v>
      </c>
      <c r="C6" s="3285" t="s">
        <v>3088</v>
      </c>
      <c r="D6" s="3285">
        <v>34702.46</v>
      </c>
      <c r="E6" s="3285">
        <v>97166.89</v>
      </c>
      <c r="F6" s="3285" t="s">
        <v>3095</v>
      </c>
      <c r="G6" s="3285" t="s">
        <v>3090</v>
      </c>
      <c r="H6" s="3285" t="s">
        <v>3096</v>
      </c>
      <c r="I6" s="3285">
        <v>14100</v>
      </c>
      <c r="J6" s="3285">
        <v>15700</v>
      </c>
      <c r="K6" s="3285">
        <v>1615.77</v>
      </c>
      <c r="L6" s="3285">
        <v>11.35</v>
      </c>
      <c r="M6" s="3285" t="s">
        <v>3098</v>
      </c>
      <c r="N6" s="3285" t="s">
        <v>3093</v>
      </c>
    </row>
    <row r="7" spans="1:14" hidden="1">
      <c r="A7" s="3285" t="s">
        <v>3094</v>
      </c>
      <c r="B7" s="3285" t="s">
        <v>3087</v>
      </c>
      <c r="C7" s="3285" t="s">
        <v>3088</v>
      </c>
      <c r="D7" s="3285">
        <v>26573.25</v>
      </c>
      <c r="E7" s="3285">
        <v>74405.100000000006</v>
      </c>
      <c r="F7" s="3285" t="s">
        <v>3095</v>
      </c>
      <c r="G7" s="3285" t="s">
        <v>3090</v>
      </c>
      <c r="H7" s="3285" t="s">
        <v>3096</v>
      </c>
      <c r="I7" s="3285">
        <v>10100</v>
      </c>
      <c r="J7" s="3285">
        <v>13400</v>
      </c>
      <c r="K7" s="3285">
        <v>1800.95</v>
      </c>
      <c r="L7" s="3285">
        <v>32.67</v>
      </c>
      <c r="M7" s="3285" t="s">
        <v>3099</v>
      </c>
      <c r="N7" s="3285" t="s">
        <v>3093</v>
      </c>
    </row>
    <row r="8" spans="1:14" s="3286" customFormat="1">
      <c r="A8" s="3291" t="s">
        <v>3322</v>
      </c>
      <c r="B8" s="3286" t="s">
        <v>3087</v>
      </c>
      <c r="C8" s="3286" t="s">
        <v>3101</v>
      </c>
      <c r="D8" s="3286">
        <v>5714.42</v>
      </c>
      <c r="E8" s="3286">
        <v>27429.22</v>
      </c>
      <c r="F8" s="3286" t="s">
        <v>3102</v>
      </c>
      <c r="G8" s="3286" t="s">
        <v>3103</v>
      </c>
      <c r="H8" s="3286" t="s">
        <v>3104</v>
      </c>
      <c r="I8" s="3286">
        <v>2240</v>
      </c>
      <c r="J8" s="3286">
        <v>2520</v>
      </c>
      <c r="K8" s="3286">
        <v>918.73</v>
      </c>
      <c r="L8" s="3286">
        <v>12.5</v>
      </c>
      <c r="M8" s="3286" t="s">
        <v>3105</v>
      </c>
      <c r="N8" s="3286" t="s">
        <v>3106</v>
      </c>
    </row>
    <row r="9" spans="1:14" hidden="1">
      <c r="A9" s="3285" t="s">
        <v>3100</v>
      </c>
      <c r="B9" s="3285" t="s">
        <v>3087</v>
      </c>
      <c r="C9" s="3285" t="s">
        <v>3088</v>
      </c>
      <c r="D9" s="3285">
        <v>19273.11</v>
      </c>
      <c r="E9" s="3285">
        <v>83838.03</v>
      </c>
      <c r="F9" s="3285" t="s">
        <v>3107</v>
      </c>
      <c r="G9" s="3285" t="s">
        <v>3103</v>
      </c>
      <c r="H9" s="3285" t="s">
        <v>3104</v>
      </c>
      <c r="I9" s="3285">
        <v>7690</v>
      </c>
      <c r="J9" s="3285">
        <v>8380</v>
      </c>
      <c r="K9" s="3285">
        <v>999.54</v>
      </c>
      <c r="L9" s="3285">
        <v>8.9700000000000006</v>
      </c>
      <c r="M9" s="3285" t="s">
        <v>3105</v>
      </c>
      <c r="N9" s="3285" t="s">
        <v>3106</v>
      </c>
    </row>
    <row r="10" spans="1:14" hidden="1">
      <c r="A10" s="3285" t="s">
        <v>3108</v>
      </c>
      <c r="B10" s="3285" t="s">
        <v>3087</v>
      </c>
      <c r="C10" s="3285" t="s">
        <v>3088</v>
      </c>
      <c r="D10" s="3285">
        <v>18309.91</v>
      </c>
      <c r="E10" s="3285">
        <v>53098.74</v>
      </c>
      <c r="F10" s="3285" t="s">
        <v>3109</v>
      </c>
      <c r="G10" s="3285" t="s">
        <v>3103</v>
      </c>
      <c r="H10" s="3285" t="s">
        <v>3110</v>
      </c>
      <c r="I10" s="3285">
        <v>7553</v>
      </c>
      <c r="J10" s="3285">
        <v>8243</v>
      </c>
      <c r="K10" s="3285">
        <v>1552.39</v>
      </c>
      <c r="L10" s="3285">
        <v>9.14</v>
      </c>
      <c r="M10" s="3285" t="s">
        <v>3092</v>
      </c>
      <c r="N10" s="3285" t="s">
        <v>3093</v>
      </c>
    </row>
    <row r="11" spans="1:14" hidden="1">
      <c r="A11" s="3285" t="s">
        <v>3111</v>
      </c>
      <c r="B11" s="3285" t="s">
        <v>3087</v>
      </c>
      <c r="C11" s="3285" t="s">
        <v>3088</v>
      </c>
      <c r="D11" s="3285">
        <v>19692.71</v>
      </c>
      <c r="E11" s="3285">
        <v>59078.13</v>
      </c>
      <c r="F11" s="3285" t="s">
        <v>3112</v>
      </c>
      <c r="G11" s="3285" t="s">
        <v>3103</v>
      </c>
      <c r="H11" s="3285" t="s">
        <v>3110</v>
      </c>
      <c r="I11" s="3285">
        <v>6894.69</v>
      </c>
      <c r="J11" s="3285">
        <v>7515.69</v>
      </c>
      <c r="K11" s="3285">
        <v>1272.1600000000001</v>
      </c>
      <c r="L11" s="3285">
        <v>9.01</v>
      </c>
      <c r="M11" s="3285" t="s">
        <v>3113</v>
      </c>
      <c r="N11" s="3285" t="s">
        <v>3114</v>
      </c>
    </row>
    <row r="12" spans="1:14" hidden="1">
      <c r="A12" s="3285" t="s">
        <v>3111</v>
      </c>
      <c r="B12" s="3285" t="s">
        <v>3087</v>
      </c>
      <c r="C12" s="3285" t="s">
        <v>3088</v>
      </c>
      <c r="D12" s="3285">
        <v>17278.580000000002</v>
      </c>
      <c r="E12" s="3285">
        <v>51835.74</v>
      </c>
      <c r="F12" s="3285" t="s">
        <v>3112</v>
      </c>
      <c r="G12" s="3285" t="s">
        <v>3103</v>
      </c>
      <c r="H12" s="3285" t="s">
        <v>3110</v>
      </c>
      <c r="I12" s="3285">
        <v>6126</v>
      </c>
      <c r="J12" s="3285">
        <v>6678</v>
      </c>
      <c r="K12" s="3285">
        <v>1288.29</v>
      </c>
      <c r="L12" s="3285">
        <v>9.01</v>
      </c>
      <c r="M12" s="3285" t="s">
        <v>3113</v>
      </c>
      <c r="N12" s="3285" t="s">
        <v>3114</v>
      </c>
    </row>
    <row r="13" spans="1:14" s="3287" customFormat="1">
      <c r="A13" s="3287" t="s">
        <v>3108</v>
      </c>
      <c r="B13" s="3287" t="s">
        <v>3087</v>
      </c>
      <c r="C13" s="3287" t="s">
        <v>3101</v>
      </c>
      <c r="D13" s="3287">
        <v>40928.17</v>
      </c>
      <c r="E13" s="3287">
        <v>163712.68</v>
      </c>
      <c r="F13" s="3287" t="s">
        <v>3115</v>
      </c>
      <c r="G13" s="3287" t="s">
        <v>3103</v>
      </c>
      <c r="H13" s="3287" t="s">
        <v>3116</v>
      </c>
      <c r="I13" s="3287">
        <v>12862</v>
      </c>
      <c r="J13" s="3287">
        <v>14020</v>
      </c>
      <c r="K13" s="3287">
        <v>856.37</v>
      </c>
      <c r="L13" s="3287">
        <v>9</v>
      </c>
      <c r="M13" s="3287" t="s">
        <v>3117</v>
      </c>
      <c r="N13" s="3287" t="s">
        <v>3093</v>
      </c>
    </row>
    <row r="14" spans="1:14" s="3286" customFormat="1">
      <c r="A14" s="3291" t="s">
        <v>3323</v>
      </c>
      <c r="B14" s="3286" t="s">
        <v>3087</v>
      </c>
      <c r="C14" s="3286" t="s">
        <v>3101</v>
      </c>
      <c r="D14" s="3286">
        <v>50386.9</v>
      </c>
      <c r="E14" s="3286">
        <v>100773.8</v>
      </c>
      <c r="F14" s="3286" t="s">
        <v>3118</v>
      </c>
      <c r="G14" s="3286" t="s">
        <v>3103</v>
      </c>
      <c r="H14" s="3286" t="s">
        <v>3116</v>
      </c>
      <c r="I14" s="3286">
        <v>11912</v>
      </c>
      <c r="J14" s="3286">
        <v>12986</v>
      </c>
      <c r="K14" s="3286">
        <v>1288.6300000000001</v>
      </c>
      <c r="L14" s="3286">
        <v>9.02</v>
      </c>
      <c r="M14" s="3286" t="s">
        <v>3117</v>
      </c>
      <c r="N14" s="3286" t="s">
        <v>3093</v>
      </c>
    </row>
    <row r="15" spans="1:14" hidden="1">
      <c r="A15" s="3285" t="s">
        <v>3119</v>
      </c>
      <c r="B15" s="3285" t="s">
        <v>3087</v>
      </c>
      <c r="C15" s="3285" t="s">
        <v>3120</v>
      </c>
      <c r="D15" s="3285">
        <v>92539</v>
      </c>
      <c r="E15" s="3285">
        <v>74031.199999999997</v>
      </c>
      <c r="F15" s="3285" t="s">
        <v>3121</v>
      </c>
      <c r="G15" s="3285" t="s">
        <v>3122</v>
      </c>
      <c r="H15" s="3285" t="s">
        <v>3123</v>
      </c>
      <c r="I15" s="3285" t="s">
        <v>1326</v>
      </c>
      <c r="J15" s="3285">
        <v>3764</v>
      </c>
      <c r="K15" s="3285">
        <v>508.43</v>
      </c>
      <c r="L15" s="3285" t="s">
        <v>1326</v>
      </c>
      <c r="M15" s="3285" t="s">
        <v>3124</v>
      </c>
      <c r="N15" s="3285" t="s">
        <v>3125</v>
      </c>
    </row>
    <row r="16" spans="1:14" s="3286" customFormat="1">
      <c r="A16" s="3286" t="s">
        <v>3324</v>
      </c>
      <c r="B16" s="3286" t="s">
        <v>3087</v>
      </c>
      <c r="C16" s="3286" t="s">
        <v>3101</v>
      </c>
      <c r="D16" s="3286">
        <v>11716.14</v>
      </c>
      <c r="E16" s="3286">
        <v>9372.91</v>
      </c>
      <c r="F16" s="3286" t="s">
        <v>3126</v>
      </c>
      <c r="G16" s="3286" t="s">
        <v>3103</v>
      </c>
      <c r="H16" s="3286" t="s">
        <v>3127</v>
      </c>
      <c r="I16" s="3286">
        <v>1177</v>
      </c>
      <c r="J16" s="3286">
        <v>1204</v>
      </c>
      <c r="K16" s="3286">
        <v>1284.54</v>
      </c>
      <c r="L16" s="3286">
        <v>2.29</v>
      </c>
      <c r="M16" s="3286" t="s">
        <v>3128</v>
      </c>
      <c r="N16" s="3286" t="s">
        <v>3114</v>
      </c>
    </row>
    <row r="17" spans="1:14">
      <c r="A17" s="3285" t="s">
        <v>3129</v>
      </c>
      <c r="B17" s="3285" t="s">
        <v>3087</v>
      </c>
      <c r="C17" s="3285" t="s">
        <v>3130</v>
      </c>
      <c r="D17" s="3285">
        <v>55288</v>
      </c>
      <c r="E17" s="3285">
        <v>22115.200000000001</v>
      </c>
      <c r="F17" s="3285" t="s">
        <v>3131</v>
      </c>
      <c r="G17" s="3285" t="s">
        <v>3103</v>
      </c>
      <c r="H17" s="3285" t="s">
        <v>3132</v>
      </c>
      <c r="I17" s="3285">
        <v>5080</v>
      </c>
      <c r="J17" s="3285">
        <v>5480</v>
      </c>
      <c r="K17" s="3285">
        <v>2477.92</v>
      </c>
      <c r="L17" s="3285">
        <v>7.87</v>
      </c>
      <c r="M17" s="3285" t="s">
        <v>3133</v>
      </c>
      <c r="N17" s="3285" t="s">
        <v>3125</v>
      </c>
    </row>
    <row r="18" spans="1:14">
      <c r="A18" s="3285" t="s">
        <v>3134</v>
      </c>
      <c r="B18" s="3285" t="s">
        <v>3087</v>
      </c>
      <c r="C18" s="3285" t="s">
        <v>3101</v>
      </c>
      <c r="D18" s="3285">
        <v>7531</v>
      </c>
      <c r="E18" s="3285">
        <v>21086.799999999999</v>
      </c>
      <c r="F18" s="3285" t="s">
        <v>3135</v>
      </c>
      <c r="G18" s="3285" t="s">
        <v>3103</v>
      </c>
      <c r="H18" s="3285" t="s">
        <v>3136</v>
      </c>
      <c r="I18" s="3285">
        <v>1810</v>
      </c>
      <c r="J18" s="3285">
        <v>1975</v>
      </c>
      <c r="K18" s="3285">
        <v>936.6</v>
      </c>
      <c r="L18" s="3285">
        <v>9.1199999999999992</v>
      </c>
      <c r="M18" s="3285" t="s">
        <v>3137</v>
      </c>
      <c r="N18" s="3285" t="s">
        <v>3114</v>
      </c>
    </row>
    <row r="19" spans="1:14" hidden="1">
      <c r="A19" s="3285" t="s">
        <v>3138</v>
      </c>
      <c r="B19" s="3285" t="s">
        <v>3087</v>
      </c>
      <c r="C19" s="3285" t="s">
        <v>3120</v>
      </c>
      <c r="D19" s="3285">
        <v>22526.01</v>
      </c>
      <c r="E19" s="3285">
        <v>22526.01</v>
      </c>
      <c r="F19" s="3285" t="s">
        <v>3139</v>
      </c>
      <c r="G19" s="3285" t="s">
        <v>3103</v>
      </c>
      <c r="H19" s="3285" t="s">
        <v>3140</v>
      </c>
      <c r="I19" s="3285" t="s">
        <v>1326</v>
      </c>
      <c r="J19" s="3285">
        <v>1141</v>
      </c>
      <c r="K19" s="3285">
        <v>506.52</v>
      </c>
      <c r="L19" s="3285" t="s">
        <v>1326</v>
      </c>
      <c r="M19" s="3285" t="s">
        <v>3141</v>
      </c>
      <c r="N19" s="3285" t="s">
        <v>3125</v>
      </c>
    </row>
    <row r="20" spans="1:14" hidden="1">
      <c r="A20" s="3285" t="s">
        <v>3142</v>
      </c>
      <c r="B20" s="3285" t="s">
        <v>3087</v>
      </c>
      <c r="C20" s="3285" t="s">
        <v>3088</v>
      </c>
      <c r="D20" s="3285">
        <v>16700</v>
      </c>
      <c r="E20" s="3285">
        <v>42251</v>
      </c>
      <c r="F20" s="3285" t="s">
        <v>3143</v>
      </c>
      <c r="G20" s="3285" t="s">
        <v>3103</v>
      </c>
      <c r="H20" s="3285" t="s">
        <v>3144</v>
      </c>
      <c r="I20" s="3285">
        <v>1654</v>
      </c>
      <c r="J20" s="3285">
        <v>1667</v>
      </c>
      <c r="K20" s="3285">
        <v>394.55</v>
      </c>
      <c r="L20" s="3285">
        <v>0.79</v>
      </c>
      <c r="M20" s="3285" t="s">
        <v>3145</v>
      </c>
      <c r="N20" s="3285" t="s">
        <v>3146</v>
      </c>
    </row>
    <row r="21" spans="1:14" hidden="1">
      <c r="A21" s="3285" t="s">
        <v>3147</v>
      </c>
      <c r="B21" s="3285" t="s">
        <v>3087</v>
      </c>
      <c r="C21" s="3285" t="s">
        <v>3120</v>
      </c>
      <c r="D21" s="3285">
        <v>111247</v>
      </c>
      <c r="E21" s="3285">
        <v>111247</v>
      </c>
      <c r="F21" s="3285" t="s">
        <v>3139</v>
      </c>
      <c r="G21" s="3285" t="s">
        <v>3103</v>
      </c>
      <c r="H21" s="3285" t="s">
        <v>3148</v>
      </c>
      <c r="I21" s="3285" t="s">
        <v>1326</v>
      </c>
      <c r="J21" s="3285">
        <v>9050</v>
      </c>
      <c r="K21" s="3285">
        <v>813.5</v>
      </c>
      <c r="L21" s="3285" t="s">
        <v>1326</v>
      </c>
      <c r="M21" s="3285" t="s">
        <v>3149</v>
      </c>
      <c r="N21" s="3285" t="s">
        <v>3125</v>
      </c>
    </row>
    <row r="22" spans="1:14" hidden="1">
      <c r="A22" s="3285" t="s">
        <v>3147</v>
      </c>
      <c r="B22" s="3285" t="s">
        <v>3087</v>
      </c>
      <c r="C22" s="3285" t="s">
        <v>3120</v>
      </c>
      <c r="D22" s="3285">
        <v>36621</v>
      </c>
      <c r="E22" s="3285">
        <v>36621</v>
      </c>
      <c r="F22" s="3285" t="s">
        <v>3139</v>
      </c>
      <c r="G22" s="3285" t="s">
        <v>3103</v>
      </c>
      <c r="H22" s="3285" t="s">
        <v>3148</v>
      </c>
      <c r="I22" s="3285" t="s">
        <v>1326</v>
      </c>
      <c r="J22" s="3285">
        <v>2950</v>
      </c>
      <c r="K22" s="3285">
        <v>805.54</v>
      </c>
      <c r="L22" s="3285" t="s">
        <v>1326</v>
      </c>
      <c r="M22" s="3285" t="s">
        <v>3150</v>
      </c>
      <c r="N22" s="3285" t="s">
        <v>3125</v>
      </c>
    </row>
    <row r="23" spans="1:14" hidden="1">
      <c r="A23" s="3285" t="s">
        <v>3151</v>
      </c>
      <c r="B23" s="3285" t="s">
        <v>3087</v>
      </c>
      <c r="C23" s="3285" t="s">
        <v>3120</v>
      </c>
      <c r="D23" s="3285">
        <v>147134</v>
      </c>
      <c r="E23" s="3285">
        <v>147134</v>
      </c>
      <c r="F23" s="3285" t="s">
        <v>3139</v>
      </c>
      <c r="G23" s="3285" t="s">
        <v>3103</v>
      </c>
      <c r="H23" s="3285" t="s">
        <v>3148</v>
      </c>
      <c r="I23" s="3285" t="s">
        <v>1326</v>
      </c>
      <c r="J23" s="3285">
        <v>7950</v>
      </c>
      <c r="K23" s="3285">
        <v>540.32000000000005</v>
      </c>
      <c r="L23" s="3285" t="s">
        <v>1326</v>
      </c>
      <c r="M23" s="3285" t="s">
        <v>3152</v>
      </c>
      <c r="N23" s="3285" t="s">
        <v>3125</v>
      </c>
    </row>
    <row r="24" spans="1:14" hidden="1">
      <c r="A24" s="3285" t="s">
        <v>3147</v>
      </c>
      <c r="B24" s="3285" t="s">
        <v>3087</v>
      </c>
      <c r="C24" s="3285" t="s">
        <v>3120</v>
      </c>
      <c r="D24" s="3285">
        <v>22155</v>
      </c>
      <c r="E24" s="3285">
        <v>15508.5</v>
      </c>
      <c r="F24" s="3285" t="s">
        <v>3153</v>
      </c>
      <c r="G24" s="3285" t="s">
        <v>3103</v>
      </c>
      <c r="H24" s="3285" t="s">
        <v>3148</v>
      </c>
      <c r="I24" s="3285" t="s">
        <v>1326</v>
      </c>
      <c r="J24" s="3285">
        <v>1800</v>
      </c>
      <c r="K24" s="3285">
        <v>1160.6500000000001</v>
      </c>
      <c r="L24" s="3285" t="s">
        <v>1326</v>
      </c>
      <c r="M24" s="3285" t="s">
        <v>3154</v>
      </c>
      <c r="N24" s="3285" t="s">
        <v>3125</v>
      </c>
    </row>
    <row r="25" spans="1:14" hidden="1">
      <c r="A25" s="3285" t="s">
        <v>3147</v>
      </c>
      <c r="B25" s="3285" t="s">
        <v>3087</v>
      </c>
      <c r="C25" s="3285" t="s">
        <v>3120</v>
      </c>
      <c r="D25" s="3285">
        <v>170166</v>
      </c>
      <c r="E25" s="3285">
        <v>119116.2</v>
      </c>
      <c r="F25" s="3285" t="s">
        <v>3153</v>
      </c>
      <c r="G25" s="3285" t="s">
        <v>3103</v>
      </c>
      <c r="H25" s="3285" t="s">
        <v>3148</v>
      </c>
      <c r="I25" s="3285" t="s">
        <v>1326</v>
      </c>
      <c r="J25" s="3285">
        <v>13850</v>
      </c>
      <c r="K25" s="3285">
        <v>1162.73</v>
      </c>
      <c r="L25" s="3285" t="s">
        <v>1326</v>
      </c>
      <c r="M25" s="3285" t="s">
        <v>3155</v>
      </c>
      <c r="N25" s="3285" t="s">
        <v>3125</v>
      </c>
    </row>
    <row r="26" spans="1:14" hidden="1">
      <c r="A26" s="3285" t="s">
        <v>3147</v>
      </c>
      <c r="B26" s="3285" t="s">
        <v>3087</v>
      </c>
      <c r="C26" s="3285" t="s">
        <v>3120</v>
      </c>
      <c r="D26" s="3285">
        <v>16144</v>
      </c>
      <c r="E26" s="3285">
        <v>11300.8</v>
      </c>
      <c r="F26" s="3285" t="s">
        <v>3153</v>
      </c>
      <c r="G26" s="3285" t="s">
        <v>3103</v>
      </c>
      <c r="H26" s="3285" t="s">
        <v>3148</v>
      </c>
      <c r="I26" s="3285" t="s">
        <v>1326</v>
      </c>
      <c r="J26" s="3285">
        <v>1300</v>
      </c>
      <c r="K26" s="3285">
        <v>1150.3499999999999</v>
      </c>
      <c r="L26" s="3285" t="s">
        <v>1326</v>
      </c>
      <c r="M26" s="3285" t="s">
        <v>3156</v>
      </c>
      <c r="N26" s="3285" t="s">
        <v>3125</v>
      </c>
    </row>
    <row r="27" spans="1:14" hidden="1">
      <c r="A27" s="3285" t="s">
        <v>3151</v>
      </c>
      <c r="B27" s="3285" t="s">
        <v>3087</v>
      </c>
      <c r="C27" s="3285" t="s">
        <v>3120</v>
      </c>
      <c r="D27" s="3285">
        <v>79513</v>
      </c>
      <c r="E27" s="3285">
        <v>79513</v>
      </c>
      <c r="F27" s="3285" t="s">
        <v>3139</v>
      </c>
      <c r="G27" s="3285" t="s">
        <v>3103</v>
      </c>
      <c r="H27" s="3285" t="s">
        <v>3148</v>
      </c>
      <c r="I27" s="3285" t="s">
        <v>1326</v>
      </c>
      <c r="J27" s="3285">
        <v>4300</v>
      </c>
      <c r="K27" s="3285">
        <v>540.78</v>
      </c>
      <c r="L27" s="3285" t="s">
        <v>1326</v>
      </c>
      <c r="M27" s="3285" t="s">
        <v>3152</v>
      </c>
      <c r="N27" s="3285" t="s">
        <v>3125</v>
      </c>
    </row>
    <row r="28" spans="1:14" hidden="1">
      <c r="A28" s="3285" t="s">
        <v>3157</v>
      </c>
      <c r="B28" s="3285" t="s">
        <v>3087</v>
      </c>
      <c r="C28" s="3285" t="s">
        <v>3120</v>
      </c>
      <c r="D28" s="3285">
        <v>3216.13</v>
      </c>
      <c r="E28" s="3285">
        <v>1929.68</v>
      </c>
      <c r="F28" s="3285" t="s">
        <v>3158</v>
      </c>
      <c r="G28" s="3285" t="s">
        <v>3103</v>
      </c>
      <c r="H28" s="3285" t="s">
        <v>3159</v>
      </c>
      <c r="I28" s="3285">
        <v>25</v>
      </c>
      <c r="J28" s="3285">
        <v>125</v>
      </c>
      <c r="K28" s="3285">
        <v>647.77</v>
      </c>
      <c r="L28" s="3285">
        <v>400</v>
      </c>
      <c r="M28" s="3285" t="s">
        <v>3160</v>
      </c>
      <c r="N28" s="3285" t="s">
        <v>3125</v>
      </c>
    </row>
    <row r="29" spans="1:14" hidden="1">
      <c r="A29" s="3285" t="s">
        <v>3161</v>
      </c>
      <c r="B29" s="3285" t="s">
        <v>3087</v>
      </c>
      <c r="C29" s="3285" t="s">
        <v>3088</v>
      </c>
      <c r="D29" s="3285">
        <v>23914.21</v>
      </c>
      <c r="E29" s="3285">
        <v>83699.740000000005</v>
      </c>
      <c r="F29" s="3285" t="s">
        <v>3162</v>
      </c>
      <c r="G29" s="3285" t="s">
        <v>3103</v>
      </c>
      <c r="H29" s="3285" t="s">
        <v>3163</v>
      </c>
      <c r="I29" s="3285">
        <v>9000</v>
      </c>
      <c r="J29" s="3285">
        <v>9540</v>
      </c>
      <c r="K29" s="3285">
        <v>1139.78</v>
      </c>
      <c r="L29" s="3285">
        <v>6</v>
      </c>
      <c r="M29" s="3285" t="s">
        <v>3164</v>
      </c>
      <c r="N29" s="3285" t="s">
        <v>3114</v>
      </c>
    </row>
    <row r="30" spans="1:14" hidden="1">
      <c r="A30" s="3285" t="s">
        <v>3161</v>
      </c>
      <c r="B30" s="3285" t="s">
        <v>3087</v>
      </c>
      <c r="C30" s="3285" t="s">
        <v>3088</v>
      </c>
      <c r="D30" s="3285">
        <v>24995</v>
      </c>
      <c r="E30" s="3285">
        <v>84983</v>
      </c>
      <c r="F30" s="3285" t="s">
        <v>3165</v>
      </c>
      <c r="G30" s="3285" t="s">
        <v>3103</v>
      </c>
      <c r="H30" s="3285" t="s">
        <v>3163</v>
      </c>
      <c r="I30" s="3285">
        <v>8800</v>
      </c>
      <c r="J30" s="3285">
        <v>9330</v>
      </c>
      <c r="K30" s="3285">
        <v>1097.8599999999999</v>
      </c>
      <c r="L30" s="3285">
        <v>6.02</v>
      </c>
      <c r="M30" s="3285" t="s">
        <v>3164</v>
      </c>
      <c r="N30" s="3285" t="s">
        <v>3114</v>
      </c>
    </row>
    <row r="31" spans="1:14" hidden="1">
      <c r="A31" s="3285" t="s">
        <v>3151</v>
      </c>
      <c r="B31" s="3285" t="s">
        <v>3087</v>
      </c>
      <c r="C31" s="3285" t="s">
        <v>3120</v>
      </c>
      <c r="D31" s="3285">
        <v>77119</v>
      </c>
      <c r="E31" s="3285">
        <v>154238</v>
      </c>
      <c r="F31" s="3285" t="s">
        <v>3118</v>
      </c>
      <c r="G31" s="3285" t="s">
        <v>3103</v>
      </c>
      <c r="H31" s="3285" t="s">
        <v>3166</v>
      </c>
      <c r="I31" s="3285" t="s">
        <v>1326</v>
      </c>
      <c r="J31" s="3285">
        <v>4210</v>
      </c>
      <c r="K31" s="3285">
        <v>272.94</v>
      </c>
      <c r="L31" s="3285" t="s">
        <v>1326</v>
      </c>
      <c r="M31" s="3285" t="s">
        <v>3152</v>
      </c>
      <c r="N31" s="3285" t="s">
        <v>3125</v>
      </c>
    </row>
    <row r="32" spans="1:14" hidden="1">
      <c r="A32" s="3285" t="s">
        <v>3167</v>
      </c>
      <c r="B32" s="3285" t="s">
        <v>3087</v>
      </c>
      <c r="C32" s="3285" t="s">
        <v>3088</v>
      </c>
      <c r="D32" s="3285">
        <v>3191</v>
      </c>
      <c r="E32" s="3285">
        <v>4786.5</v>
      </c>
      <c r="F32" s="3285" t="s">
        <v>3168</v>
      </c>
      <c r="G32" s="3285" t="s">
        <v>3103</v>
      </c>
      <c r="H32" s="3285" t="s">
        <v>3169</v>
      </c>
      <c r="I32" s="3285">
        <v>168</v>
      </c>
      <c r="J32" s="3285">
        <v>173</v>
      </c>
      <c r="K32" s="3285">
        <v>361.43</v>
      </c>
      <c r="L32" s="3285">
        <v>2.98</v>
      </c>
      <c r="M32" s="3285" t="s">
        <v>3170</v>
      </c>
      <c r="N32" s="3285" t="s">
        <v>3146</v>
      </c>
    </row>
    <row r="33" spans="1:14" hidden="1">
      <c r="A33" s="3285" t="s">
        <v>3171</v>
      </c>
      <c r="B33" s="3285" t="s">
        <v>3087</v>
      </c>
      <c r="C33" s="3285" t="s">
        <v>3120</v>
      </c>
      <c r="D33" s="3285">
        <v>11400</v>
      </c>
      <c r="E33" s="3285">
        <v>5700</v>
      </c>
      <c r="F33" s="3285" t="s">
        <v>3172</v>
      </c>
      <c r="G33" s="3285" t="s">
        <v>3103</v>
      </c>
      <c r="H33" s="3285" t="s">
        <v>3169</v>
      </c>
      <c r="I33" s="3285">
        <v>274</v>
      </c>
      <c r="J33" s="3285">
        <v>282</v>
      </c>
      <c r="K33" s="3285">
        <v>494.74</v>
      </c>
      <c r="L33" s="3285">
        <v>2.92</v>
      </c>
      <c r="M33" s="3285" t="s">
        <v>3173</v>
      </c>
      <c r="N33" s="3285" t="s">
        <v>3125</v>
      </c>
    </row>
    <row r="34" spans="1:14" hidden="1">
      <c r="A34" s="3285" t="s">
        <v>3174</v>
      </c>
      <c r="B34" s="3285" t="s">
        <v>3087</v>
      </c>
      <c r="C34" s="3285" t="s">
        <v>3120</v>
      </c>
      <c r="D34" s="3285">
        <v>3994.01</v>
      </c>
      <c r="E34" s="3285">
        <v>1997.01</v>
      </c>
      <c r="F34" s="3285" t="s">
        <v>3172</v>
      </c>
      <c r="G34" s="3285" t="s">
        <v>3103</v>
      </c>
      <c r="H34" s="3285" t="s">
        <v>3175</v>
      </c>
      <c r="I34" s="3285">
        <v>25</v>
      </c>
      <c r="J34" s="3285">
        <v>155</v>
      </c>
      <c r="K34" s="3285">
        <v>776.15</v>
      </c>
      <c r="L34" s="3285">
        <v>520</v>
      </c>
      <c r="M34" s="3285" t="s">
        <v>3176</v>
      </c>
      <c r="N34" s="3285" t="s">
        <v>3125</v>
      </c>
    </row>
    <row r="35" spans="1:14" hidden="1">
      <c r="A35" s="3285" t="s">
        <v>3177</v>
      </c>
      <c r="B35" s="3285" t="s">
        <v>3087</v>
      </c>
      <c r="C35" s="3285" t="s">
        <v>3120</v>
      </c>
      <c r="D35" s="3285">
        <v>29196.12</v>
      </c>
      <c r="E35" s="3285">
        <v>29196.12</v>
      </c>
      <c r="F35" s="3285" t="s">
        <v>3139</v>
      </c>
      <c r="G35" s="3285" t="s">
        <v>3103</v>
      </c>
      <c r="H35" s="3285" t="s">
        <v>3175</v>
      </c>
      <c r="I35" s="3285" t="s">
        <v>1326</v>
      </c>
      <c r="J35" s="3285">
        <v>1387</v>
      </c>
      <c r="K35" s="3285">
        <v>475.06</v>
      </c>
      <c r="L35" s="3285" t="s">
        <v>1326</v>
      </c>
      <c r="M35" s="3285" t="s">
        <v>3141</v>
      </c>
      <c r="N35" s="3285" t="s">
        <v>3125</v>
      </c>
    </row>
    <row r="36" spans="1:14" hidden="1">
      <c r="A36" s="3285" t="s">
        <v>3178</v>
      </c>
      <c r="B36" s="3285" t="s">
        <v>3087</v>
      </c>
      <c r="C36" s="3285" t="s">
        <v>3120</v>
      </c>
      <c r="D36" s="3285">
        <v>2899.05</v>
      </c>
      <c r="E36" s="3285">
        <v>1449.53</v>
      </c>
      <c r="F36" s="3285" t="s">
        <v>3172</v>
      </c>
      <c r="G36" s="3285" t="s">
        <v>3103</v>
      </c>
      <c r="H36" s="3285" t="s">
        <v>3179</v>
      </c>
      <c r="I36" s="3285" t="s">
        <v>1326</v>
      </c>
      <c r="J36" s="3285">
        <v>136</v>
      </c>
      <c r="K36" s="3285">
        <v>938.24</v>
      </c>
      <c r="L36" s="3285" t="s">
        <v>1326</v>
      </c>
      <c r="M36" s="3285" t="s">
        <v>3180</v>
      </c>
      <c r="N36" s="3285" t="s">
        <v>3125</v>
      </c>
    </row>
    <row r="37" spans="1:14" hidden="1">
      <c r="A37" s="3285" t="s">
        <v>3147</v>
      </c>
      <c r="B37" s="3285" t="s">
        <v>3087</v>
      </c>
      <c r="C37" s="3285" t="s">
        <v>3120</v>
      </c>
      <c r="D37" s="3285">
        <v>8014</v>
      </c>
      <c r="E37" s="3285">
        <v>12021</v>
      </c>
      <c r="F37" s="3285" t="s">
        <v>3181</v>
      </c>
      <c r="G37" s="3285" t="s">
        <v>3103</v>
      </c>
      <c r="H37" s="3285" t="s">
        <v>3182</v>
      </c>
      <c r="I37" s="3285" t="s">
        <v>1326</v>
      </c>
      <c r="J37" s="3285">
        <v>680</v>
      </c>
      <c r="K37" s="3285">
        <v>565.66999999999996</v>
      </c>
      <c r="L37" s="3285" t="s">
        <v>1326</v>
      </c>
      <c r="M37" s="3285" t="s">
        <v>3149</v>
      </c>
      <c r="N37" s="3285" t="s">
        <v>3125</v>
      </c>
    </row>
    <row r="38" spans="1:14" hidden="1">
      <c r="A38" s="3285" t="s">
        <v>3147</v>
      </c>
      <c r="B38" s="3285" t="s">
        <v>3087</v>
      </c>
      <c r="C38" s="3285" t="s">
        <v>3120</v>
      </c>
      <c r="D38" s="3285">
        <v>22397.49</v>
      </c>
      <c r="E38" s="3285">
        <v>33596.239999999998</v>
      </c>
      <c r="F38" s="3285" t="s">
        <v>3181</v>
      </c>
      <c r="G38" s="3285" t="s">
        <v>3103</v>
      </c>
      <c r="H38" s="3285" t="s">
        <v>3182</v>
      </c>
      <c r="I38" s="3285" t="s">
        <v>1326</v>
      </c>
      <c r="J38" s="3285">
        <v>1890</v>
      </c>
      <c r="K38" s="3285">
        <v>562.54999999999995</v>
      </c>
      <c r="L38" s="3285" t="s">
        <v>1326</v>
      </c>
      <c r="M38" s="3285" t="s">
        <v>3183</v>
      </c>
      <c r="N38" s="3285" t="s">
        <v>3125</v>
      </c>
    </row>
    <row r="39" spans="1:14" hidden="1">
      <c r="A39" s="3285" t="s">
        <v>3184</v>
      </c>
      <c r="B39" s="3285" t="s">
        <v>3087</v>
      </c>
      <c r="C39" s="3285" t="s">
        <v>3120</v>
      </c>
      <c r="D39" s="3285">
        <v>11842.29</v>
      </c>
      <c r="E39" s="3285">
        <v>8289.6</v>
      </c>
      <c r="F39" s="3285" t="s">
        <v>3153</v>
      </c>
      <c r="G39" s="3285" t="s">
        <v>3122</v>
      </c>
      <c r="H39" s="3285" t="s">
        <v>3185</v>
      </c>
      <c r="I39" s="3285" t="s">
        <v>1326</v>
      </c>
      <c r="J39" s="3285">
        <v>549</v>
      </c>
      <c r="K39" s="3285">
        <v>662.27</v>
      </c>
      <c r="L39" s="3285" t="s">
        <v>1326</v>
      </c>
      <c r="M39" s="3285" t="s">
        <v>3186</v>
      </c>
      <c r="N39" s="3285" t="s">
        <v>3125</v>
      </c>
    </row>
    <row r="40" spans="1:14" hidden="1">
      <c r="A40" s="3285" t="s">
        <v>3187</v>
      </c>
      <c r="B40" s="3285" t="s">
        <v>3087</v>
      </c>
      <c r="C40" s="3285" t="s">
        <v>3088</v>
      </c>
      <c r="D40" s="3285">
        <v>8088</v>
      </c>
      <c r="E40" s="3285">
        <v>20220</v>
      </c>
      <c r="F40" s="3285" t="s">
        <v>3188</v>
      </c>
      <c r="G40" s="3285" t="s">
        <v>3122</v>
      </c>
      <c r="H40" s="3285" t="s">
        <v>3185</v>
      </c>
      <c r="I40" s="3285" t="s">
        <v>1326</v>
      </c>
      <c r="J40" s="3285">
        <v>1362</v>
      </c>
      <c r="K40" s="3285">
        <v>673.59</v>
      </c>
      <c r="L40" s="3285" t="s">
        <v>1326</v>
      </c>
      <c r="M40" s="3285" t="s">
        <v>3141</v>
      </c>
      <c r="N40" s="3285" t="s">
        <v>3114</v>
      </c>
    </row>
    <row r="41" spans="1:14" hidden="1">
      <c r="A41" s="3285" t="s">
        <v>3189</v>
      </c>
      <c r="B41" s="3285" t="s">
        <v>3087</v>
      </c>
      <c r="C41" s="3285" t="s">
        <v>3088</v>
      </c>
      <c r="D41" s="3285">
        <v>19873</v>
      </c>
      <c r="E41" s="3285">
        <v>43720.6</v>
      </c>
      <c r="F41" s="3285" t="s">
        <v>3190</v>
      </c>
      <c r="G41" s="3285" t="s">
        <v>3103</v>
      </c>
      <c r="H41" s="3285" t="s">
        <v>3191</v>
      </c>
      <c r="I41" s="3285">
        <v>3071</v>
      </c>
      <c r="J41" s="3285">
        <v>6371</v>
      </c>
      <c r="K41" s="3285">
        <v>1457.21</v>
      </c>
      <c r="L41" s="3285">
        <v>107.46</v>
      </c>
      <c r="M41" s="3285" t="s">
        <v>3192</v>
      </c>
      <c r="N41" s="3285" t="s">
        <v>3114</v>
      </c>
    </row>
    <row r="42" spans="1:14" hidden="1">
      <c r="A42" s="3285" t="s">
        <v>3189</v>
      </c>
      <c r="B42" s="3285" t="s">
        <v>3087</v>
      </c>
      <c r="C42" s="3285" t="s">
        <v>3088</v>
      </c>
      <c r="D42" s="3285">
        <v>34242</v>
      </c>
      <c r="E42" s="3285">
        <v>51363</v>
      </c>
      <c r="F42" s="3285" t="s">
        <v>3193</v>
      </c>
      <c r="G42" s="3285" t="s">
        <v>3103</v>
      </c>
      <c r="H42" s="3285" t="s">
        <v>3191</v>
      </c>
      <c r="I42" s="3285">
        <v>4324</v>
      </c>
      <c r="J42" s="3285">
        <v>4844</v>
      </c>
      <c r="K42" s="3285">
        <v>943.09</v>
      </c>
      <c r="L42" s="3285">
        <v>12.03</v>
      </c>
      <c r="M42" s="3285" t="s">
        <v>3192</v>
      </c>
      <c r="N42" s="3285" t="s">
        <v>3114</v>
      </c>
    </row>
    <row r="43" spans="1:14">
      <c r="A43" s="3285" t="s">
        <v>3194</v>
      </c>
      <c r="B43" s="3285" t="s">
        <v>3087</v>
      </c>
      <c r="C43" s="3285" t="s">
        <v>3101</v>
      </c>
      <c r="D43" s="3285">
        <v>27907.1</v>
      </c>
      <c r="E43" s="3285">
        <v>22325.68</v>
      </c>
      <c r="F43" s="3285" t="s">
        <v>3126</v>
      </c>
      <c r="G43" s="3285" t="s">
        <v>3103</v>
      </c>
      <c r="H43" s="3285" t="s">
        <v>3195</v>
      </c>
      <c r="I43" s="3285" t="s">
        <v>1326</v>
      </c>
      <c r="J43" s="3285">
        <v>1571.53</v>
      </c>
      <c r="K43" s="3285">
        <v>703.91</v>
      </c>
      <c r="L43" s="3285" t="s">
        <v>1326</v>
      </c>
      <c r="M43" s="3285" t="s">
        <v>3196</v>
      </c>
      <c r="N43" s="3285" t="s">
        <v>3146</v>
      </c>
    </row>
    <row r="44" spans="1:14">
      <c r="A44" s="3285" t="s">
        <v>3197</v>
      </c>
      <c r="B44" s="3285" t="s">
        <v>3087</v>
      </c>
      <c r="C44" s="3285" t="s">
        <v>3101</v>
      </c>
      <c r="D44" s="3285">
        <v>4008.22</v>
      </c>
      <c r="E44" s="3285">
        <v>3206.58</v>
      </c>
      <c r="F44" s="3285" t="s">
        <v>3126</v>
      </c>
      <c r="G44" s="3285" t="s">
        <v>3103</v>
      </c>
      <c r="H44" s="3285" t="s">
        <v>3195</v>
      </c>
      <c r="I44" s="3285" t="s">
        <v>1326</v>
      </c>
      <c r="J44" s="3285">
        <v>300</v>
      </c>
      <c r="K44" s="3285">
        <v>935.58</v>
      </c>
      <c r="L44" s="3285" t="s">
        <v>1326</v>
      </c>
      <c r="M44" s="3285" t="s">
        <v>3198</v>
      </c>
      <c r="N44" s="3285" t="s">
        <v>3114</v>
      </c>
    </row>
    <row r="45" spans="1:14">
      <c r="A45" s="3285" t="s">
        <v>3199</v>
      </c>
      <c r="B45" s="3285" t="s">
        <v>3087</v>
      </c>
      <c r="C45" s="3285" t="s">
        <v>3101</v>
      </c>
      <c r="D45" s="3285">
        <v>7950</v>
      </c>
      <c r="E45" s="3285">
        <v>2703</v>
      </c>
      <c r="F45" s="3285" t="s">
        <v>3200</v>
      </c>
      <c r="G45" s="3285" t="s">
        <v>3103</v>
      </c>
      <c r="H45" s="3285" t="s">
        <v>3195</v>
      </c>
      <c r="I45" s="3285" t="s">
        <v>1326</v>
      </c>
      <c r="J45" s="3285">
        <v>555</v>
      </c>
      <c r="K45" s="3285">
        <v>2053.2600000000002</v>
      </c>
      <c r="L45" s="3285" t="s">
        <v>1326</v>
      </c>
      <c r="M45" s="3285" t="s">
        <v>3201</v>
      </c>
      <c r="N45" s="3285" t="s">
        <v>3106</v>
      </c>
    </row>
    <row r="46" spans="1:14">
      <c r="A46" s="3285" t="s">
        <v>3202</v>
      </c>
      <c r="B46" s="3285" t="s">
        <v>3087</v>
      </c>
      <c r="C46" s="3285" t="s">
        <v>3101</v>
      </c>
      <c r="D46" s="3285">
        <v>1928.31</v>
      </c>
      <c r="E46" s="3285">
        <v>578.49</v>
      </c>
      <c r="F46" s="3285" t="s">
        <v>3203</v>
      </c>
      <c r="G46" s="3285" t="s">
        <v>3103</v>
      </c>
      <c r="H46" s="3285" t="s">
        <v>3195</v>
      </c>
      <c r="I46" s="3285" t="s">
        <v>1326</v>
      </c>
      <c r="J46" s="3285">
        <v>143.83000000000001</v>
      </c>
      <c r="K46" s="3285">
        <v>2486.3000000000002</v>
      </c>
      <c r="L46" s="3285" t="s">
        <v>1326</v>
      </c>
      <c r="M46" s="3285" t="s">
        <v>3204</v>
      </c>
      <c r="N46" s="3285" t="s">
        <v>3146</v>
      </c>
    </row>
    <row r="47" spans="1:14" hidden="1">
      <c r="A47" s="3285" t="s">
        <v>3205</v>
      </c>
      <c r="B47" s="3285" t="s">
        <v>3087</v>
      </c>
      <c r="C47" s="3285" t="s">
        <v>3120</v>
      </c>
      <c r="D47" s="3285">
        <v>3102.73</v>
      </c>
      <c r="E47" s="3285">
        <v>2171.91</v>
      </c>
      <c r="F47" s="3285" t="s">
        <v>3153</v>
      </c>
      <c r="G47" s="3285" t="s">
        <v>3103</v>
      </c>
      <c r="H47" s="3285" t="s">
        <v>3195</v>
      </c>
      <c r="I47" s="3285" t="s">
        <v>1326</v>
      </c>
      <c r="J47" s="3285">
        <v>111.29</v>
      </c>
      <c r="K47" s="3285">
        <v>512.45000000000005</v>
      </c>
      <c r="L47" s="3285" t="s">
        <v>1326</v>
      </c>
      <c r="M47" s="3285" t="s">
        <v>3206</v>
      </c>
      <c r="N47" s="3285" t="s">
        <v>3125</v>
      </c>
    </row>
    <row r="48" spans="1:14" hidden="1">
      <c r="A48" s="3285" t="s">
        <v>3207</v>
      </c>
      <c r="B48" s="3285" t="s">
        <v>3087</v>
      </c>
      <c r="C48" s="3285" t="s">
        <v>3120</v>
      </c>
      <c r="D48" s="3285">
        <v>3090</v>
      </c>
      <c r="E48" s="3285">
        <v>1854</v>
      </c>
      <c r="F48" s="3285" t="s">
        <v>3158</v>
      </c>
      <c r="G48" s="3285" t="s">
        <v>3103</v>
      </c>
      <c r="H48" s="3285" t="s">
        <v>3195</v>
      </c>
      <c r="I48" s="3285" t="s">
        <v>1326</v>
      </c>
      <c r="J48" s="3285">
        <v>117.35</v>
      </c>
      <c r="K48" s="3285">
        <v>633</v>
      </c>
      <c r="L48" s="3285" t="s">
        <v>1326</v>
      </c>
      <c r="M48" s="3285" t="s">
        <v>3208</v>
      </c>
      <c r="N48" s="3285" t="s">
        <v>3125</v>
      </c>
    </row>
    <row r="49" spans="1:14" hidden="1">
      <c r="A49" s="3285" t="s">
        <v>3209</v>
      </c>
      <c r="B49" s="3285" t="s">
        <v>3087</v>
      </c>
      <c r="C49" s="3285" t="s">
        <v>3088</v>
      </c>
      <c r="D49" s="3285">
        <v>15422.93</v>
      </c>
      <c r="E49" s="3285">
        <v>46577.25</v>
      </c>
      <c r="F49" s="3285" t="s">
        <v>3210</v>
      </c>
      <c r="G49" s="3285" t="s">
        <v>3122</v>
      </c>
      <c r="H49" s="3285" t="s">
        <v>3211</v>
      </c>
      <c r="I49" s="3285" t="s">
        <v>1326</v>
      </c>
      <c r="J49" s="3285">
        <v>1918.4</v>
      </c>
      <c r="K49" s="3285">
        <v>411.87</v>
      </c>
      <c r="L49" s="3285" t="s">
        <v>1326</v>
      </c>
      <c r="M49" s="3285" t="s">
        <v>3212</v>
      </c>
      <c r="N49" s="3285" t="s">
        <v>3106</v>
      </c>
    </row>
    <row r="50" spans="1:14" hidden="1">
      <c r="A50" s="3285" t="s">
        <v>3213</v>
      </c>
      <c r="B50" s="3285" t="s">
        <v>3087</v>
      </c>
      <c r="C50" s="3285" t="s">
        <v>3088</v>
      </c>
      <c r="D50" s="3285">
        <v>9136</v>
      </c>
      <c r="E50" s="3285">
        <v>45680</v>
      </c>
      <c r="F50" s="3285" t="s">
        <v>3214</v>
      </c>
      <c r="G50" s="3285" t="s">
        <v>3122</v>
      </c>
      <c r="H50" s="3285" t="s">
        <v>3211</v>
      </c>
      <c r="I50" s="3285" t="s">
        <v>1326</v>
      </c>
      <c r="J50" s="3285">
        <v>1070</v>
      </c>
      <c r="K50" s="3285">
        <v>234.24</v>
      </c>
      <c r="L50" s="3285" t="s">
        <v>1326</v>
      </c>
      <c r="M50" s="3285" t="s">
        <v>3215</v>
      </c>
      <c r="N50" s="3285" t="s">
        <v>3114</v>
      </c>
    </row>
    <row r="51" spans="1:14" hidden="1">
      <c r="A51" s="3285" t="s">
        <v>3216</v>
      </c>
      <c r="B51" s="3285" t="s">
        <v>3087</v>
      </c>
      <c r="C51" s="3285" t="s">
        <v>3088</v>
      </c>
      <c r="D51" s="3285">
        <v>34303.26</v>
      </c>
      <c r="E51" s="3285">
        <v>120061.41</v>
      </c>
      <c r="F51" s="3285" t="s">
        <v>3162</v>
      </c>
      <c r="G51" s="3285" t="s">
        <v>3122</v>
      </c>
      <c r="H51" s="3285" t="s">
        <v>3217</v>
      </c>
      <c r="I51" s="3285" t="s">
        <v>1326</v>
      </c>
      <c r="J51" s="3285">
        <v>7272</v>
      </c>
      <c r="K51" s="3285">
        <v>605.69000000000005</v>
      </c>
      <c r="L51" s="3285" t="s">
        <v>1326</v>
      </c>
      <c r="M51" s="3285" t="s">
        <v>3218</v>
      </c>
      <c r="N51" s="3285" t="s">
        <v>3114</v>
      </c>
    </row>
    <row r="52" spans="1:14" hidden="1">
      <c r="A52" s="3285" t="s">
        <v>3219</v>
      </c>
      <c r="B52" s="3285" t="s">
        <v>3087</v>
      </c>
      <c r="C52" s="3285" t="s">
        <v>3088</v>
      </c>
      <c r="D52" s="3285">
        <v>63396.85</v>
      </c>
      <c r="E52" s="3285">
        <v>221888.98</v>
      </c>
      <c r="F52" s="3285" t="s">
        <v>3162</v>
      </c>
      <c r="G52" s="3285" t="s">
        <v>3122</v>
      </c>
      <c r="H52" s="3285" t="s">
        <v>3217</v>
      </c>
      <c r="I52" s="3285" t="s">
        <v>1326</v>
      </c>
      <c r="J52" s="3285">
        <v>13414</v>
      </c>
      <c r="K52" s="3285">
        <v>604.53</v>
      </c>
      <c r="L52" s="3285" t="s">
        <v>1326</v>
      </c>
      <c r="M52" s="3285" t="s">
        <v>3218</v>
      </c>
      <c r="N52" s="3285" t="s">
        <v>3114</v>
      </c>
    </row>
    <row r="53" spans="1:14" hidden="1">
      <c r="A53" s="3285" t="s">
        <v>3220</v>
      </c>
      <c r="B53" s="3285" t="s">
        <v>3087</v>
      </c>
      <c r="C53" s="3285" t="s">
        <v>3088</v>
      </c>
      <c r="D53" s="3285">
        <v>2786</v>
      </c>
      <c r="E53" s="3285">
        <v>18944.8</v>
      </c>
      <c r="F53" s="3285" t="s">
        <v>3221</v>
      </c>
      <c r="G53" s="3285" t="s">
        <v>3122</v>
      </c>
      <c r="H53" s="3285" t="s">
        <v>3222</v>
      </c>
      <c r="I53" s="3285" t="s">
        <v>1326</v>
      </c>
      <c r="J53" s="3285">
        <v>388.19</v>
      </c>
      <c r="K53" s="3285">
        <v>204.9</v>
      </c>
      <c r="L53" s="3285" t="s">
        <v>1326</v>
      </c>
      <c r="M53" s="3285" t="s">
        <v>3223</v>
      </c>
      <c r="N53" s="3285" t="s">
        <v>3114</v>
      </c>
    </row>
    <row r="54" spans="1:14">
      <c r="A54" s="3285" t="s">
        <v>3224</v>
      </c>
      <c r="B54" s="3285" t="s">
        <v>3087</v>
      </c>
      <c r="C54" s="3285" t="s">
        <v>3101</v>
      </c>
      <c r="D54" s="3285">
        <v>9923.27</v>
      </c>
      <c r="E54" s="3285">
        <v>7938.62</v>
      </c>
      <c r="F54" s="3285" t="s">
        <v>3126</v>
      </c>
      <c r="G54" s="3285" t="s">
        <v>3122</v>
      </c>
      <c r="H54" s="3285" t="s">
        <v>3225</v>
      </c>
      <c r="I54" s="3285" t="s">
        <v>1326</v>
      </c>
      <c r="J54" s="3285">
        <v>631</v>
      </c>
      <c r="K54" s="3285">
        <v>794.85</v>
      </c>
      <c r="L54" s="3285" t="s">
        <v>1326</v>
      </c>
      <c r="M54" s="3285" t="s">
        <v>3226</v>
      </c>
      <c r="N54" s="3285" t="s">
        <v>3146</v>
      </c>
    </row>
    <row r="55" spans="1:14">
      <c r="A55" s="3285" t="s">
        <v>3227</v>
      </c>
      <c r="B55" s="3285" t="s">
        <v>3087</v>
      </c>
      <c r="C55" s="3285" t="s">
        <v>3101</v>
      </c>
      <c r="D55" s="3285">
        <v>1630</v>
      </c>
      <c r="E55" s="3285">
        <v>1630</v>
      </c>
      <c r="F55" s="3285" t="s">
        <v>3228</v>
      </c>
      <c r="G55" s="3285" t="s">
        <v>3122</v>
      </c>
      <c r="H55" s="3285" t="s">
        <v>3225</v>
      </c>
      <c r="I55" s="3285" t="s">
        <v>1326</v>
      </c>
      <c r="J55" s="3285">
        <v>92</v>
      </c>
      <c r="K55" s="3285">
        <v>564.41</v>
      </c>
      <c r="L55" s="3285" t="s">
        <v>1326</v>
      </c>
      <c r="M55" s="3285" t="s">
        <v>3229</v>
      </c>
      <c r="N55" s="3285" t="s">
        <v>3146</v>
      </c>
    </row>
    <row r="56" spans="1:14" hidden="1">
      <c r="A56" s="3285" t="s">
        <v>3230</v>
      </c>
      <c r="B56" s="3285" t="s">
        <v>3087</v>
      </c>
      <c r="C56" s="3285" t="s">
        <v>3088</v>
      </c>
      <c r="D56" s="3285">
        <v>20330</v>
      </c>
      <c r="E56" s="3285">
        <v>71155</v>
      </c>
      <c r="F56" s="3285" t="s">
        <v>3231</v>
      </c>
      <c r="G56" s="3285" t="s">
        <v>3122</v>
      </c>
      <c r="H56" s="3285" t="s">
        <v>3232</v>
      </c>
      <c r="I56" s="3285" t="s">
        <v>1326</v>
      </c>
      <c r="J56" s="3285">
        <v>2233</v>
      </c>
      <c r="K56" s="3285">
        <v>313.81</v>
      </c>
      <c r="L56" s="3285" t="s">
        <v>1326</v>
      </c>
      <c r="M56" s="3285" t="s">
        <v>3233</v>
      </c>
      <c r="N56" s="3285" t="s">
        <v>3114</v>
      </c>
    </row>
    <row r="57" spans="1:14" hidden="1">
      <c r="A57" s="3285" t="s">
        <v>3234</v>
      </c>
      <c r="B57" s="3285" t="s">
        <v>3087</v>
      </c>
      <c r="C57" s="3285" t="s">
        <v>3088</v>
      </c>
      <c r="D57" s="3285">
        <v>122331.35</v>
      </c>
      <c r="E57" s="3285">
        <v>452626</v>
      </c>
      <c r="F57" s="3285" t="s">
        <v>3235</v>
      </c>
      <c r="G57" s="3285" t="s">
        <v>3103</v>
      </c>
      <c r="H57" s="3285" t="s">
        <v>3236</v>
      </c>
      <c r="I57" s="3285" t="s">
        <v>1326</v>
      </c>
      <c r="J57" s="3285">
        <v>29100</v>
      </c>
      <c r="K57" s="3285">
        <v>642.9</v>
      </c>
      <c r="L57" s="3285" t="s">
        <v>1326</v>
      </c>
      <c r="M57" s="3285" t="s">
        <v>3237</v>
      </c>
      <c r="N57" s="3285" t="s">
        <v>3114</v>
      </c>
    </row>
    <row r="58" spans="1:14" hidden="1">
      <c r="A58" s="3285" t="s">
        <v>3238</v>
      </c>
      <c r="B58" s="3285" t="s">
        <v>3087</v>
      </c>
      <c r="C58" s="3285" t="s">
        <v>3120</v>
      </c>
      <c r="D58" s="3285">
        <v>30980</v>
      </c>
      <c r="E58" s="3285">
        <v>46470</v>
      </c>
      <c r="F58" s="3285" t="s">
        <v>3181</v>
      </c>
      <c r="G58" s="3285" t="s">
        <v>3103</v>
      </c>
      <c r="H58" s="3285" t="s">
        <v>3236</v>
      </c>
      <c r="I58" s="3285" t="s">
        <v>1326</v>
      </c>
      <c r="J58" s="3285">
        <v>2000</v>
      </c>
      <c r="K58" s="3285">
        <v>430.38</v>
      </c>
      <c r="L58" s="3285" t="s">
        <v>1326</v>
      </c>
      <c r="M58" s="3285" t="s">
        <v>3149</v>
      </c>
      <c r="N58" s="3285" t="s">
        <v>3125</v>
      </c>
    </row>
    <row r="59" spans="1:14" hidden="1">
      <c r="A59" s="3285" t="s">
        <v>3239</v>
      </c>
      <c r="B59" s="3285" t="s">
        <v>3087</v>
      </c>
      <c r="C59" s="3285" t="s">
        <v>3120</v>
      </c>
      <c r="D59" s="3285">
        <v>6667</v>
      </c>
      <c r="E59" s="3285">
        <v>4000.2</v>
      </c>
      <c r="F59" s="3285" t="s">
        <v>3158</v>
      </c>
      <c r="G59" s="3285" t="s">
        <v>3122</v>
      </c>
      <c r="H59" s="3285" t="s">
        <v>3240</v>
      </c>
      <c r="I59" s="3285" t="s">
        <v>1326</v>
      </c>
      <c r="J59" s="3285">
        <v>268</v>
      </c>
      <c r="K59" s="3285">
        <v>669.97</v>
      </c>
      <c r="L59" s="3285" t="s">
        <v>1326</v>
      </c>
      <c r="M59" s="3285" t="s">
        <v>3241</v>
      </c>
      <c r="N59" s="3285" t="s">
        <v>3125</v>
      </c>
    </row>
    <row r="60" spans="1:14" hidden="1">
      <c r="A60" s="3285" t="s">
        <v>3239</v>
      </c>
      <c r="B60" s="3285" t="s">
        <v>3087</v>
      </c>
      <c r="C60" s="3285" t="s">
        <v>3120</v>
      </c>
      <c r="D60" s="3285">
        <v>47090.13</v>
      </c>
      <c r="E60" s="3285">
        <v>28254.080000000002</v>
      </c>
      <c r="F60" s="3285" t="s">
        <v>3158</v>
      </c>
      <c r="G60" s="3285" t="s">
        <v>3122</v>
      </c>
      <c r="H60" s="3285" t="s">
        <v>3240</v>
      </c>
      <c r="I60" s="3285" t="s">
        <v>1326</v>
      </c>
      <c r="J60" s="3285">
        <v>1869.64</v>
      </c>
      <c r="K60" s="3285">
        <v>661.72</v>
      </c>
      <c r="L60" s="3285" t="s">
        <v>1326</v>
      </c>
      <c r="M60" s="3285" t="s">
        <v>3241</v>
      </c>
      <c r="N60" s="3285" t="s">
        <v>3125</v>
      </c>
    </row>
    <row r="61" spans="1:14" hidden="1">
      <c r="A61" s="3285" t="s">
        <v>3242</v>
      </c>
      <c r="B61" s="3285" t="s">
        <v>3087</v>
      </c>
      <c r="C61" s="3285" t="s">
        <v>3088</v>
      </c>
      <c r="D61" s="3285">
        <v>6667</v>
      </c>
      <c r="E61" s="3285">
        <v>23334.5</v>
      </c>
      <c r="F61" s="3285" t="s">
        <v>3231</v>
      </c>
      <c r="G61" s="3285" t="s">
        <v>3122</v>
      </c>
      <c r="H61" s="3285" t="s">
        <v>3240</v>
      </c>
      <c r="I61" s="3285" t="s">
        <v>1326</v>
      </c>
      <c r="J61" s="3285">
        <v>319</v>
      </c>
      <c r="K61" s="3285">
        <v>136.71</v>
      </c>
      <c r="L61" s="3285" t="s">
        <v>1326</v>
      </c>
      <c r="M61" s="3285" t="s">
        <v>3243</v>
      </c>
      <c r="N61" s="3285" t="s">
        <v>3106</v>
      </c>
    </row>
    <row r="62" spans="1:14">
      <c r="A62" s="3285" t="s">
        <v>3244</v>
      </c>
      <c r="B62" s="3285" t="s">
        <v>3087</v>
      </c>
      <c r="C62" s="3285" t="s">
        <v>3101</v>
      </c>
      <c r="D62" s="3285">
        <v>5337</v>
      </c>
      <c r="E62" s="3285">
        <v>5337</v>
      </c>
      <c r="F62" s="3285" t="s">
        <v>3245</v>
      </c>
      <c r="G62" s="3285" t="s">
        <v>3122</v>
      </c>
      <c r="H62" s="3285" t="s">
        <v>3240</v>
      </c>
      <c r="I62" s="3285" t="s">
        <v>1326</v>
      </c>
      <c r="J62" s="3285">
        <v>357</v>
      </c>
      <c r="K62" s="3285">
        <v>668.91</v>
      </c>
      <c r="L62" s="3285" t="s">
        <v>1326</v>
      </c>
      <c r="M62" s="3285" t="s">
        <v>3246</v>
      </c>
      <c r="N62" s="3285" t="s">
        <v>3106</v>
      </c>
    </row>
    <row r="63" spans="1:14" hidden="1">
      <c r="A63" s="3285" t="s">
        <v>3247</v>
      </c>
      <c r="B63" s="3285" t="s">
        <v>3087</v>
      </c>
      <c r="C63" s="3285" t="s">
        <v>3120</v>
      </c>
      <c r="D63" s="3285">
        <v>19903</v>
      </c>
      <c r="E63" s="3285">
        <v>39806</v>
      </c>
      <c r="F63" s="3285" t="s">
        <v>3118</v>
      </c>
      <c r="G63" s="3285" t="s">
        <v>3103</v>
      </c>
      <c r="H63" s="3285" t="s">
        <v>3248</v>
      </c>
      <c r="I63" s="3285" t="s">
        <v>1326</v>
      </c>
      <c r="J63" s="3285">
        <v>1050</v>
      </c>
      <c r="K63" s="3285">
        <v>263.77</v>
      </c>
      <c r="L63" s="3285" t="s">
        <v>1326</v>
      </c>
      <c r="M63" s="3285" t="s">
        <v>3249</v>
      </c>
      <c r="N63" s="3285" t="s">
        <v>3125</v>
      </c>
    </row>
    <row r="64" spans="1:14">
      <c r="A64" s="3285" t="s">
        <v>3250</v>
      </c>
      <c r="B64" s="3285" t="s">
        <v>3087</v>
      </c>
      <c r="C64" s="3285" t="s">
        <v>3101</v>
      </c>
      <c r="D64" s="3285">
        <v>4147.38</v>
      </c>
      <c r="E64" s="3285">
        <v>10368.450000000001</v>
      </c>
      <c r="F64" s="3285" t="s">
        <v>3188</v>
      </c>
      <c r="G64" s="3285" t="s">
        <v>3103</v>
      </c>
      <c r="H64" s="3285" t="s">
        <v>3251</v>
      </c>
      <c r="I64" s="3285">
        <v>350</v>
      </c>
      <c r="J64" s="3285">
        <v>370</v>
      </c>
      <c r="K64" s="3285">
        <v>356.85</v>
      </c>
      <c r="L64" s="3285">
        <v>5.71</v>
      </c>
      <c r="M64" s="3285" t="s">
        <v>3252</v>
      </c>
      <c r="N64" s="3285" t="s">
        <v>3106</v>
      </c>
    </row>
    <row r="65" spans="1:14" hidden="1">
      <c r="A65" s="3285" t="s">
        <v>3253</v>
      </c>
      <c r="B65" s="3285" t="s">
        <v>3087</v>
      </c>
      <c r="C65" s="3285" t="s">
        <v>3088</v>
      </c>
      <c r="D65" s="3285">
        <v>11359.84</v>
      </c>
      <c r="E65" s="3285">
        <v>47711.33</v>
      </c>
      <c r="F65" s="3285" t="s">
        <v>3254</v>
      </c>
      <c r="G65" s="3285" t="s">
        <v>3103</v>
      </c>
      <c r="H65" s="3285" t="s">
        <v>3255</v>
      </c>
      <c r="I65" s="3285">
        <v>3238</v>
      </c>
      <c r="J65" s="3285">
        <v>3438</v>
      </c>
      <c r="K65" s="3285">
        <v>720.58</v>
      </c>
      <c r="L65" s="3285">
        <v>6.18</v>
      </c>
      <c r="M65" s="3285" t="s">
        <v>3256</v>
      </c>
      <c r="N65" s="3285" t="s">
        <v>3114</v>
      </c>
    </row>
    <row r="66" spans="1:14" hidden="1">
      <c r="A66" s="3285" t="s">
        <v>3257</v>
      </c>
      <c r="B66" s="3285" t="s">
        <v>3087</v>
      </c>
      <c r="C66" s="3285" t="s">
        <v>3088</v>
      </c>
      <c r="D66" s="3285">
        <v>4668.6000000000004</v>
      </c>
      <c r="E66" s="3285">
        <v>28945.32</v>
      </c>
      <c r="F66" s="3285" t="s">
        <v>3258</v>
      </c>
      <c r="G66" s="3285" t="s">
        <v>3122</v>
      </c>
      <c r="H66" s="3285" t="s">
        <v>3259</v>
      </c>
      <c r="I66" s="3285" t="s">
        <v>1326</v>
      </c>
      <c r="J66" s="3285">
        <v>538</v>
      </c>
      <c r="K66" s="3285">
        <v>185.87</v>
      </c>
      <c r="L66" s="3285" t="s">
        <v>1326</v>
      </c>
      <c r="M66" s="3285" t="s">
        <v>3260</v>
      </c>
      <c r="N66" s="3285" t="s">
        <v>3114</v>
      </c>
    </row>
    <row r="67" spans="1:14" hidden="1">
      <c r="A67" s="3285" t="s">
        <v>3261</v>
      </c>
      <c r="B67" s="3285" t="s">
        <v>3087</v>
      </c>
      <c r="C67" s="3285" t="s">
        <v>3088</v>
      </c>
      <c r="D67" s="3285">
        <v>2840</v>
      </c>
      <c r="E67" s="3285">
        <v>10508</v>
      </c>
      <c r="F67" s="3285" t="s">
        <v>3262</v>
      </c>
      <c r="G67" s="3285" t="s">
        <v>3122</v>
      </c>
      <c r="H67" s="3285" t="s">
        <v>3259</v>
      </c>
      <c r="I67" s="3285" t="s">
        <v>1326</v>
      </c>
      <c r="J67" s="3285">
        <v>155</v>
      </c>
      <c r="K67" s="3285">
        <v>147.5</v>
      </c>
      <c r="L67" s="3285" t="s">
        <v>1326</v>
      </c>
      <c r="M67" s="3285" t="s">
        <v>3263</v>
      </c>
      <c r="N67" s="3285" t="s">
        <v>3146</v>
      </c>
    </row>
    <row r="68" spans="1:14">
      <c r="A68" s="3285" t="s">
        <v>3264</v>
      </c>
      <c r="B68" s="3285" t="s">
        <v>3087</v>
      </c>
      <c r="C68" s="3285" t="s">
        <v>3101</v>
      </c>
      <c r="D68" s="3285">
        <v>9992</v>
      </c>
      <c r="E68" s="3285">
        <v>11990.4</v>
      </c>
      <c r="F68" s="3285" t="s">
        <v>3265</v>
      </c>
      <c r="G68" s="3285" t="s">
        <v>3122</v>
      </c>
      <c r="H68" s="3285" t="s">
        <v>3259</v>
      </c>
      <c r="I68" s="3285" t="s">
        <v>1326</v>
      </c>
      <c r="J68" s="3285">
        <v>1205</v>
      </c>
      <c r="K68" s="3285">
        <v>1004.97</v>
      </c>
      <c r="L68" s="3285" t="s">
        <v>1326</v>
      </c>
      <c r="M68" s="3285" t="s">
        <v>3266</v>
      </c>
      <c r="N68" s="3285" t="s">
        <v>3114</v>
      </c>
    </row>
    <row r="69" spans="1:14" hidden="1">
      <c r="A69" s="3285" t="s">
        <v>3267</v>
      </c>
      <c r="B69" s="3285" t="s">
        <v>3087</v>
      </c>
      <c r="C69" s="3285" t="s">
        <v>3120</v>
      </c>
      <c r="D69" s="3285">
        <v>10116</v>
      </c>
      <c r="E69" s="3285">
        <v>7081.2</v>
      </c>
      <c r="F69" s="3285" t="s">
        <v>3153</v>
      </c>
      <c r="G69" s="3285" t="s">
        <v>3122</v>
      </c>
      <c r="H69" s="3285" t="s">
        <v>3259</v>
      </c>
      <c r="I69" s="3285" t="s">
        <v>1326</v>
      </c>
      <c r="J69" s="3285">
        <v>169</v>
      </c>
      <c r="K69" s="3285">
        <v>238.65</v>
      </c>
      <c r="L69" s="3285" t="s">
        <v>1326</v>
      </c>
      <c r="M69" s="3285" t="s">
        <v>3268</v>
      </c>
      <c r="N69" s="3285" t="s">
        <v>3125</v>
      </c>
    </row>
    <row r="70" spans="1:14" hidden="1">
      <c r="A70" s="3285" t="s">
        <v>3267</v>
      </c>
      <c r="B70" s="3285" t="s">
        <v>3087</v>
      </c>
      <c r="C70" s="3285" t="s">
        <v>3120</v>
      </c>
      <c r="D70" s="3285">
        <v>665</v>
      </c>
      <c r="E70" s="3285">
        <v>465.5</v>
      </c>
      <c r="F70" s="3285" t="s">
        <v>3153</v>
      </c>
      <c r="G70" s="3285" t="s">
        <v>3122</v>
      </c>
      <c r="H70" s="3285" t="s">
        <v>3259</v>
      </c>
      <c r="I70" s="3285" t="s">
        <v>1326</v>
      </c>
      <c r="J70" s="3285">
        <v>12</v>
      </c>
      <c r="K70" s="3285">
        <v>257.79000000000002</v>
      </c>
      <c r="L70" s="3285" t="s">
        <v>1326</v>
      </c>
      <c r="M70" s="3285" t="s">
        <v>3268</v>
      </c>
      <c r="N70" s="3285" t="s">
        <v>3125</v>
      </c>
    </row>
    <row r="71" spans="1:14" hidden="1">
      <c r="A71" s="3285" t="s">
        <v>3269</v>
      </c>
      <c r="B71" s="3285" t="s">
        <v>3087</v>
      </c>
      <c r="C71" s="3285" t="s">
        <v>3088</v>
      </c>
      <c r="D71" s="3285">
        <v>4042.11</v>
      </c>
      <c r="E71" s="3285">
        <v>14955.81</v>
      </c>
      <c r="F71" s="3285" t="s">
        <v>3262</v>
      </c>
      <c r="G71" s="3285" t="s">
        <v>3122</v>
      </c>
      <c r="H71" s="3285" t="s">
        <v>3259</v>
      </c>
      <c r="I71" s="3285" t="s">
        <v>1326</v>
      </c>
      <c r="J71" s="3285">
        <v>221</v>
      </c>
      <c r="K71" s="3285">
        <v>147.77000000000001</v>
      </c>
      <c r="L71" s="3285" t="s">
        <v>1326</v>
      </c>
      <c r="M71" s="3285" t="s">
        <v>3263</v>
      </c>
      <c r="N71" s="3285" t="s">
        <v>3146</v>
      </c>
    </row>
    <row r="72" spans="1:14" hidden="1">
      <c r="A72" s="3285" t="s">
        <v>3270</v>
      </c>
      <c r="B72" s="3285" t="s">
        <v>3087</v>
      </c>
      <c r="C72" s="3285" t="s">
        <v>3120</v>
      </c>
      <c r="D72" s="3285">
        <v>3017</v>
      </c>
      <c r="E72" s="3285">
        <v>3017</v>
      </c>
      <c r="F72" s="3285" t="s">
        <v>3139</v>
      </c>
      <c r="G72" s="3285" t="s">
        <v>3122</v>
      </c>
      <c r="H72" s="3285" t="s">
        <v>3259</v>
      </c>
      <c r="I72" s="3285" t="s">
        <v>1326</v>
      </c>
      <c r="J72" s="3285">
        <v>81</v>
      </c>
      <c r="K72" s="3285">
        <v>268.48</v>
      </c>
      <c r="L72" s="3285" t="s">
        <v>1326</v>
      </c>
      <c r="M72" s="3285" t="s">
        <v>3271</v>
      </c>
      <c r="N72" s="3285" t="s">
        <v>3125</v>
      </c>
    </row>
    <row r="73" spans="1:14">
      <c r="A73" s="3285" t="s">
        <v>3272</v>
      </c>
      <c r="B73" s="3285" t="s">
        <v>3087</v>
      </c>
      <c r="C73" s="3285" t="s">
        <v>3130</v>
      </c>
      <c r="D73" s="3285">
        <v>8557</v>
      </c>
      <c r="E73" s="3285">
        <v>21392.5</v>
      </c>
      <c r="F73" s="3285" t="s">
        <v>3273</v>
      </c>
      <c r="G73" s="3285" t="s">
        <v>3122</v>
      </c>
      <c r="H73" s="3285" t="s">
        <v>3274</v>
      </c>
      <c r="I73" s="3285" t="s">
        <v>1326</v>
      </c>
      <c r="J73" s="3285">
        <v>950</v>
      </c>
      <c r="K73" s="3285">
        <v>444.07</v>
      </c>
      <c r="L73" s="3285" t="s">
        <v>1326</v>
      </c>
      <c r="M73" s="3285" t="s">
        <v>3275</v>
      </c>
      <c r="N73" s="3285" t="s">
        <v>3125</v>
      </c>
    </row>
    <row r="74" spans="1:14" hidden="1">
      <c r="A74" s="3285" t="s">
        <v>3276</v>
      </c>
      <c r="B74" s="3285" t="s">
        <v>3087</v>
      </c>
      <c r="C74" s="3285" t="s">
        <v>3088</v>
      </c>
      <c r="D74" s="3285">
        <v>30221</v>
      </c>
      <c r="E74" s="3285">
        <v>105773.5</v>
      </c>
      <c r="F74" s="3285" t="s">
        <v>3231</v>
      </c>
      <c r="G74" s="3285" t="s">
        <v>3122</v>
      </c>
      <c r="H74" s="3285" t="s">
        <v>3274</v>
      </c>
      <c r="I74" s="3285" t="s">
        <v>1326</v>
      </c>
      <c r="J74" s="3285">
        <v>3318</v>
      </c>
      <c r="K74" s="3285">
        <v>313.68</v>
      </c>
      <c r="L74" s="3285" t="s">
        <v>1326</v>
      </c>
      <c r="M74" s="3285" t="s">
        <v>3277</v>
      </c>
      <c r="N74" s="3285" t="s">
        <v>3114</v>
      </c>
    </row>
    <row r="75" spans="1:14" hidden="1">
      <c r="A75" s="3285" t="s">
        <v>3278</v>
      </c>
      <c r="B75" s="3285" t="s">
        <v>3087</v>
      </c>
      <c r="C75" s="3285" t="s">
        <v>3088</v>
      </c>
      <c r="D75" s="3285">
        <v>2746.4</v>
      </c>
      <c r="E75" s="3285">
        <v>5492.8</v>
      </c>
      <c r="F75" s="3285" t="s">
        <v>3279</v>
      </c>
      <c r="G75" s="3285" t="s">
        <v>3122</v>
      </c>
      <c r="H75" s="3285" t="s">
        <v>3274</v>
      </c>
      <c r="I75" s="3285" t="s">
        <v>1326</v>
      </c>
      <c r="J75" s="3285">
        <v>120</v>
      </c>
      <c r="K75" s="3285">
        <v>218.46</v>
      </c>
      <c r="L75" s="3285" t="s">
        <v>1326</v>
      </c>
      <c r="M75" s="3285" t="s">
        <v>3280</v>
      </c>
      <c r="N75" s="3285" t="s">
        <v>3106</v>
      </c>
    </row>
    <row r="76" spans="1:14">
      <c r="A76" s="3285" t="s">
        <v>3281</v>
      </c>
      <c r="B76" s="3285" t="s">
        <v>3087</v>
      </c>
      <c r="C76" s="3285" t="s">
        <v>3101</v>
      </c>
      <c r="D76" s="3285">
        <v>13374.34</v>
      </c>
      <c r="E76" s="3285">
        <v>40123.019999999997</v>
      </c>
      <c r="F76" s="3285" t="s">
        <v>3282</v>
      </c>
      <c r="G76" s="3285" t="s">
        <v>3103</v>
      </c>
      <c r="H76" s="3285" t="s">
        <v>3283</v>
      </c>
      <c r="I76" s="3285">
        <v>2816.36</v>
      </c>
      <c r="J76" s="3285">
        <v>2901.36</v>
      </c>
      <c r="K76" s="3285">
        <v>723.12</v>
      </c>
      <c r="L76" s="3285">
        <v>3.02</v>
      </c>
      <c r="M76" s="3285" t="s">
        <v>3284</v>
      </c>
      <c r="N76" s="3285" t="s">
        <v>3093</v>
      </c>
    </row>
    <row r="77" spans="1:14" hidden="1">
      <c r="A77" s="3285" t="s">
        <v>3285</v>
      </c>
      <c r="B77" s="3285" t="s">
        <v>3087</v>
      </c>
      <c r="C77" s="3285" t="s">
        <v>3088</v>
      </c>
      <c r="D77" s="3285">
        <v>28317.5</v>
      </c>
      <c r="E77" s="3285">
        <v>113270</v>
      </c>
      <c r="F77" s="3285" t="s">
        <v>3286</v>
      </c>
      <c r="G77" s="3285" t="s">
        <v>3103</v>
      </c>
      <c r="H77" s="3285" t="s">
        <v>3283</v>
      </c>
      <c r="I77" s="3285">
        <v>6700</v>
      </c>
      <c r="J77" s="3285">
        <v>7100</v>
      </c>
      <c r="K77" s="3285">
        <v>626.82000000000005</v>
      </c>
      <c r="L77" s="3285">
        <v>5.97</v>
      </c>
      <c r="M77" s="3285" t="s">
        <v>3287</v>
      </c>
      <c r="N77" s="3285" t="s">
        <v>3093</v>
      </c>
    </row>
    <row r="78" spans="1:14" hidden="1">
      <c r="A78" s="3285" t="s">
        <v>3288</v>
      </c>
      <c r="B78" s="3285" t="s">
        <v>3087</v>
      </c>
      <c r="C78" s="3285" t="s">
        <v>3088</v>
      </c>
      <c r="D78" s="3285">
        <v>23278</v>
      </c>
      <c r="E78" s="3285">
        <v>65178.400000000001</v>
      </c>
      <c r="F78" s="3285" t="s">
        <v>3095</v>
      </c>
      <c r="G78" s="3285" t="s">
        <v>3103</v>
      </c>
      <c r="H78" s="3285" t="s">
        <v>3289</v>
      </c>
      <c r="I78" s="3285">
        <v>2444.4</v>
      </c>
      <c r="J78" s="3285">
        <v>2444.4</v>
      </c>
      <c r="K78" s="3285">
        <v>375.02</v>
      </c>
      <c r="L78" s="3285">
        <v>0</v>
      </c>
      <c r="M78" s="3285" t="s">
        <v>3290</v>
      </c>
      <c r="N78" s="3285" t="s">
        <v>3114</v>
      </c>
    </row>
    <row r="79" spans="1:14" hidden="1">
      <c r="A79" s="3285" t="s">
        <v>3291</v>
      </c>
      <c r="B79" s="3285" t="s">
        <v>3087</v>
      </c>
      <c r="C79" s="3285" t="s">
        <v>3088</v>
      </c>
      <c r="D79" s="3285">
        <v>20246</v>
      </c>
      <c r="E79" s="3285">
        <v>76934.8</v>
      </c>
      <c r="F79" s="3285" t="s">
        <v>3292</v>
      </c>
      <c r="G79" s="3285" t="s">
        <v>3103</v>
      </c>
      <c r="H79" s="3285" t="s">
        <v>3289</v>
      </c>
      <c r="I79" s="3285">
        <v>3100</v>
      </c>
      <c r="J79" s="3285">
        <v>3350</v>
      </c>
      <c r="K79" s="3285">
        <v>435.43</v>
      </c>
      <c r="L79" s="3285">
        <v>8.06</v>
      </c>
      <c r="M79" s="3285" t="s">
        <v>3105</v>
      </c>
      <c r="N79" s="3285" t="s">
        <v>3114</v>
      </c>
    </row>
    <row r="80" spans="1:14" hidden="1">
      <c r="A80" s="3285" t="s">
        <v>3293</v>
      </c>
      <c r="B80" s="3285" t="s">
        <v>3087</v>
      </c>
      <c r="C80" s="3285" t="s">
        <v>3088</v>
      </c>
      <c r="D80" s="3285">
        <v>24249.599999999999</v>
      </c>
      <c r="E80" s="3285">
        <v>48499.199999999997</v>
      </c>
      <c r="F80" s="3285" t="s">
        <v>3279</v>
      </c>
      <c r="G80" s="3285" t="s">
        <v>3103</v>
      </c>
      <c r="H80" s="3285" t="s">
        <v>3294</v>
      </c>
      <c r="I80" s="3285">
        <v>6183</v>
      </c>
      <c r="J80" s="3285">
        <v>6423</v>
      </c>
      <c r="K80" s="3285">
        <v>1324.34</v>
      </c>
      <c r="L80" s="3285">
        <v>3.88</v>
      </c>
      <c r="M80" s="3285" t="s">
        <v>3295</v>
      </c>
      <c r="N80" s="3285" t="s">
        <v>3114</v>
      </c>
    </row>
    <row r="81" spans="1:14" hidden="1">
      <c r="A81" s="3285" t="s">
        <v>3296</v>
      </c>
      <c r="B81" s="3285" t="s">
        <v>3087</v>
      </c>
      <c r="C81" s="3285" t="s">
        <v>3088</v>
      </c>
      <c r="D81" s="3285">
        <v>871.97</v>
      </c>
      <c r="E81" s="3285">
        <v>3086.77</v>
      </c>
      <c r="F81" s="3285" t="s">
        <v>3297</v>
      </c>
      <c r="G81" s="3285" t="s">
        <v>3103</v>
      </c>
      <c r="H81" s="3285" t="s">
        <v>3298</v>
      </c>
      <c r="I81" s="3285">
        <v>172</v>
      </c>
      <c r="J81" s="3285">
        <v>200</v>
      </c>
      <c r="K81" s="3285">
        <v>647.91999999999996</v>
      </c>
      <c r="L81" s="3285">
        <v>16.28</v>
      </c>
      <c r="M81" s="3285" t="s">
        <v>3299</v>
      </c>
      <c r="N81" s="3285" t="s">
        <v>3114</v>
      </c>
    </row>
    <row r="82" spans="1:14" hidden="1">
      <c r="A82" s="3285" t="s">
        <v>3296</v>
      </c>
      <c r="B82" s="3285" t="s">
        <v>3087</v>
      </c>
      <c r="C82" s="3285" t="s">
        <v>3088</v>
      </c>
      <c r="D82" s="3285">
        <v>715.7</v>
      </c>
      <c r="E82" s="3285">
        <v>2533.58</v>
      </c>
      <c r="F82" s="3285" t="s">
        <v>3297</v>
      </c>
      <c r="G82" s="3285" t="s">
        <v>3103</v>
      </c>
      <c r="H82" s="3285" t="s">
        <v>3298</v>
      </c>
      <c r="I82" s="3285">
        <v>141</v>
      </c>
      <c r="J82" s="3285">
        <v>165</v>
      </c>
      <c r="K82" s="3285">
        <v>651.25</v>
      </c>
      <c r="L82" s="3285">
        <v>17.02</v>
      </c>
      <c r="M82" s="3285" t="s">
        <v>3299</v>
      </c>
      <c r="N82" s="3285" t="s">
        <v>3114</v>
      </c>
    </row>
    <row r="83" spans="1:14" hidden="1">
      <c r="A83" s="3285" t="s">
        <v>3296</v>
      </c>
      <c r="B83" s="3285" t="s">
        <v>3087</v>
      </c>
      <c r="C83" s="3285" t="s">
        <v>3088</v>
      </c>
      <c r="D83" s="3285">
        <v>6744.5</v>
      </c>
      <c r="E83" s="3285">
        <v>23875.53</v>
      </c>
      <c r="F83" s="3285" t="s">
        <v>3297</v>
      </c>
      <c r="G83" s="3285" t="s">
        <v>3103</v>
      </c>
      <c r="H83" s="3285" t="s">
        <v>3298</v>
      </c>
      <c r="I83" s="3285">
        <v>1329</v>
      </c>
      <c r="J83" s="3285">
        <v>1549</v>
      </c>
      <c r="K83" s="3285">
        <v>648.77</v>
      </c>
      <c r="L83" s="3285">
        <v>16.55</v>
      </c>
      <c r="M83" s="3285" t="s">
        <v>3299</v>
      </c>
      <c r="N83" s="3285" t="s">
        <v>3114</v>
      </c>
    </row>
    <row r="84" spans="1:14" hidden="1">
      <c r="A84" s="3285" t="s">
        <v>3300</v>
      </c>
      <c r="B84" s="3285" t="s">
        <v>3087</v>
      </c>
      <c r="C84" s="3285" t="s">
        <v>3088</v>
      </c>
      <c r="D84" s="3285">
        <v>5548.49</v>
      </c>
      <c r="E84" s="3285">
        <v>17755.169999999998</v>
      </c>
      <c r="F84" s="3285" t="s">
        <v>3301</v>
      </c>
      <c r="G84" s="3285" t="s">
        <v>3122</v>
      </c>
      <c r="H84" s="3285" t="s">
        <v>3302</v>
      </c>
      <c r="I84" s="3285" t="s">
        <v>1326</v>
      </c>
      <c r="J84" s="3285">
        <v>523</v>
      </c>
      <c r="K84" s="3285">
        <v>294.56</v>
      </c>
      <c r="L84" s="3285" t="s">
        <v>1326</v>
      </c>
      <c r="M84" s="3285" t="s">
        <v>3303</v>
      </c>
      <c r="N84" s="3285" t="s">
        <v>3114</v>
      </c>
    </row>
    <row r="85" spans="1:14" hidden="1">
      <c r="A85" s="3285" t="s">
        <v>3304</v>
      </c>
      <c r="B85" s="3285" t="s">
        <v>3087</v>
      </c>
      <c r="C85" s="3285" t="s">
        <v>3088</v>
      </c>
      <c r="D85" s="3285">
        <v>8121</v>
      </c>
      <c r="E85" s="3285">
        <v>28423.5</v>
      </c>
      <c r="F85" s="3285" t="s">
        <v>3231</v>
      </c>
      <c r="G85" s="3285" t="s">
        <v>3122</v>
      </c>
      <c r="H85" s="3285" t="s">
        <v>3302</v>
      </c>
      <c r="I85" s="3285" t="s">
        <v>1326</v>
      </c>
      <c r="J85" s="3285">
        <v>889</v>
      </c>
      <c r="K85" s="3285">
        <v>312.76</v>
      </c>
      <c r="L85" s="3285" t="s">
        <v>1326</v>
      </c>
      <c r="M85" s="3285" t="s">
        <v>3305</v>
      </c>
      <c r="N85" s="3285" t="s">
        <v>3114</v>
      </c>
    </row>
    <row r="86" spans="1:14" hidden="1">
      <c r="A86" s="3285" t="s">
        <v>3306</v>
      </c>
      <c r="B86" s="3285" t="s">
        <v>3087</v>
      </c>
      <c r="C86" s="3285" t="s">
        <v>3088</v>
      </c>
      <c r="D86" s="3285">
        <v>4722.12</v>
      </c>
      <c r="E86" s="3285">
        <v>14166.36</v>
      </c>
      <c r="F86" s="3285" t="s">
        <v>3307</v>
      </c>
      <c r="G86" s="3285" t="s">
        <v>3122</v>
      </c>
      <c r="H86" s="3285" t="s">
        <v>3302</v>
      </c>
      <c r="I86" s="3285" t="s">
        <v>1326</v>
      </c>
      <c r="J86" s="3285">
        <v>442</v>
      </c>
      <c r="K86" s="3285">
        <v>312</v>
      </c>
      <c r="L86" s="3285" t="s">
        <v>1326</v>
      </c>
      <c r="M86" s="3285" t="s">
        <v>3308</v>
      </c>
      <c r="N86" s="3285" t="s">
        <v>3114</v>
      </c>
    </row>
    <row r="87" spans="1:14" hidden="1">
      <c r="A87" s="3285" t="s">
        <v>3309</v>
      </c>
      <c r="B87" s="3285" t="s">
        <v>3087</v>
      </c>
      <c r="C87" s="3285" t="s">
        <v>3088</v>
      </c>
      <c r="D87" s="3285">
        <v>970</v>
      </c>
      <c r="E87" s="3285">
        <v>3395</v>
      </c>
      <c r="F87" s="3285" t="s">
        <v>3231</v>
      </c>
      <c r="G87" s="3285" t="s">
        <v>3122</v>
      </c>
      <c r="H87" s="3285" t="s">
        <v>3302</v>
      </c>
      <c r="I87" s="3285" t="s">
        <v>1326</v>
      </c>
      <c r="J87" s="3285">
        <v>105</v>
      </c>
      <c r="K87" s="3285">
        <v>309.27</v>
      </c>
      <c r="L87" s="3285" t="s">
        <v>1326</v>
      </c>
      <c r="M87" s="3285" t="s">
        <v>3305</v>
      </c>
      <c r="N87" s="3285" t="s">
        <v>3146</v>
      </c>
    </row>
  </sheetData>
  <autoFilter ref="A1:N87">
    <filterColumn colId="2">
      <filters>
        <filter val="其它用地"/>
        <filter val="商业/办公用地"/>
      </filters>
    </filterColumn>
  </autoFilter>
  <phoneticPr fontId="143" type="noConversion"/>
  <pageMargins left="0.75" right="0.75" top="1" bottom="1" header="0.5" footer="0.5"/>
  <pageSetup orientation="portrait" horizontalDpi="300" verticalDpi="3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7" t="s">
        <v>2644</v>
      </c>
      <c r="D4" s="3188"/>
      <c r="E4" s="3189" t="s">
        <v>2645</v>
      </c>
      <c r="F4" s="3190"/>
      <c r="G4" s="3187" t="s">
        <v>2646</v>
      </c>
      <c r="H4" s="3188"/>
      <c r="I4" s="3187" t="s">
        <v>2647</v>
      </c>
      <c r="J4" s="3188"/>
      <c r="K4" s="610" t="s">
        <v>2648</v>
      </c>
      <c r="L4" s="1130"/>
      <c r="M4" s="1131"/>
      <c r="N4" s="1131"/>
      <c r="O4" s="1131"/>
      <c r="P4" s="3191" t="s">
        <v>2649</v>
      </c>
      <c r="Q4" s="3192"/>
      <c r="R4" s="3197" t="s">
        <v>2645</v>
      </c>
      <c r="S4" s="3198"/>
      <c r="T4" s="3197" t="s">
        <v>2646</v>
      </c>
      <c r="U4" s="3198"/>
      <c r="V4" s="3203" t="s">
        <v>2647</v>
      </c>
      <c r="W4" s="3203"/>
      <c r="X4" s="1813"/>
      <c r="Y4" s="3197" t="s">
        <v>2649</v>
      </c>
      <c r="Z4" s="3198"/>
      <c r="AA4" s="3184" t="s">
        <v>2645</v>
      </c>
      <c r="AB4" s="3185" t="s">
        <v>2646</v>
      </c>
      <c r="AC4" s="3184" t="s">
        <v>2647</v>
      </c>
    </row>
    <row r="5" spans="1:29" ht="15">
      <c r="A5" s="404"/>
      <c r="B5" s="405"/>
      <c r="C5" s="3206" t="s">
        <v>2540</v>
      </c>
      <c r="D5" s="3207"/>
      <c r="E5" s="3213" t="s">
        <v>2541</v>
      </c>
      <c r="F5" s="3214"/>
      <c r="G5" s="3206" t="s">
        <v>2542</v>
      </c>
      <c r="H5" s="3207"/>
      <c r="I5" s="3206" t="s">
        <v>2543</v>
      </c>
      <c r="J5" s="3207"/>
      <c r="K5" s="610"/>
      <c r="L5" s="1130"/>
      <c r="M5" s="1131"/>
      <c r="N5" s="1131"/>
      <c r="O5" s="1131"/>
      <c r="P5" s="3193"/>
      <c r="Q5" s="3194"/>
      <c r="R5" s="3199"/>
      <c r="S5" s="3200"/>
      <c r="T5" s="3199"/>
      <c r="U5" s="3200"/>
      <c r="V5" s="3203"/>
      <c r="W5" s="3203"/>
      <c r="X5" s="1813"/>
      <c r="Y5" s="3199"/>
      <c r="Z5" s="3200"/>
      <c r="AA5" s="3185"/>
      <c r="AB5" s="3185"/>
      <c r="AC5" s="3185"/>
    </row>
    <row r="6" spans="1:29" ht="15.75" thickBot="1">
      <c r="A6" s="406"/>
      <c r="B6" s="407"/>
      <c r="C6" s="3235" t="s">
        <v>2794</v>
      </c>
      <c r="D6" s="3236"/>
      <c r="E6" s="3237" t="s">
        <v>2794</v>
      </c>
      <c r="F6" s="3238"/>
      <c r="G6" s="3235" t="s">
        <v>2794</v>
      </c>
      <c r="H6" s="3236"/>
      <c r="I6" s="3235" t="s">
        <v>2794</v>
      </c>
      <c r="J6" s="3236"/>
      <c r="K6" s="610" t="s">
        <v>2545</v>
      </c>
      <c r="L6" s="1130"/>
      <c r="M6" s="1131"/>
      <c r="N6" s="1131"/>
      <c r="O6" s="1131"/>
      <c r="P6" s="3195"/>
      <c r="Q6" s="3196"/>
      <c r="R6" s="3199"/>
      <c r="S6" s="3200"/>
      <c r="T6" s="3201"/>
      <c r="U6" s="3202"/>
      <c r="V6" s="3203"/>
      <c r="W6" s="3203"/>
      <c r="X6" s="1813"/>
      <c r="Y6" s="3201"/>
      <c r="Z6" s="3202"/>
      <c r="AA6" s="3186"/>
      <c r="AB6" s="3186"/>
      <c r="AC6" s="3186"/>
    </row>
    <row r="7" spans="1:29" s="117" customFormat="1" ht="15.75" thickBot="1">
      <c r="A7" s="408" t="s">
        <v>2546</v>
      </c>
      <c r="B7" s="409"/>
      <c r="C7" s="410">
        <f>'数据-取费表'!B2</f>
        <v>43966</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8" t="s">
        <v>2547</v>
      </c>
      <c r="Q7" s="3210"/>
      <c r="R7" s="770" t="s">
        <v>17</v>
      </c>
      <c r="S7" s="771">
        <f t="shared" ref="S7:S15" si="0">F7</f>
        <v>0</v>
      </c>
      <c r="T7" s="770" t="s">
        <v>17</v>
      </c>
      <c r="U7" s="771">
        <f t="shared" ref="U7:U15" si="1">H7</f>
        <v>0</v>
      </c>
      <c r="V7" s="770" t="s">
        <v>17</v>
      </c>
      <c r="W7" s="771">
        <f t="shared" ref="W7:W15" si="2">J7</f>
        <v>0</v>
      </c>
      <c r="X7" s="772"/>
      <c r="Y7" s="3208" t="s">
        <v>2547</v>
      </c>
      <c r="Z7" s="320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2550</v>
      </c>
      <c r="Q8" s="3209"/>
      <c r="R8" s="770" t="s">
        <v>17</v>
      </c>
      <c r="S8" s="771">
        <f t="shared" si="0"/>
        <v>0</v>
      </c>
      <c r="T8" s="770" t="s">
        <v>17</v>
      </c>
      <c r="U8" s="771">
        <f t="shared" si="1"/>
        <v>0</v>
      </c>
      <c r="V8" s="770" t="s">
        <v>17</v>
      </c>
      <c r="W8" s="771">
        <f t="shared" si="2"/>
        <v>0</v>
      </c>
      <c r="X8" s="772"/>
      <c r="Y8" s="3208" t="s">
        <v>2550</v>
      </c>
      <c r="Z8" s="3209"/>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2" t="s">
        <v>2553</v>
      </c>
      <c r="Q9" s="1795" t="str">
        <f t="shared" ref="Q9:Q15" si="6">B9</f>
        <v>用途</v>
      </c>
      <c r="R9" s="770" t="s">
        <v>17</v>
      </c>
      <c r="S9" s="771">
        <f t="shared" si="0"/>
        <v>100</v>
      </c>
      <c r="T9" s="770" t="s">
        <v>17</v>
      </c>
      <c r="U9" s="771">
        <f t="shared" si="1"/>
        <v>100</v>
      </c>
      <c r="V9" s="770" t="s">
        <v>17</v>
      </c>
      <c r="W9" s="771">
        <f t="shared" si="2"/>
        <v>100</v>
      </c>
      <c r="X9" s="772"/>
      <c r="Y9" s="299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172"/>
      <c r="Q10" s="1795" t="str">
        <f t="shared" si="6"/>
        <v>土地使用年限（年）</v>
      </c>
      <c r="R10" s="770" t="s">
        <v>17</v>
      </c>
      <c r="S10" s="771">
        <f t="shared" si="0"/>
        <v>107</v>
      </c>
      <c r="T10" s="770" t="s">
        <v>17</v>
      </c>
      <c r="U10" s="771">
        <f t="shared" si="1"/>
        <v>107</v>
      </c>
      <c r="V10" s="770" t="s">
        <v>17</v>
      </c>
      <c r="W10" s="771">
        <f t="shared" si="2"/>
        <v>107</v>
      </c>
      <c r="X10" s="772"/>
      <c r="Y10" s="2997"/>
      <c r="Z10" s="55" t="str">
        <f t="shared" si="7"/>
        <v>土地使用年限（年）</v>
      </c>
      <c r="AA10" s="773">
        <f t="shared" si="3"/>
        <v>0.93457943925233644</v>
      </c>
      <c r="AB10" s="773">
        <f t="shared" si="4"/>
        <v>0.93457943925233644</v>
      </c>
      <c r="AC10" s="773">
        <f t="shared" si="5"/>
        <v>0.93457943925233644</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2558</v>
      </c>
      <c r="Q15" s="1810" t="str">
        <f t="shared" si="6"/>
        <v>产业集聚程度</v>
      </c>
      <c r="R15" s="774" t="s">
        <v>17</v>
      </c>
      <c r="S15" s="775">
        <f t="shared" si="0"/>
        <v>100</v>
      </c>
      <c r="T15" s="774" t="s">
        <v>17</v>
      </c>
      <c r="U15" s="775">
        <f t="shared" si="1"/>
        <v>100</v>
      </c>
      <c r="V15" s="774" t="s">
        <v>17</v>
      </c>
      <c r="W15" s="775">
        <f t="shared" si="2"/>
        <v>100</v>
      </c>
      <c r="X15" s="1813"/>
      <c r="Y15" s="3174"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10" t="str">
        <f t="shared" ref="Q19:Q33" si="8">B19</f>
        <v>区域土地利用方向</v>
      </c>
      <c r="R19" s="774" t="s">
        <v>17</v>
      </c>
      <c r="S19" s="775">
        <f>F19</f>
        <v>100</v>
      </c>
      <c r="T19" s="774" t="s">
        <v>17</v>
      </c>
      <c r="U19" s="775">
        <f>H19</f>
        <v>100</v>
      </c>
      <c r="V19" s="774" t="s">
        <v>17</v>
      </c>
      <c r="W19" s="775">
        <f>J19</f>
        <v>100</v>
      </c>
      <c r="X19" s="1813"/>
      <c r="Y19" s="3175"/>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75"/>
      <c r="Q20" s="1810"/>
      <c r="R20" s="774"/>
      <c r="S20" s="775"/>
      <c r="T20" s="774"/>
      <c r="U20" s="775"/>
      <c r="V20" s="774"/>
      <c r="W20" s="775"/>
      <c r="X20" s="1813"/>
      <c r="Y20" s="3175"/>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10" t="str">
        <f t="shared" si="8"/>
        <v>环境状况</v>
      </c>
      <c r="R21" s="774" t="s">
        <v>17</v>
      </c>
      <c r="S21" s="775">
        <f>F21</f>
        <v>100</v>
      </c>
      <c r="T21" s="774" t="s">
        <v>17</v>
      </c>
      <c r="U21" s="775">
        <f>H21</f>
        <v>100</v>
      </c>
      <c r="V21" s="774" t="s">
        <v>17</v>
      </c>
      <c r="W21" s="775">
        <f>J21</f>
        <v>100</v>
      </c>
      <c r="X21" s="1813"/>
      <c r="Y21" s="3175"/>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5" t="str">
        <f t="shared" si="8"/>
        <v>公共配套设施</v>
      </c>
      <c r="R23" s="770" t="s">
        <v>17</v>
      </c>
      <c r="S23" s="771">
        <f>F23</f>
        <v>100</v>
      </c>
      <c r="T23" s="770" t="s">
        <v>17</v>
      </c>
      <c r="U23" s="771">
        <f>H23</f>
        <v>100</v>
      </c>
      <c r="V23" s="770" t="s">
        <v>17</v>
      </c>
      <c r="W23" s="771">
        <f>J23</f>
        <v>100</v>
      </c>
      <c r="X23" s="772"/>
      <c r="Y23" s="3175"/>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75"/>
      <c r="Q24" s="1795"/>
      <c r="R24" s="770"/>
      <c r="S24" s="771"/>
      <c r="T24" s="770"/>
      <c r="U24" s="771"/>
      <c r="V24" s="770"/>
      <c r="W24" s="771"/>
      <c r="X24" s="772"/>
      <c r="Y24" s="3175"/>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5"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75"/>
      <c r="Q26" s="1795"/>
      <c r="R26" s="770"/>
      <c r="S26" s="771"/>
      <c r="T26" s="770"/>
      <c r="U26" s="771"/>
      <c r="V26" s="770"/>
      <c r="W26" s="771"/>
      <c r="X26" s="772"/>
      <c r="Y26" s="317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5"/>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10" t="str">
        <f t="shared" si="8"/>
        <v>毗邻道路的类型与等级</v>
      </c>
      <c r="R28" s="774" t="s">
        <v>17</v>
      </c>
      <c r="S28" s="775">
        <f t="shared" si="10"/>
        <v>100</v>
      </c>
      <c r="T28" s="774" t="s">
        <v>17</v>
      </c>
      <c r="U28" s="775">
        <f t="shared" si="11"/>
        <v>100</v>
      </c>
      <c r="V28" s="774" t="s">
        <v>17</v>
      </c>
      <c r="W28" s="775">
        <f t="shared" si="12"/>
        <v>100</v>
      </c>
      <c r="X28" s="1813"/>
      <c r="Y28" s="3175"/>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75"/>
      <c r="Q29" s="1810"/>
      <c r="R29" s="774"/>
      <c r="S29" s="775"/>
      <c r="T29" s="774"/>
      <c r="U29" s="775"/>
      <c r="V29" s="774"/>
      <c r="W29" s="775"/>
      <c r="X29" s="1813"/>
      <c r="Y29" s="3175"/>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10" t="str">
        <f t="shared" si="8"/>
        <v>土地级别</v>
      </c>
      <c r="R30" s="774" t="s">
        <v>17</v>
      </c>
      <c r="S30" s="775">
        <f t="shared" si="10"/>
        <v>100</v>
      </c>
      <c r="T30" s="774" t="s">
        <v>17</v>
      </c>
      <c r="U30" s="775">
        <f t="shared" si="11"/>
        <v>100</v>
      </c>
      <c r="V30" s="774" t="s">
        <v>17</v>
      </c>
      <c r="W30" s="775">
        <f t="shared" si="12"/>
        <v>100</v>
      </c>
      <c r="X30" s="1813"/>
      <c r="Y30" s="3175"/>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10">
        <f t="shared" si="8"/>
        <v>111</v>
      </c>
      <c r="R31" s="774" t="s">
        <v>17</v>
      </c>
      <c r="S31" s="775">
        <f t="shared" si="10"/>
        <v>100</v>
      </c>
      <c r="T31" s="774" t="s">
        <v>17</v>
      </c>
      <c r="U31" s="775">
        <f t="shared" si="11"/>
        <v>100</v>
      </c>
      <c r="V31" s="774" t="s">
        <v>17</v>
      </c>
      <c r="W31" s="775">
        <f t="shared" si="12"/>
        <v>100</v>
      </c>
      <c r="X31" s="1813"/>
      <c r="Y31" s="3175"/>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0" t="s">
        <v>2563</v>
      </c>
      <c r="Q32" s="1810">
        <f t="shared" si="8"/>
        <v>111</v>
      </c>
      <c r="R32" s="774" t="s">
        <v>17</v>
      </c>
      <c r="S32" s="775">
        <f t="shared" si="10"/>
        <v>100</v>
      </c>
      <c r="T32" s="774" t="s">
        <v>17</v>
      </c>
      <c r="U32" s="775">
        <f t="shared" si="11"/>
        <v>100</v>
      </c>
      <c r="V32" s="774" t="s">
        <v>17</v>
      </c>
      <c r="W32" s="775">
        <f t="shared" si="12"/>
        <v>100</v>
      </c>
      <c r="X32" s="1813"/>
      <c r="Y32" s="3179"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10" t="str">
        <f>B34</f>
        <v>宗地面积</v>
      </c>
      <c r="R34" s="774" t="s">
        <v>17</v>
      </c>
      <c r="S34" s="775" t="e">
        <f t="shared" si="10"/>
        <v>#N/A</v>
      </c>
      <c r="T34" s="774" t="s">
        <v>17</v>
      </c>
      <c r="U34" s="775" t="e">
        <f t="shared" si="11"/>
        <v>#N/A</v>
      </c>
      <c r="V34" s="774" t="s">
        <v>17</v>
      </c>
      <c r="W34" s="775" t="e">
        <f t="shared" si="12"/>
        <v>#N/A</v>
      </c>
      <c r="X34" s="1813"/>
      <c r="Y34" s="3179"/>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79" t="s">
        <v>2563</v>
      </c>
      <c r="Q37" s="1810" t="str">
        <f t="shared" si="14"/>
        <v>工程地质条件</v>
      </c>
      <c r="R37" s="774" t="s">
        <v>17</v>
      </c>
      <c r="S37" s="775">
        <f t="shared" si="10"/>
        <v>100</v>
      </c>
      <c r="T37" s="774" t="s">
        <v>17</v>
      </c>
      <c r="U37" s="775">
        <f t="shared" si="11"/>
        <v>100</v>
      </c>
      <c r="V37" s="774" t="s">
        <v>17</v>
      </c>
      <c r="W37" s="775">
        <f t="shared" si="12"/>
        <v>100</v>
      </c>
      <c r="X37" s="1813"/>
      <c r="Y37" s="3179"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2718</v>
      </c>
      <c r="B41" s="2704" t="s">
        <v>2797</v>
      </c>
      <c r="C41" s="682" t="s">
        <v>1</v>
      </c>
      <c r="D41" s="481"/>
      <c r="E41" s="482"/>
      <c r="F41" s="483"/>
      <c r="G41" s="484"/>
      <c r="H41" s="485"/>
      <c r="I41" s="482"/>
      <c r="J41" s="485"/>
      <c r="K41" s="783"/>
      <c r="L41" s="1143"/>
      <c r="M41" s="1131"/>
      <c r="N41" s="1131"/>
      <c r="O41" s="1144"/>
      <c r="P41" s="3172" t="str">
        <f>A41</f>
        <v>成交单价</v>
      </c>
      <c r="Q41" s="3172"/>
      <c r="R41" s="3203">
        <f>E41</f>
        <v>0</v>
      </c>
      <c r="S41" s="3203"/>
      <c r="T41" s="3203">
        <f>G41</f>
        <v>0</v>
      </c>
      <c r="U41" s="3203"/>
      <c r="V41" s="3203">
        <f>I41</f>
        <v>0</v>
      </c>
      <c r="W41" s="320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187" t="s">
        <v>2761</v>
      </c>
      <c r="H50" s="3233"/>
      <c r="I50" s="1814" t="s">
        <v>2798</v>
      </c>
      <c r="J50" s="1814" t="str">
        <f>项目基本情况!F35</f>
        <v>山西省长治市</v>
      </c>
      <c r="K50" s="2708" t="s">
        <v>2763</v>
      </c>
      <c r="L50" s="1106"/>
      <c r="M50" s="1144"/>
      <c r="N50" s="1144"/>
      <c r="O50" s="1144"/>
    </row>
    <row r="51" spans="1:17" s="692" customFormat="1">
      <c r="A51" s="688" t="s">
        <v>2764</v>
      </c>
      <c r="B51" s="689" t="e">
        <f>C43</f>
        <v>#DIV/0!</v>
      </c>
      <c r="C51" s="690">
        <v>1</v>
      </c>
      <c r="D51" s="1163">
        <v>1</v>
      </c>
      <c r="E51" s="690">
        <f>'数据-汇总表'!E8+'数据-汇总表'!E9</f>
        <v>32963.68</v>
      </c>
      <c r="F51" s="691" t="e">
        <f t="shared" ref="F51:F60" si="15">ROUND(B51*E51/10000,0)</f>
        <v>#DIV/0!</v>
      </c>
      <c r="G51" s="3183"/>
      <c r="H51" s="3172"/>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9"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2380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9"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0"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15680.97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43" sqref="R43:W4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2815</v>
      </c>
      <c r="B3" s="248" t="e">
        <f>ROUND(B2*10000/D1,0)</f>
        <v>#DIV/0!</v>
      </c>
      <c r="C3" s="2721" t="s">
        <v>2816</v>
      </c>
      <c r="D3" s="2722" t="s">
        <v>2817</v>
      </c>
      <c r="E3" s="2727"/>
      <c r="F3" s="2728" t="s">
        <v>2818</v>
      </c>
      <c r="G3" s="916">
        <f>IF(F3="宗地容积率",'数据-汇总表'!I4,IF(F3="估价对象容积率",'数据-汇总表'!I6,'数据-汇总表'!I7))</f>
        <v>2.1</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2"/>
      <c r="B4" s="3243"/>
      <c r="C4" s="3243"/>
      <c r="D4" s="3244"/>
      <c r="E4" s="3244"/>
      <c r="F4" s="3244"/>
      <c r="G4" s="3244"/>
      <c r="H4" s="3244"/>
      <c r="I4" s="3244"/>
      <c r="J4" s="3245"/>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t="e">
        <f>ROUND(IF(E2="商业",C6*C7+C16,(IF(E2="住宅",C6*C12+C16,C6+C16))),0)</f>
        <v>#DIV/0!</v>
      </c>
      <c r="D5" s="1787" t="e">
        <f>ROUND(C6+C16,0)</f>
        <v>#DIV/0!</v>
      </c>
      <c r="E5" s="1787"/>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46" t="str">
        <f>IF(E2="商业",IF(C8="不临58条商业街","",2),"")</f>
        <v/>
      </c>
      <c r="B7" s="2745" t="s">
        <v>2829</v>
      </c>
      <c r="C7" s="919" t="e">
        <f>IF(C8="不临58条商业街",1,ROUND(1+(1.6*E8+1.2*E9+0.8*E10+0.4*E11)*C9,4))</f>
        <v>#DIV/0!</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2832</v>
      </c>
      <c r="X7" s="1604">
        <f>G2</f>
        <v>0</v>
      </c>
      <c r="Y7" s="1604" t="s">
        <v>2833</v>
      </c>
      <c r="Z7" s="1605">
        <f>G3</f>
        <v>2.1</v>
      </c>
      <c r="AA7" s="1606"/>
      <c r="AB7" s="1606"/>
      <c r="AC7" s="1607"/>
      <c r="AD7" s="1608"/>
      <c r="AE7" s="1608"/>
      <c r="AF7" s="1608"/>
      <c r="AG7" s="1608"/>
      <c r="AH7" s="1608"/>
      <c r="AI7" s="1608"/>
      <c r="AJ7" s="1609"/>
    </row>
    <row r="8" spans="1:36" ht="15">
      <c r="A8" s="3247"/>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39" t="s">
        <v>2837</v>
      </c>
      <c r="X8" s="3240"/>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47"/>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1"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7"/>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7"/>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1" t="s">
        <v>2861</v>
      </c>
      <c r="X11" s="1614" t="s">
        <v>2862</v>
      </c>
      <c r="Y11" s="1615">
        <f>$G$3</f>
        <v>2.1</v>
      </c>
      <c r="Z11" s="1615">
        <f t="shared" ref="Z11:AJ11" si="3">$G$3</f>
        <v>2.1</v>
      </c>
      <c r="AA11" s="1615">
        <f t="shared" si="3"/>
        <v>2.1</v>
      </c>
      <c r="AB11" s="1615">
        <f t="shared" si="3"/>
        <v>2.1</v>
      </c>
      <c r="AC11" s="1615">
        <f t="shared" si="3"/>
        <v>2.1</v>
      </c>
      <c r="AD11" s="1615">
        <f t="shared" si="3"/>
        <v>2.1</v>
      </c>
      <c r="AE11" s="1615">
        <f t="shared" si="3"/>
        <v>2.1</v>
      </c>
      <c r="AF11" s="1615">
        <f t="shared" si="3"/>
        <v>2.1</v>
      </c>
      <c r="AG11" s="1615">
        <f t="shared" si="3"/>
        <v>2.1</v>
      </c>
      <c r="AH11" s="1615">
        <f t="shared" si="3"/>
        <v>2.1</v>
      </c>
      <c r="AI11" s="1615">
        <f t="shared" si="3"/>
        <v>2.1</v>
      </c>
      <c r="AJ11" s="1615">
        <f t="shared" si="3"/>
        <v>2.1</v>
      </c>
    </row>
    <row r="12" spans="1:36" ht="25.5" thickBot="1">
      <c r="A12" s="3246"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1"/>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8"/>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t="e">
        <f t="shared" si="0"/>
        <v>#DIV/0!</v>
      </c>
      <c r="U13" s="1603"/>
      <c r="V13" s="1602" t="e">
        <f t="shared" si="1"/>
        <v>#DIV/0!</v>
      </c>
      <c r="W13" s="3241"/>
      <c r="X13" s="1616"/>
      <c r="Y13" s="1613">
        <f>(-0.163*(Y12^2)-0.59*Y12+7617)*(10^(-4))/Y11</f>
        <v>0.36271428571428571</v>
      </c>
      <c r="Z13" s="1613">
        <f t="shared" ref="Z13:AJ13" si="5">(-0.163*(Z12^2)-0.59*Z12+7617)*(10^(-4))/Z11</f>
        <v>0.36271428571428571</v>
      </c>
      <c r="AA13" s="1613">
        <f t="shared" si="5"/>
        <v>0.36271428571428571</v>
      </c>
      <c r="AB13" s="1613">
        <f t="shared" si="5"/>
        <v>0.36271428571428571</v>
      </c>
      <c r="AC13" s="1613">
        <f t="shared" si="5"/>
        <v>0.36271428571428571</v>
      </c>
      <c r="AD13" s="1613">
        <f t="shared" si="5"/>
        <v>0.36271428571428571</v>
      </c>
      <c r="AE13" s="1613">
        <f t="shared" si="5"/>
        <v>0.36271428571428571</v>
      </c>
      <c r="AF13" s="1613">
        <f t="shared" si="5"/>
        <v>0.36271428571428571</v>
      </c>
      <c r="AG13" s="1613">
        <f t="shared" si="5"/>
        <v>0.36271428571428571</v>
      </c>
      <c r="AH13" s="1613">
        <f t="shared" si="5"/>
        <v>0.36271428571428571</v>
      </c>
      <c r="AI13" s="1613">
        <f t="shared" si="5"/>
        <v>0.36271428571428571</v>
      </c>
      <c r="AJ13" s="1613">
        <f t="shared" si="5"/>
        <v>0.36271428571428571</v>
      </c>
    </row>
    <row r="14" spans="1:36" ht="15">
      <c r="A14" s="3248"/>
      <c r="B14" s="2768"/>
      <c r="C14" s="2769"/>
      <c r="D14" s="2770"/>
      <c r="E14" s="2770"/>
      <c r="F14" s="2771"/>
      <c r="G14" s="2772" t="s">
        <v>2874</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49"/>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6" t="s">
        <v>2880</v>
      </c>
      <c r="B16" s="2745" t="s">
        <v>2881</v>
      </c>
      <c r="C16" s="2932" t="e">
        <f>ROUND(IF(F17="与级别开发程度一致",0,(G17-E17)/C17),0)</f>
        <v>#DIV/0!</v>
      </c>
      <c r="D16" s="3260" t="s">
        <v>2885</v>
      </c>
      <c r="E16" s="3261"/>
      <c r="F16" s="3260" t="s">
        <v>2882</v>
      </c>
      <c r="G16" s="3261"/>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0"/>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ROUND(IF(H19="按公示增长率计算",SUMPRODUCT((地价!A3:A29=YEAR(G19)&amp;"-"&amp;ROUNDUP(MONTH(G19)/3,0))*(地价!X2:AB2=E2)*(地价!X3:AB29)),IF(H19="地价指数",M20/M19,(1+I19)^O19)),4)</f>
        <v>#VALUE!</v>
      </c>
      <c r="D19" s="2789" t="s">
        <v>2889</v>
      </c>
      <c r="E19" s="925">
        <v>41640</v>
      </c>
      <c r="F19" s="2789" t="s">
        <v>2890</v>
      </c>
      <c r="G19" s="926">
        <f>'数据-取费表'!B2</f>
        <v>43966</v>
      </c>
      <c r="H19" s="2790"/>
      <c r="I19" s="927" t="str">
        <f>IF(H19="季度增幅（自定义）",SUMIF(N21:N24,E2,O21:O24),"")</f>
        <v/>
      </c>
      <c r="J19" s="2787"/>
      <c r="K19" s="1377"/>
      <c r="L19" s="2791" t="s">
        <v>2891</v>
      </c>
      <c r="M19" s="1734">
        <f>ROUND(SUMIF(地价!B2:F2,E2,地价!B29:F29),0)</f>
        <v>0</v>
      </c>
      <c r="N19" s="279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8">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5">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10" t="s">
        <v>2904</v>
      </c>
      <c r="D22" s="1810" t="b">
        <f>IF(E22=G22,F22,IF(G3&lt;=10,ROUND(F22+(H22-F22)*(G3-E22)/(G22-E22),4),"——"))</f>
        <v>0</v>
      </c>
      <c r="E22" s="916">
        <f>ROUNDDOWN(G3,1)</f>
        <v>2.1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2905</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v>
      </c>
      <c r="D24" s="2786"/>
      <c r="E24" s="2815"/>
      <c r="F24" s="2815"/>
      <c r="G24" s="2815"/>
      <c r="H24" s="2815"/>
      <c r="I24" s="2815"/>
      <c r="J24" s="2816"/>
      <c r="K24" s="1377"/>
      <c r="N24" s="2817" t="s">
        <v>2910</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7"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59"/>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9" t="s">
        <v>2940</v>
      </c>
      <c r="C47" s="1809" t="s">
        <v>2941</v>
      </c>
      <c r="D47" s="1809" t="s">
        <v>2942</v>
      </c>
      <c r="E47" s="819" t="s">
        <v>2943</v>
      </c>
      <c r="F47" s="2871" t="s">
        <v>2944</v>
      </c>
      <c r="G47" s="1809" t="s">
        <v>754</v>
      </c>
      <c r="H47" s="2872" t="s">
        <v>2945</v>
      </c>
      <c r="I47" s="1809"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9"/>
      <c r="C58" s="1809" t="s">
        <v>2941</v>
      </c>
      <c r="D58" s="1809" t="s">
        <v>2942</v>
      </c>
      <c r="E58" s="819" t="s">
        <v>2943</v>
      </c>
      <c r="F58" s="2871" t="s">
        <v>2959</v>
      </c>
      <c r="G58" s="1809" t="s">
        <v>754</v>
      </c>
      <c r="H58" s="2872" t="s">
        <v>2945</v>
      </c>
      <c r="I58" s="1809"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9"/>
      <c r="C69" s="1809" t="s">
        <v>2941</v>
      </c>
      <c r="D69" s="1809" t="s">
        <v>2942</v>
      </c>
      <c r="E69" s="819" t="s">
        <v>2943</v>
      </c>
      <c r="F69" s="2871" t="s">
        <v>2959</v>
      </c>
      <c r="G69" s="1809" t="s">
        <v>754</v>
      </c>
      <c r="H69" s="2872" t="s">
        <v>2945</v>
      </c>
      <c r="I69" s="1809"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9"/>
      <c r="C80" s="1809" t="s">
        <v>2941</v>
      </c>
      <c r="D80" s="1809" t="s">
        <v>2942</v>
      </c>
      <c r="E80" s="819" t="s">
        <v>2943</v>
      </c>
      <c r="F80" s="2871" t="s">
        <v>2959</v>
      </c>
      <c r="G80" s="1809" t="s">
        <v>754</v>
      </c>
      <c r="H80" s="2872" t="s">
        <v>2945</v>
      </c>
      <c r="I80" s="1809"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51" t="s">
        <v>2969</v>
      </c>
      <c r="B90" s="3251"/>
      <c r="C90" s="3251"/>
      <c r="D90" s="3251"/>
      <c r="E90" s="3251"/>
      <c r="F90" s="3251"/>
      <c r="G90" s="3251"/>
      <c r="H90" s="3251"/>
      <c r="I90" s="3251"/>
      <c r="J90" s="3251"/>
      <c r="K90" s="2884"/>
      <c r="L90" s="2884"/>
      <c r="M90" s="2884"/>
      <c r="N90" s="2884"/>
    </row>
    <row r="91" spans="1:37">
      <c r="A91" s="3253" t="s">
        <v>2970</v>
      </c>
      <c r="B91" s="3253" t="s">
        <v>2971</v>
      </c>
      <c r="C91" s="2838" t="s">
        <v>2972</v>
      </c>
      <c r="D91" s="2839"/>
      <c r="E91" s="2839"/>
      <c r="F91" s="2839"/>
      <c r="G91" s="2839"/>
      <c r="H91" s="2839"/>
      <c r="I91" s="2839"/>
      <c r="J91" s="2885"/>
      <c r="K91" s="2886"/>
      <c r="L91" s="2886"/>
      <c r="M91" s="2886"/>
      <c r="N91" s="2886"/>
    </row>
    <row r="92" spans="1:37">
      <c r="A92" s="3253"/>
      <c r="B92" s="325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4"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5"/>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4" t="s">
        <v>2974</v>
      </c>
      <c r="B101" s="2891" t="s">
        <v>2975</v>
      </c>
      <c r="C101" s="2892">
        <f>$G$3</f>
        <v>2.1</v>
      </c>
      <c r="D101" s="2892">
        <f t="shared" ref="D101:N101" si="31">$G$3</f>
        <v>2.1</v>
      </c>
      <c r="E101" s="2892">
        <f t="shared" si="31"/>
        <v>2.1</v>
      </c>
      <c r="F101" s="2892">
        <f t="shared" si="31"/>
        <v>2.1</v>
      </c>
      <c r="G101" s="2892">
        <f t="shared" si="31"/>
        <v>2.1</v>
      </c>
      <c r="H101" s="2892">
        <f t="shared" si="31"/>
        <v>2.1</v>
      </c>
      <c r="I101" s="2892">
        <f t="shared" si="31"/>
        <v>2.1</v>
      </c>
      <c r="J101" s="2892">
        <f t="shared" si="31"/>
        <v>2.1</v>
      </c>
      <c r="K101" s="2892">
        <f t="shared" si="31"/>
        <v>2.1</v>
      </c>
      <c r="L101" s="2892">
        <f t="shared" si="31"/>
        <v>2.1</v>
      </c>
      <c r="M101" s="2892">
        <f t="shared" si="31"/>
        <v>2.1</v>
      </c>
      <c r="N101" s="2892">
        <f t="shared" si="31"/>
        <v>2.1</v>
      </c>
    </row>
    <row r="102" spans="1:14">
      <c r="A102" s="3255"/>
      <c r="B102" s="2887">
        <v>1</v>
      </c>
      <c r="C102" s="2888">
        <f>1.9362/C101</f>
        <v>0.92199999999999993</v>
      </c>
      <c r="D102" s="2888">
        <f>1.9362/D101</f>
        <v>0.92199999999999993</v>
      </c>
      <c r="E102" s="2888">
        <f>1.8629/E101</f>
        <v>0.88709523809523805</v>
      </c>
      <c r="F102" s="2888">
        <f>1.8629/F101</f>
        <v>0.88709523809523805</v>
      </c>
      <c r="G102" s="2888">
        <f>1.8629/G101</f>
        <v>0.88709523809523805</v>
      </c>
      <c r="H102" s="2888">
        <f>1.8629/H101</f>
        <v>0.88709523809523805</v>
      </c>
      <c r="I102" s="2888">
        <f>1.8629/I101</f>
        <v>0.88709523809523805</v>
      </c>
      <c r="J102" s="2888">
        <f>1.942/J101</f>
        <v>0.92476190476190467</v>
      </c>
      <c r="K102" s="2888">
        <f>1.942/K101</f>
        <v>0.92476190476190467</v>
      </c>
      <c r="L102" s="2888">
        <f>1.942/L101</f>
        <v>0.92476190476190467</v>
      </c>
      <c r="M102" s="2888">
        <f>1.942/M101</f>
        <v>0.92476190476190467</v>
      </c>
      <c r="N102" s="2888">
        <f>1.942/N101</f>
        <v>0.92476190476190467</v>
      </c>
    </row>
    <row r="103" spans="1:14">
      <c r="A103" s="3255"/>
      <c r="B103" s="2887">
        <v>2</v>
      </c>
      <c r="C103" s="2888">
        <f>1.4198/C101</f>
        <v>0.67609523809523808</v>
      </c>
      <c r="D103" s="2888">
        <f>1.4198/D101</f>
        <v>0.67609523809523808</v>
      </c>
      <c r="E103" s="2888">
        <f>1.3372/E101</f>
        <v>0.63676190476190475</v>
      </c>
      <c r="F103" s="2888">
        <f>1.3372/F101</f>
        <v>0.63676190476190475</v>
      </c>
      <c r="G103" s="2888">
        <f>1.3372/G101</f>
        <v>0.63676190476190475</v>
      </c>
      <c r="H103" s="2888">
        <f>1.3372/H101</f>
        <v>0.63676190476190475</v>
      </c>
      <c r="I103" s="2888">
        <f>1.3372/I101</f>
        <v>0.63676190476190475</v>
      </c>
      <c r="J103" s="2888">
        <f>1.2799/J101</f>
        <v>0.6094761904761905</v>
      </c>
      <c r="K103" s="2888">
        <f>1.2799/K101</f>
        <v>0.6094761904761905</v>
      </c>
      <c r="L103" s="2888">
        <f>1.2799/L101</f>
        <v>0.6094761904761905</v>
      </c>
      <c r="M103" s="2888">
        <f>1.2799/M101</f>
        <v>0.6094761904761905</v>
      </c>
      <c r="N103" s="2888">
        <f>1.2799/N101</f>
        <v>0.6094761904761905</v>
      </c>
    </row>
    <row r="104" spans="1:14">
      <c r="A104" s="3255"/>
      <c r="B104" s="2887">
        <v>3</v>
      </c>
      <c r="C104" s="2888">
        <f>1.1594/C101</f>
        <v>0.55209523809523808</v>
      </c>
      <c r="D104" s="2888">
        <f>1.1594/D101</f>
        <v>0.55209523809523808</v>
      </c>
      <c r="E104" s="2888">
        <f>1.0788/E101</f>
        <v>0.51371428571428568</v>
      </c>
      <c r="F104" s="2888">
        <f>1.0788/F101</f>
        <v>0.51371428571428568</v>
      </c>
      <c r="G104" s="2888">
        <f>1.0788/G101</f>
        <v>0.51371428571428568</v>
      </c>
      <c r="H104" s="2888">
        <f>1.0788/H101</f>
        <v>0.51371428571428568</v>
      </c>
      <c r="I104" s="2888">
        <f>1.0788/I101</f>
        <v>0.51371428571428568</v>
      </c>
      <c r="J104" s="2888">
        <f>1.0072/J101</f>
        <v>0.47961904761904767</v>
      </c>
      <c r="K104" s="2888">
        <f>1.0072/K101</f>
        <v>0.47961904761904767</v>
      </c>
      <c r="L104" s="2888">
        <f>1.0072/L101</f>
        <v>0.47961904761904767</v>
      </c>
      <c r="M104" s="2888">
        <f>1.0072/M101</f>
        <v>0.47961904761904767</v>
      </c>
      <c r="N104" s="2888">
        <f>1.0072/N101</f>
        <v>0.47961904761904767</v>
      </c>
    </row>
    <row r="105" spans="1:14">
      <c r="A105" s="3255"/>
      <c r="B105" s="2887">
        <v>4</v>
      </c>
      <c r="C105" s="2888">
        <f>0.9622/C101</f>
        <v>0.4581904761904762</v>
      </c>
      <c r="D105" s="2888">
        <f>0.9622/D101</f>
        <v>0.4581904761904762</v>
      </c>
      <c r="E105" s="2888">
        <f>0.8656/E101</f>
        <v>0.41219047619047616</v>
      </c>
      <c r="F105" s="2888">
        <f>0.8656/F101</f>
        <v>0.41219047619047616</v>
      </c>
      <c r="G105" s="2888">
        <f>0.8656/G101</f>
        <v>0.41219047619047616</v>
      </c>
      <c r="H105" s="2888">
        <f>0.8656/H101</f>
        <v>0.41219047619047616</v>
      </c>
      <c r="I105" s="2888">
        <f>0.8656/I101</f>
        <v>0.41219047619047616</v>
      </c>
      <c r="J105" s="2888">
        <f>0.7525/J101</f>
        <v>0.35833333333333328</v>
      </c>
      <c r="K105" s="2888">
        <f>0.7525/K101</f>
        <v>0.35833333333333328</v>
      </c>
      <c r="L105" s="2888">
        <f>0.7525/L101</f>
        <v>0.35833333333333328</v>
      </c>
      <c r="M105" s="2888">
        <f>0.7525/M101</f>
        <v>0.35833333333333328</v>
      </c>
      <c r="N105" s="2888">
        <f>0.7525/N101</f>
        <v>0.35833333333333328</v>
      </c>
    </row>
    <row r="106" spans="1:14">
      <c r="A106" s="3255"/>
      <c r="B106" s="2887">
        <v>5</v>
      </c>
      <c r="C106" s="2888">
        <f>0.8417/C101</f>
        <v>0.40080952380952378</v>
      </c>
      <c r="D106" s="2888">
        <f>0.8417/D101</f>
        <v>0.40080952380952378</v>
      </c>
      <c r="E106" s="2888">
        <f>0.7371/E101</f>
        <v>0.35099999999999998</v>
      </c>
      <c r="F106" s="2888">
        <f>0.7371/F101</f>
        <v>0.35099999999999998</v>
      </c>
      <c r="G106" s="2888">
        <f>0.7371/G101</f>
        <v>0.35099999999999998</v>
      </c>
      <c r="H106" s="2888">
        <f>0.7371/H101</f>
        <v>0.35099999999999998</v>
      </c>
      <c r="I106" s="2888">
        <f>0.7371/I101</f>
        <v>0.35099999999999998</v>
      </c>
      <c r="J106" s="2888">
        <f>0.5659/J101</f>
        <v>0.26947619047619042</v>
      </c>
      <c r="K106" s="2888">
        <f>0.5659/K101</f>
        <v>0.26947619047619042</v>
      </c>
      <c r="L106" s="2888">
        <f>0.5659/L101</f>
        <v>0.26947619047619042</v>
      </c>
      <c r="M106" s="2888">
        <f>0.5659/M101</f>
        <v>0.26947619047619042</v>
      </c>
      <c r="N106" s="2888">
        <f>0.5659/N101</f>
        <v>0.26947619047619042</v>
      </c>
    </row>
    <row r="107" spans="1:14">
      <c r="A107" s="3255"/>
      <c r="B107" s="2887">
        <v>6</v>
      </c>
      <c r="C107" s="2888">
        <f>0.7608/C101</f>
        <v>0.36228571428571427</v>
      </c>
      <c r="D107" s="2888">
        <f>0.7608/D101</f>
        <v>0.36228571428571427</v>
      </c>
      <c r="E107" s="2888">
        <f>0.6482/E101</f>
        <v>0.30866666666666664</v>
      </c>
      <c r="F107" s="2888">
        <f>0.6482/F101</f>
        <v>0.30866666666666664</v>
      </c>
      <c r="G107" s="2888">
        <f>0.6482/G101</f>
        <v>0.30866666666666664</v>
      </c>
      <c r="H107" s="2888">
        <f>0.6482/H101</f>
        <v>0.30866666666666664</v>
      </c>
      <c r="I107" s="2888">
        <f>0.6482/I101</f>
        <v>0.30866666666666664</v>
      </c>
      <c r="J107" s="2888">
        <f>0.4525/J101</f>
        <v>0.21547619047619046</v>
      </c>
      <c r="K107" s="2888">
        <f>0.4525/K101</f>
        <v>0.21547619047619046</v>
      </c>
      <c r="L107" s="2888">
        <f>0.4525/L101</f>
        <v>0.21547619047619046</v>
      </c>
      <c r="M107" s="2888">
        <f>0.4525/M101</f>
        <v>0.21547619047619046</v>
      </c>
      <c r="N107" s="2888">
        <f>0.4525/N101</f>
        <v>0.21547619047619046</v>
      </c>
    </row>
    <row r="108" spans="1:14">
      <c r="A108" s="3255"/>
      <c r="B108" s="3112"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6"/>
      <c r="B109" s="3113"/>
      <c r="C109" s="2890">
        <f>(-0.163*(C108^2)-0.59*C108+7617)*(10^(-4))/C101</f>
        <v>0.36271428571428571</v>
      </c>
      <c r="D109" s="2890">
        <f>(-0.163*(D108^2)-0.59*D108+7617)*(10^(-4))/D101</f>
        <v>0.36271428571428571</v>
      </c>
      <c r="E109" s="2890">
        <f>(-0.161*(E108^2)-7.509*E108+6533)*(10^(-4))/E101</f>
        <v>0.31109523809523809</v>
      </c>
      <c r="F109" s="2890">
        <f>(-0.161*(F108^2)-7.509*F108+6533)*(10^(-4))/F101</f>
        <v>0.31109523809523809</v>
      </c>
      <c r="G109" s="2890">
        <f>(-0.161*(G108^2)-7.509*G108+6533)*(10^(-4))/G101</f>
        <v>0.31109523809523809</v>
      </c>
      <c r="H109" s="2890">
        <f>(-0.161*(H108^2)-7.509*H108+6533)*(10^(-4))/H101</f>
        <v>0.31109523809523809</v>
      </c>
      <c r="I109" s="2890">
        <f>(-0.161*(I108^2)-7.509*I108+6533)*(10^(-4))/I101</f>
        <v>0.31109523809523809</v>
      </c>
      <c r="J109" s="2890">
        <f>(-0.214*(J108^2)-21.991*J108+4665)*(10^(-4))/J101</f>
        <v>0.22214285714285714</v>
      </c>
      <c r="K109" s="2890">
        <f>(-0.214*(K108^2)-21.991*K108+4665)*(10^(-4))/K101</f>
        <v>0.22214285714285714</v>
      </c>
      <c r="L109" s="2890">
        <f>(-0.214*(L108^2)-21.991*L108+4665)*(10^(-4))/L101</f>
        <v>0.22214285714285714</v>
      </c>
      <c r="M109" s="2890">
        <f>(-0.214*(M108^2)-21.991*M108+4665)*(10^(-4))/M101</f>
        <v>0.22214285714285714</v>
      </c>
      <c r="N109" s="2890">
        <f>(-0.214*(N108^2)-21.991*N108+4665)*(10^(-4))/N101</f>
        <v>0.22214285714285714</v>
      </c>
    </row>
    <row r="110" spans="1:14">
      <c r="A110" s="3252" t="s">
        <v>2977</v>
      </c>
      <c r="B110" s="3252"/>
      <c r="C110" s="3252"/>
      <c r="D110" s="3252"/>
      <c r="E110" s="3252"/>
      <c r="F110" s="3252"/>
      <c r="G110" s="3252"/>
      <c r="H110" s="3252"/>
      <c r="I110" s="3252"/>
      <c r="J110" s="3252"/>
      <c r="K110" s="2893"/>
      <c r="L110" s="2893"/>
      <c r="M110" s="2893"/>
      <c r="N110" s="2893"/>
    </row>
    <row r="112" spans="1:14" ht="13.5" thickBot="1"/>
    <row r="113" spans="1:13" ht="25.5" thickBot="1">
      <c r="A113" s="903" t="s">
        <v>2978</v>
      </c>
      <c r="B113" s="1287">
        <f>G3</f>
        <v>2.1</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0.91379999999999995</v>
      </c>
      <c r="C115" s="910">
        <f>B115</f>
        <v>0.91379999999999995</v>
      </c>
      <c r="D115" s="910">
        <f>ROUND(0.8331-0.0109*B113,4)</f>
        <v>0.81020000000000003</v>
      </c>
      <c r="E115" s="910">
        <f>D115</f>
        <v>0.81020000000000003</v>
      </c>
      <c r="F115" s="910">
        <f>E115</f>
        <v>0.81020000000000003</v>
      </c>
      <c r="G115" s="910">
        <f>F115</f>
        <v>0.81020000000000003</v>
      </c>
      <c r="H115" s="910">
        <f>G115</f>
        <v>0.81020000000000003</v>
      </c>
      <c r="I115" s="910">
        <f>ROUND(0.689-0.0155*B113,4)</f>
        <v>0.65649999999999997</v>
      </c>
      <c r="J115" s="910">
        <f t="shared" ref="J115:M118" si="33">I115</f>
        <v>0.65649999999999997</v>
      </c>
      <c r="K115" s="910">
        <f t="shared" si="33"/>
        <v>0.65649999999999997</v>
      </c>
      <c r="L115" s="910">
        <f t="shared" si="33"/>
        <v>0.65649999999999997</v>
      </c>
      <c r="M115" s="911">
        <f t="shared" si="33"/>
        <v>0.65649999999999997</v>
      </c>
    </row>
    <row r="116" spans="1:13">
      <c r="A116" s="909" t="s">
        <v>2877</v>
      </c>
      <c r="B116" s="910">
        <f>ROUND(0.949-0.012*B113,4)</f>
        <v>0.92379999999999995</v>
      </c>
      <c r="C116" s="910">
        <f>B116</f>
        <v>0.92379999999999995</v>
      </c>
      <c r="D116" s="910">
        <f>ROUND(0.8567-0.013*B113,4)</f>
        <v>0.82940000000000003</v>
      </c>
      <c r="E116" s="910">
        <f t="shared" ref="E116:H117" si="34">D116</f>
        <v>0.82940000000000003</v>
      </c>
      <c r="F116" s="910">
        <f t="shared" si="34"/>
        <v>0.82940000000000003</v>
      </c>
      <c r="G116" s="910">
        <f t="shared" si="34"/>
        <v>0.82940000000000003</v>
      </c>
      <c r="H116" s="910">
        <f t="shared" si="34"/>
        <v>0.82940000000000003</v>
      </c>
      <c r="I116" s="910">
        <f>ROUND(0.7694-0.014*B113,4)</f>
        <v>0.74</v>
      </c>
      <c r="J116" s="910">
        <f t="shared" si="33"/>
        <v>0.74</v>
      </c>
      <c r="K116" s="910">
        <f t="shared" si="33"/>
        <v>0.74</v>
      </c>
      <c r="L116" s="910">
        <f t="shared" si="33"/>
        <v>0.74</v>
      </c>
      <c r="M116" s="911">
        <f t="shared" si="33"/>
        <v>0.74</v>
      </c>
    </row>
    <row r="117" spans="1:13">
      <c r="A117" s="909" t="s">
        <v>2878</v>
      </c>
      <c r="B117" s="910">
        <f>ROUND(0.8808-0.006*B113,4)</f>
        <v>0.86819999999999997</v>
      </c>
      <c r="C117" s="910">
        <f>B117</f>
        <v>0.86819999999999997</v>
      </c>
      <c r="D117" s="910">
        <f>ROUND(0.8748-0.008*B113,4)</f>
        <v>0.85799999999999998</v>
      </c>
      <c r="E117" s="910">
        <f t="shared" si="34"/>
        <v>0.85799999999999998</v>
      </c>
      <c r="F117" s="910">
        <f t="shared" si="34"/>
        <v>0.85799999999999998</v>
      </c>
      <c r="G117" s="910">
        <f t="shared" si="34"/>
        <v>0.85799999999999998</v>
      </c>
      <c r="H117" s="910">
        <f t="shared" si="34"/>
        <v>0.85799999999999998</v>
      </c>
      <c r="I117" s="910">
        <f>ROUND(0.7412-0.0095*B113,4)</f>
        <v>0.72130000000000005</v>
      </c>
      <c r="J117" s="910">
        <f t="shared" si="33"/>
        <v>0.72130000000000005</v>
      </c>
      <c r="K117" s="910">
        <f t="shared" si="33"/>
        <v>0.72130000000000005</v>
      </c>
      <c r="L117" s="910">
        <f t="shared" si="33"/>
        <v>0.72130000000000005</v>
      </c>
      <c r="M117" s="911">
        <f t="shared" si="33"/>
        <v>0.72130000000000005</v>
      </c>
    </row>
    <row r="118" spans="1:13" ht="13.5" thickBot="1">
      <c r="A118" s="714" t="s">
        <v>2879</v>
      </c>
      <c r="B118" s="912">
        <f>ROUND(0.7275-0.01*B113,4)</f>
        <v>0.70650000000000002</v>
      </c>
      <c r="C118" s="912">
        <f>B118</f>
        <v>0.70650000000000002</v>
      </c>
      <c r="D118" s="912">
        <f>ROUND(0.7043-0.012*B113,4)</f>
        <v>0.67910000000000004</v>
      </c>
      <c r="E118" s="912">
        <f>D118</f>
        <v>0.67910000000000004</v>
      </c>
      <c r="F118" s="912">
        <f>E118</f>
        <v>0.67910000000000004</v>
      </c>
      <c r="G118" s="912">
        <f>ROUND(0.6299-0.0122*B113,4)</f>
        <v>0.60429999999999995</v>
      </c>
      <c r="H118" s="912">
        <f>G118</f>
        <v>0.60429999999999995</v>
      </c>
      <c r="I118" s="912">
        <f>ROUND(0.5667-0.0136*B113,4)</f>
        <v>0.53810000000000002</v>
      </c>
      <c r="J118" s="912">
        <f t="shared" si="33"/>
        <v>0.53810000000000002</v>
      </c>
      <c r="K118" s="912">
        <f t="shared" si="33"/>
        <v>0.53810000000000002</v>
      </c>
      <c r="L118" s="912">
        <f t="shared" si="33"/>
        <v>0.53810000000000002</v>
      </c>
      <c r="M118" s="913">
        <f t="shared" si="33"/>
        <v>0.53810000000000002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R43" sqref="R43:W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8" t="s">
        <v>1145</v>
      </c>
      <c r="C1" s="3268"/>
      <c r="D1" s="3268"/>
      <c r="E1" s="3268"/>
      <c r="F1" s="3268"/>
      <c r="G1" s="3267" t="s">
        <v>1146</v>
      </c>
      <c r="H1" s="3267"/>
      <c r="I1" s="3267"/>
      <c r="J1" s="3267"/>
      <c r="K1" s="3267"/>
      <c r="L1" s="3267"/>
      <c r="N1" s="3267" t="s">
        <v>1147</v>
      </c>
      <c r="O1" s="3267"/>
      <c r="P1" s="3267"/>
      <c r="Q1" s="3267"/>
      <c r="R1" s="1446"/>
      <c r="S1" s="3267" t="s">
        <v>1148</v>
      </c>
      <c r="T1" s="3267"/>
      <c r="U1" s="3267"/>
      <c r="V1" s="3267"/>
      <c r="X1" s="3266" t="s">
        <v>1149</v>
      </c>
      <c r="Y1" s="3267"/>
      <c r="Z1" s="3267"/>
      <c r="AA1" s="3267"/>
      <c r="AB1" s="3267"/>
      <c r="AD1" s="3266" t="s">
        <v>1150</v>
      </c>
      <c r="AE1" s="3267"/>
      <c r="AF1" s="3267"/>
      <c r="AG1" s="3267"/>
      <c r="AH1" s="326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2">
        <v>2020</v>
      </c>
      <c r="H5" s="1730">
        <v>1</v>
      </c>
      <c r="I5" s="2914">
        <v>0</v>
      </c>
      <c r="J5" s="2914">
        <v>0</v>
      </c>
      <c r="K5" s="2914">
        <v>0</v>
      </c>
      <c r="L5" s="2914">
        <v>0</v>
      </c>
      <c r="N5" s="1467">
        <f t="shared" ref="N5" si="7">I5/100</f>
        <v>0</v>
      </c>
      <c r="O5" s="1467">
        <f t="shared" ref="O5" si="8">J5/100</f>
        <v>0</v>
      </c>
      <c r="P5" s="1467">
        <f t="shared" ref="P5" si="9">K5/100</f>
        <v>0</v>
      </c>
      <c r="Q5" s="1467">
        <f t="shared" ref="Q5" si="10">L5/100</f>
        <v>0</v>
      </c>
      <c r="R5" s="1732"/>
      <c r="S5" s="1733"/>
      <c r="T5" s="1732"/>
      <c r="U5" s="1732"/>
      <c r="V5" s="1732"/>
      <c r="W5" s="2917" t="s">
        <v>3036</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6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3031</v>
      </c>
      <c r="B14" s="1469">
        <v>439</v>
      </c>
      <c r="C14" s="1469">
        <v>327</v>
      </c>
      <c r="D14" s="1469">
        <f>C14</f>
        <v>327</v>
      </c>
      <c r="E14" s="1469">
        <v>627</v>
      </c>
      <c r="F14" s="1470">
        <v>283</v>
      </c>
      <c r="G14" s="326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6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7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估价结果一览表（市场价值不需“结果表-1”）</v>
      </c>
      <c r="B3" s="2959"/>
      <c r="C3" s="2959"/>
      <c r="D3" s="2959"/>
      <c r="E3" s="2959"/>
    </row>
    <row r="4" spans="1:5" ht="19.5" thickBot="1">
      <c r="A4" s="1960"/>
      <c r="B4" s="2957" t="s">
        <v>1624</v>
      </c>
      <c r="C4" s="2957"/>
      <c r="D4" s="2957"/>
      <c r="E4" s="1960"/>
    </row>
    <row r="5" spans="1:5" ht="16.5" thickTop="1">
      <c r="A5" s="1958"/>
      <c r="B5" s="2955" t="s">
        <v>1616</v>
      </c>
      <c r="C5" s="1961" t="s">
        <v>1617</v>
      </c>
      <c r="D5" s="1040">
        <f ca="1">结果表!H101</f>
        <v>22282</v>
      </c>
      <c r="E5" s="1958"/>
    </row>
    <row r="6" spans="1:5" ht="15.75">
      <c r="A6" s="1958"/>
      <c r="B6" s="2955"/>
      <c r="C6" s="1961" t="s">
        <v>1618</v>
      </c>
      <c r="D6" s="1040" t="str">
        <f ca="1">NUMBERSTRING(INT(D5*10000),2)&amp;"元整"</f>
        <v>贰亿贰仟贰佰捌拾贰万元整</v>
      </c>
      <c r="E6" s="1958"/>
    </row>
    <row r="7" spans="1:5" ht="15.75">
      <c r="A7" s="1958"/>
      <c r="B7" s="2960"/>
      <c r="C7" s="1962" t="s">
        <v>1619</v>
      </c>
      <c r="D7" s="1041">
        <f ca="1">结果表!H102</f>
        <v>6110</v>
      </c>
      <c r="E7" s="1958"/>
    </row>
    <row r="8" spans="1:5" ht="15.75">
      <c r="A8" s="1958"/>
      <c r="B8" s="2961" t="str">
        <f>结果表!E103</f>
        <v>2.估价师知悉的法定优先受偿款</v>
      </c>
      <c r="C8" s="1963" t="s">
        <v>1620</v>
      </c>
      <c r="D8" s="1041">
        <f>结果表!H103</f>
        <v>0</v>
      </c>
      <c r="E8" s="1958"/>
    </row>
    <row r="9" spans="1:5" ht="15.75">
      <c r="A9" s="1958"/>
      <c r="B9" s="2963"/>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4" t="str">
        <f>结果表!E107</f>
        <v>3.房地产抵押价值</v>
      </c>
      <c r="C13" s="1966" t="s">
        <v>1617</v>
      </c>
      <c r="D13" s="1043">
        <f ca="1">结果表!H107</f>
        <v>22282</v>
      </c>
      <c r="E13" s="1958"/>
    </row>
    <row r="14" spans="1:5" ht="15.75">
      <c r="A14" s="1958"/>
      <c r="B14" s="2955"/>
      <c r="C14" s="1961" t="s">
        <v>1618</v>
      </c>
      <c r="D14" s="1040" t="str">
        <f ca="1">NUMBERSTRING(INT(D13*10000),2)&amp;"元整"</f>
        <v>贰亿贰仟贰佰捌拾贰万元整</v>
      </c>
      <c r="E14" s="1958"/>
    </row>
    <row r="15" spans="1:5" ht="15">
      <c r="A15" s="1958"/>
      <c r="B15" s="2960"/>
      <c r="C15" s="1962" t="s">
        <v>1628</v>
      </c>
      <c r="D15" s="1052">
        <f ca="1">结果表!H108</f>
        <v>6110</v>
      </c>
      <c r="E15" s="1958"/>
    </row>
    <row r="16" spans="1:5" ht="15">
      <c r="A16" s="1958"/>
      <c r="B16" s="2961" t="str">
        <f>结果表!E109</f>
        <v>——</v>
      </c>
      <c r="C16" s="1966" t="s">
        <v>1629</v>
      </c>
      <c r="D16" s="1967" t="str">
        <f>结果表!H109</f>
        <v>——</v>
      </c>
      <c r="E16" s="1958"/>
    </row>
    <row r="17" spans="1:5" ht="15.75">
      <c r="A17" s="1958"/>
      <c r="B17" s="2962"/>
      <c r="C17" s="1961" t="s">
        <v>1630</v>
      </c>
      <c r="D17" s="1040" t="e">
        <f>NUMBERSTRING(INT(D16*10000),2)&amp;"元整"</f>
        <v>#VALUE!</v>
      </c>
      <c r="E17" s="1958"/>
    </row>
    <row r="18" spans="1:5" ht="15">
      <c r="A18" s="1958"/>
      <c r="B18" s="2963"/>
      <c r="C18" s="1962" t="s">
        <v>1619</v>
      </c>
      <c r="D18" s="1052" t="str">
        <f>结果表!H110</f>
        <v>——</v>
      </c>
      <c r="E18" s="1958"/>
    </row>
    <row r="19" spans="1:5" ht="15.75">
      <c r="A19" s="1958"/>
      <c r="B19" s="2954" t="str">
        <f>结果表!E111</f>
        <v>——</v>
      </c>
      <c r="C19" s="1966" t="s">
        <v>1617</v>
      </c>
      <c r="D19" s="1041" t="str">
        <f>结果表!H111</f>
        <v>——</v>
      </c>
      <c r="E19" s="1958"/>
    </row>
    <row r="20" spans="1:5" ht="15.75">
      <c r="A20" s="1958"/>
      <c r="B20" s="2955"/>
      <c r="C20" s="1961" t="s">
        <v>1630</v>
      </c>
      <c r="D20" s="1040" t="e">
        <f>NUMBERSTRING(INT(D19*10000),2)&amp;"元整"</f>
        <v>#VALUE!</v>
      </c>
      <c r="E20" s="1958"/>
    </row>
    <row r="21" spans="1:5" ht="15.75" thickBot="1">
      <c r="A21" s="1958"/>
      <c r="B21" s="2956"/>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5" t="s">
        <v>3003</v>
      </c>
      <c r="D1" s="3276"/>
      <c r="E1" s="3276"/>
      <c r="F1" s="3276"/>
      <c r="G1" s="3276"/>
      <c r="H1" s="3276"/>
      <c r="I1" s="3276"/>
      <c r="J1" s="3276"/>
      <c r="K1" s="3276"/>
      <c r="L1" s="3276"/>
      <c r="M1" s="3276"/>
      <c r="N1" s="3276"/>
      <c r="O1" s="3276"/>
      <c r="P1" s="3276"/>
      <c r="Q1" s="3276"/>
      <c r="R1" s="3276"/>
      <c r="S1" s="327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34" t="s">
        <v>33</v>
      </c>
      <c r="D22" s="3135"/>
      <c r="E22" s="3135"/>
      <c r="F22" s="3135"/>
      <c r="G22" s="3135"/>
      <c r="H22" s="3135"/>
      <c r="I22" s="3135"/>
      <c r="J22" s="3135"/>
      <c r="K22" s="3135"/>
      <c r="L22" s="3135"/>
      <c r="M22" s="3135"/>
      <c r="N22" s="3135"/>
      <c r="O22" s="3135"/>
      <c r="P22" s="3135"/>
      <c r="Q22" s="327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37120</v>
      </c>
      <c r="C2" s="2" t="s">
        <v>133</v>
      </c>
      <c r="D2" s="243"/>
      <c r="E2" s="243"/>
      <c r="F2" s="243"/>
      <c r="G2" s="243"/>
    </row>
    <row r="3" spans="1:7" s="244" customFormat="1" ht="18" customHeight="1" thickBot="1">
      <c r="A3" s="247" t="s">
        <v>85</v>
      </c>
      <c r="B3" s="248">
        <f ca="1">ROUND(B2*10000/'数据-汇总表'!E3,0)</f>
        <v>10179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240</v>
      </c>
      <c r="F9" s="265"/>
      <c r="G9" s="270"/>
    </row>
    <row r="10" spans="1:7" s="258" customFormat="1" ht="13.5" customHeight="1">
      <c r="A10" s="950" t="s">
        <v>801</v>
      </c>
      <c r="B10" s="268" t="s">
        <v>94</v>
      </c>
      <c r="C10" s="269">
        <f>ROUND(D10*E10/10000,0)</f>
        <v>875</v>
      </c>
      <c r="D10" s="1032">
        <f>'数据-汇总表'!E6</f>
        <v>36467.32</v>
      </c>
      <c r="E10" s="269">
        <f>'数据-取费表'!B28</f>
        <v>240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438</v>
      </c>
      <c r="D19" s="1036">
        <f>'数据-汇总表'!E3</f>
        <v>36467.32</v>
      </c>
      <c r="E19" s="255">
        <f>'数据-取费表'!B31</f>
        <v>120</v>
      </c>
      <c r="F19" s="275"/>
      <c r="G19" s="1" t="s">
        <v>1070</v>
      </c>
    </row>
    <row r="20" spans="1:7" s="258" customFormat="1" ht="13.5" customHeight="1">
      <c r="A20" s="948" t="s">
        <v>1053</v>
      </c>
      <c r="B20" s="254" t="s">
        <v>104</v>
      </c>
      <c r="C20" s="276">
        <f>ROUND((C5+C19)*F20,0)</f>
        <v>421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2067</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3263</v>
      </c>
      <c r="D27" s="279">
        <f>C29</f>
        <v>3.0000000000000001E-3</v>
      </c>
      <c r="E27" s="280" t="s">
        <v>126</v>
      </c>
      <c r="F27" s="290">
        <f>'数据-取费表'!Q16</f>
        <v>0.19</v>
      </c>
      <c r="G27" s="291" t="s">
        <v>1065</v>
      </c>
    </row>
    <row r="28" spans="1:7" s="258" customFormat="1" ht="13.5" customHeight="1">
      <c r="A28" s="951" t="s">
        <v>794</v>
      </c>
      <c r="B28" s="292" t="s">
        <v>1058</v>
      </c>
      <c r="C28" s="293">
        <f>ROUND((C5+C19+C20)*F27*'数据-取费表'!B21/'数据-取费表'!B20,0)</f>
        <v>3263</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5.2500000000000005E-2</v>
      </c>
      <c r="D30" s="280" t="s">
        <v>127</v>
      </c>
      <c r="E30" s="285"/>
      <c r="F30" s="281">
        <f>'数据-取费表'!B41</f>
        <v>5.2500000000000005E-2</v>
      </c>
      <c r="G30" s="278" t="s">
        <v>113</v>
      </c>
    </row>
    <row r="31" spans="1:7" ht="16.5" customHeight="1">
      <c r="A31" s="253">
        <v>1</v>
      </c>
      <c r="B31" s="254" t="s">
        <v>128</v>
      </c>
      <c r="C31" s="255">
        <f ca="1">ROUND((C5+C19+C20+C22+C27)/(1-C21-D22-D27-C30/(1+'数据-取费表'!B42)),0)</f>
        <v>28941</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5994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5213</v>
      </c>
      <c r="D34" s="261"/>
      <c r="E34" s="264"/>
      <c r="F34" s="301">
        <f>IF('数据-取费表'!B24=0,1,'数据-取费表'!N16)</f>
        <v>0.75</v>
      </c>
      <c r="G34" s="263" t="s">
        <v>116</v>
      </c>
    </row>
    <row r="35" spans="1:7" ht="13.5" customHeight="1">
      <c r="A35" s="951" t="s">
        <v>796</v>
      </c>
      <c r="B35" s="259" t="s">
        <v>60</v>
      </c>
      <c r="C35" s="264">
        <f>ROUND(C34*F35,0)</f>
        <v>156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547</v>
      </c>
      <c r="D37" s="261">
        <f>'数据-汇总表'!E3</f>
        <v>36467.32</v>
      </c>
      <c r="E37" s="293">
        <f>'数据-取费表'!B35</f>
        <v>200</v>
      </c>
      <c r="F37" s="303"/>
      <c r="G37" s="305" t="s">
        <v>119</v>
      </c>
    </row>
    <row r="38" spans="1:7" ht="13.5" customHeight="1">
      <c r="A38" s="951" t="s">
        <v>799</v>
      </c>
      <c r="B38" s="259" t="s">
        <v>63</v>
      </c>
      <c r="C38" s="264">
        <f>ROUND(C34*F38,0)</f>
        <v>78</v>
      </c>
      <c r="D38" s="264"/>
      <c r="E38" s="264"/>
      <c r="F38" s="303">
        <f>'数据-取费表'!B36</f>
        <v>1.4999999999999999E-2</v>
      </c>
      <c r="G38" s="263" t="s">
        <v>117</v>
      </c>
    </row>
    <row r="39" spans="1:7" s="258" customFormat="1" ht="13.5" customHeight="1">
      <c r="A39" s="948" t="s">
        <v>783</v>
      </c>
      <c r="B39" s="254" t="s">
        <v>104</v>
      </c>
      <c r="C39" s="276">
        <f>ROUND(C33*F20,0)</f>
        <v>120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291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285</v>
      </c>
      <c r="D42" s="282"/>
      <c r="E42" s="282"/>
      <c r="F42" s="283"/>
      <c r="G42" s="3139" t="s">
        <v>121</v>
      </c>
    </row>
    <row r="43" spans="1:7" ht="13.5" customHeight="1">
      <c r="A43" s="951" t="s">
        <v>792</v>
      </c>
      <c r="B43" s="259" t="s">
        <v>1060</v>
      </c>
      <c r="C43" s="282">
        <f ca="1">ROUND(IF('数据-取费表'!B22&lt;=1,C39*F22*'数据-取费表'!B21/2,C39*(POWER((1+F22),'数据-取费表'!B21/2)-1)),0)</f>
        <v>6</v>
      </c>
      <c r="D43" s="282"/>
      <c r="E43" s="282"/>
      <c r="F43" s="283"/>
      <c r="G43" s="3140"/>
    </row>
    <row r="44" spans="1:7" ht="13.5" customHeight="1">
      <c r="A44" s="951" t="s">
        <v>793</v>
      </c>
      <c r="B44" s="259" t="s">
        <v>1062</v>
      </c>
      <c r="C44" s="282">
        <f ca="1">ROUND(IF('数据-取费表'!B22&lt;=1,C40*F22*'数据-取费表'!B21/2,C40*(POWER((1+F22),'数据-取费表'!B21/2)-1)),4)</f>
        <v>1E-3</v>
      </c>
      <c r="D44" s="282"/>
      <c r="E44" s="282"/>
      <c r="F44" s="283"/>
      <c r="G44" s="3141"/>
    </row>
    <row r="45" spans="1:7" s="258" customFormat="1" ht="13.5" customHeight="1">
      <c r="A45" s="948" t="s">
        <v>786</v>
      </c>
      <c r="B45" s="288" t="s">
        <v>112</v>
      </c>
      <c r="C45" s="289">
        <f>C46</f>
        <v>1162</v>
      </c>
      <c r="D45" s="279">
        <f>C47</f>
        <v>3.8E-3</v>
      </c>
      <c r="E45" s="280" t="s">
        <v>129</v>
      </c>
      <c r="F45" s="290"/>
      <c r="G45" s="291" t="s">
        <v>1068</v>
      </c>
    </row>
    <row r="46" spans="1:7" s="258" customFormat="1" ht="13.5" customHeight="1">
      <c r="A46" s="951" t="s">
        <v>794</v>
      </c>
      <c r="B46" s="292" t="s">
        <v>1061</v>
      </c>
      <c r="C46" s="293">
        <f>ROUND((C33+C39)*F27,0)</f>
        <v>1162</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5.2500000000000005E-2</v>
      </c>
      <c r="D48" s="280" t="s">
        <v>130</v>
      </c>
      <c r="E48" s="276"/>
      <c r="F48" s="281"/>
      <c r="G48" s="278" t="s">
        <v>123</v>
      </c>
    </row>
    <row r="49" spans="1:7" ht="16.5" customHeight="1">
      <c r="A49" s="948" t="s">
        <v>788</v>
      </c>
      <c r="B49" s="254" t="s">
        <v>131</v>
      </c>
      <c r="C49" s="276">
        <f ca="1">ROUND((C33+C39+C41+C45)/(1-C40-D41-D45-C48/(1+'数据-取费表'!B42)),0)</f>
        <v>8179</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8179</v>
      </c>
      <c r="D51" s="276"/>
      <c r="E51" s="276"/>
      <c r="F51" s="308"/>
      <c r="G51" s="278" t="s">
        <v>64</v>
      </c>
    </row>
    <row r="52" spans="1:7" s="252" customFormat="1" ht="16.5" thickBot="1">
      <c r="A52" s="309" t="s">
        <v>65</v>
      </c>
      <c r="B52" s="310"/>
      <c r="C52" s="311">
        <f ca="1">C31+C51</f>
        <v>37120</v>
      </c>
      <c r="D52" s="310"/>
      <c r="E52" s="310"/>
      <c r="F52" s="310"/>
      <c r="G52" s="312"/>
    </row>
    <row r="55" spans="1:7" ht="15">
      <c r="B55" s="314" t="s">
        <v>66</v>
      </c>
      <c r="C55" s="315"/>
    </row>
    <row r="56" spans="1:7">
      <c r="B56" s="317" t="s">
        <v>67</v>
      </c>
      <c r="C56" s="318">
        <f ca="1">ROUND(C51/C52,3)</f>
        <v>0.22</v>
      </c>
    </row>
    <row r="57" spans="1:7">
      <c r="B57" s="317" t="s">
        <v>68</v>
      </c>
      <c r="C57" s="319">
        <f ca="1">1-C56</f>
        <v>0.78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43966</v>
      </c>
      <c r="D1" s="1700" t="s">
        <v>1296</v>
      </c>
      <c r="E1" s="1695">
        <f>'数据-取费表'!B22</f>
        <v>2.5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A39" sqref="A3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估价结果一览表</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房地产市场价值</v>
      </c>
      <c r="I2" s="2974"/>
    </row>
    <row r="3" spans="1:9" ht="15">
      <c r="A3" s="2968"/>
      <c r="B3" s="2968"/>
      <c r="C3" s="2968"/>
      <c r="D3" s="1044" t="s">
        <v>1632</v>
      </c>
      <c r="E3" s="1044" t="s">
        <v>1638</v>
      </c>
      <c r="F3" s="1044" t="s">
        <v>1632</v>
      </c>
      <c r="G3" s="1044" t="s">
        <v>1633</v>
      </c>
      <c r="H3" s="1044" t="s">
        <v>1632</v>
      </c>
      <c r="I3" s="1044" t="s">
        <v>1633</v>
      </c>
    </row>
    <row r="4" spans="1:9" ht="30">
      <c r="A4" s="1972" t="str">
        <f>项目基本情况!S2</f>
        <v>山西省长治市高新区北二环路与太行北路交叉口东南角出让国有建设用地使用权及在建建筑物房地产</v>
      </c>
      <c r="B4" s="1044">
        <f>项目基本情况!C17</f>
        <v>36467.32</v>
      </c>
      <c r="C4" s="1044">
        <f>项目基本情况!C18</f>
        <v>15680.97</v>
      </c>
      <c r="D4" s="1044" t="e">
        <f ca="1">结果表!D118</f>
        <v>#REF!</v>
      </c>
      <c r="E4" s="1044" t="e">
        <f ca="1">结果表!E118</f>
        <v>#REF!</v>
      </c>
      <c r="F4" s="1044" t="e">
        <f ca="1">结果表!F118</f>
        <v>#REF!</v>
      </c>
      <c r="G4" s="1044" t="e">
        <f ca="1">结果表!G118</f>
        <v>#REF!</v>
      </c>
      <c r="H4" s="1044">
        <f ca="1">结果表!H118</f>
        <v>22282</v>
      </c>
      <c r="I4" s="1044">
        <f ca="1">结果表!I118</f>
        <v>6110</v>
      </c>
    </row>
    <row r="5" spans="1:9" ht="30" customHeight="1">
      <c r="A5" s="2968" t="s">
        <v>1634</v>
      </c>
      <c r="B5" s="2968"/>
      <c r="C5" s="2968"/>
      <c r="D5" s="2969" t="e">
        <f ca="1">结果表!D119</f>
        <v>#REF!</v>
      </c>
      <c r="E5" s="2969"/>
      <c r="F5" s="2969" t="e">
        <f ca="1">结果表!F119</f>
        <v>#REF!</v>
      </c>
      <c r="G5" s="2969"/>
      <c r="H5" s="2969" t="str">
        <f ca="1">结果表!H119</f>
        <v>贰亿贰仟贰佰捌拾贰万元整</v>
      </c>
      <c r="I5" s="2969"/>
    </row>
    <row r="6" spans="1:9" ht="15.75">
      <c r="A6" s="2967" t="str">
        <f>结果表!A120</f>
        <v/>
      </c>
      <c r="B6" s="2967"/>
      <c r="C6" s="2967"/>
      <c r="D6" s="2967">
        <f>结果表!D120</f>
        <v>0</v>
      </c>
      <c r="E6" s="2967"/>
      <c r="F6" s="2967"/>
      <c r="G6" s="2967"/>
      <c r="H6" s="2967"/>
      <c r="I6" s="2967"/>
    </row>
    <row r="7" spans="1:9" ht="15">
      <c r="A7" s="2968" t="s">
        <v>1634</v>
      </c>
      <c r="B7" s="2968"/>
      <c r="C7" s="2968"/>
      <c r="D7" s="2970" t="str">
        <f>结果表!D121</f>
        <v>零元整</v>
      </c>
      <c r="E7" s="2971"/>
      <c r="F7" s="2971"/>
      <c r="G7" s="2971"/>
      <c r="H7" s="2971"/>
      <c r="I7" s="2972"/>
    </row>
    <row r="8" spans="1:9" ht="15.75">
      <c r="A8" s="2967" t="str">
        <f>结果表!A122</f>
        <v/>
      </c>
      <c r="B8" s="2967"/>
      <c r="C8" s="2967"/>
      <c r="D8" s="2967">
        <f ca="1">结果表!D122</f>
        <v>22282</v>
      </c>
      <c r="E8" s="2967"/>
      <c r="F8" s="2967"/>
      <c r="G8" s="2967"/>
      <c r="H8" s="2967"/>
      <c r="I8" s="2967"/>
    </row>
    <row r="9" spans="1:9" ht="15">
      <c r="A9" s="2968" t="s">
        <v>1634</v>
      </c>
      <c r="B9" s="2968"/>
      <c r="C9" s="2968"/>
      <c r="D9" s="2969" t="str">
        <f ca="1">结果表!D123</f>
        <v>贰亿贰仟贰佰捌拾贰万元整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1634</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1634</v>
      </c>
      <c r="B13" s="2964"/>
      <c r="C13" s="2964"/>
      <c r="D13" s="2965" t="e">
        <f>结果表!D127</f>
        <v>#VALUE!</v>
      </c>
      <c r="E13" s="2965"/>
      <c r="F13" s="2965"/>
      <c r="G13" s="2965"/>
      <c r="H13" s="2965"/>
      <c r="I13" s="2965"/>
    </row>
    <row r="14" spans="1:9" ht="15" thickTop="1">
      <c r="A14" s="2966" t="s">
        <v>1639</v>
      </c>
      <c r="B14" s="2966"/>
      <c r="C14" s="2966"/>
      <c r="D14" s="2966"/>
      <c r="E14" s="2966"/>
      <c r="F14" s="2966"/>
      <c r="G14" s="2966"/>
      <c r="H14" s="2966"/>
      <c r="I14" s="296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1656</v>
      </c>
      <c r="B1" s="2981"/>
      <c r="C1" s="2981"/>
      <c r="D1" s="2981"/>
    </row>
    <row r="2" spans="1:4" ht="18">
      <c r="A2" s="2982" t="s">
        <v>1640</v>
      </c>
      <c r="B2" s="2982"/>
      <c r="C2" s="2982"/>
      <c r="D2" s="2982"/>
    </row>
    <row r="3" spans="1:4" ht="18.75">
      <c r="A3" s="1976" t="s">
        <v>1641</v>
      </c>
      <c r="B3" s="1976" t="s">
        <v>1642</v>
      </c>
      <c r="C3" s="1976" t="s">
        <v>1643</v>
      </c>
      <c r="D3" s="1976" t="s">
        <v>1644</v>
      </c>
    </row>
    <row r="4" spans="1:4" ht="56.25" customHeight="1">
      <c r="A4" s="1977" t="str">
        <f>项目基本情况!B4</f>
        <v>陈颖</v>
      </c>
      <c r="B4" s="1978">
        <f ca="1">项目基本情况!C4</f>
        <v>1120060040</v>
      </c>
      <c r="C4" s="1979"/>
      <c r="D4" s="1980" t="s">
        <v>1645</v>
      </c>
    </row>
    <row r="5" spans="1:4" ht="56.25" customHeight="1">
      <c r="A5" s="1977" t="str">
        <f>项目基本情况!D4</f>
        <v>叶凌</v>
      </c>
      <c r="B5" s="1978">
        <f ca="1">项目基本情况!E4</f>
        <v>1119970111</v>
      </c>
      <c r="C5" s="1981"/>
      <c r="D5" s="1980" t="s">
        <v>1645</v>
      </c>
    </row>
    <row r="6" spans="1:4" ht="18">
      <c r="A6" s="2982" t="s">
        <v>1646</v>
      </c>
      <c r="B6" s="2982"/>
      <c r="C6" s="2982"/>
      <c r="D6" s="2982"/>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3" t="s">
        <v>1649</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5" t="str">
        <f>IF(项目基本情况!B8="抵押","3.抵押双方在办理抵押登记手续时，应使用本公司出具的正式《房地产评估报告》，特提醒报告使用者注意。","——")</f>
        <v>——</v>
      </c>
      <c r="B13" s="2980"/>
      <c r="C13" s="2980"/>
      <c r="D13" s="2980"/>
    </row>
    <row r="14" spans="1:4" ht="15.75" customHeight="1">
      <c r="A14" s="2975" t="str">
        <f>IF(项目基本情况!B8="抵押","4.本次评估估价师所知悉的法定优先受偿款情况说明如下：","——")</f>
        <v>——</v>
      </c>
      <c r="B14" s="2980"/>
      <c r="C14" s="2980"/>
      <c r="D14" s="2980"/>
    </row>
    <row r="15" spans="1:4" ht="42" customHeight="1">
      <c r="A15" s="2975" t="str">
        <f>IF(项目基本情况!B8="抵押","（1）"&amp;CONCATENATE(项目基本情况!L20,项目基本情况!L21,项目基本情况!L22),"——")</f>
        <v>——</v>
      </c>
      <c r="B15" s="2975"/>
      <c r="C15" s="2975"/>
      <c r="D15" s="2975"/>
    </row>
    <row r="16" spans="1:4" ht="30" customHeight="1">
      <c r="A16" s="2977" t="s">
        <v>1650</v>
      </c>
      <c r="B16" s="2977"/>
      <c r="C16" s="2977"/>
      <c r="D16" s="2977"/>
    </row>
    <row r="17" spans="1:4" ht="144" customHeight="1">
      <c r="A17" s="2977" t="s">
        <v>1651</v>
      </c>
      <c r="B17" s="2977"/>
      <c r="C17" s="2977"/>
      <c r="D17" s="2977"/>
    </row>
    <row r="18" spans="1:4" ht="15.75" customHeight="1">
      <c r="A18" s="2975" t="str">
        <f>IF(项目基本情况!B8="抵押",结果表!K120,"——")</f>
        <v>——</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1652</v>
      </c>
      <c r="B22" s="2979"/>
      <c r="C22" s="2979"/>
      <c r="D22" s="2979"/>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89" t="s">
        <v>1663</v>
      </c>
      <c r="B15" s="2984" t="s">
        <v>136</v>
      </c>
      <c r="C15" s="2985"/>
    </row>
    <row r="16" spans="1:7" ht="13.5">
      <c r="A16" s="2990"/>
      <c r="B16" s="2984" t="s">
        <v>69</v>
      </c>
      <c r="C16" s="2985"/>
    </row>
    <row r="17" spans="1:3" ht="13.5">
      <c r="A17" s="2990"/>
      <c r="B17" s="2987" t="s">
        <v>1664</v>
      </c>
      <c r="C17" s="1999" t="s">
        <v>1663</v>
      </c>
    </row>
    <row r="18" spans="1:3" ht="13.5">
      <c r="A18" s="2990"/>
      <c r="B18" s="2987"/>
      <c r="C18" s="1999" t="s">
        <v>1665</v>
      </c>
    </row>
    <row r="19" spans="1:3" ht="13.5">
      <c r="A19" s="2990"/>
      <c r="B19" s="2987"/>
      <c r="C19" s="1999" t="s">
        <v>1666</v>
      </c>
    </row>
    <row r="20" spans="1:3" ht="13.5">
      <c r="A20" s="2991"/>
      <c r="B20" s="2986" t="s">
        <v>1667</v>
      </c>
      <c r="C20" s="2985"/>
    </row>
    <row r="21" spans="1:3" ht="13.5">
      <c r="A21" s="2000" t="s">
        <v>1668</v>
      </c>
      <c r="B21" s="2001"/>
      <c r="C21" s="2002"/>
    </row>
    <row r="22" spans="1:3" ht="13.5">
      <c r="A22" s="2988" t="s">
        <v>1669</v>
      </c>
      <c r="B22" s="2986" t="s">
        <v>1670</v>
      </c>
      <c r="C22" s="2985"/>
    </row>
    <row r="23" spans="1:3" ht="13.5">
      <c r="A23" s="2988"/>
      <c r="B23" s="2986" t="s">
        <v>1671</v>
      </c>
      <c r="C23" s="2985"/>
    </row>
    <row r="24" spans="1:3" ht="13.5">
      <c r="A24" s="2988"/>
      <c r="B24" s="2986" t="s">
        <v>1672</v>
      </c>
      <c r="C24" s="2985"/>
    </row>
    <row r="25" spans="1:3" ht="13.5">
      <c r="A25" s="2988"/>
      <c r="B25" s="2987" t="s">
        <v>1673</v>
      </c>
      <c r="C25" s="1999" t="s">
        <v>1674</v>
      </c>
    </row>
    <row r="26" spans="1:3" ht="13.5">
      <c r="A26" s="2988"/>
      <c r="B26" s="2987"/>
      <c r="C26" s="1999" t="s">
        <v>1675</v>
      </c>
    </row>
    <row r="27" spans="1:3" ht="13.5">
      <c r="A27" s="2988"/>
      <c r="B27" s="2987"/>
      <c r="C27" s="1999" t="s">
        <v>1676</v>
      </c>
    </row>
    <row r="28" spans="1:3" ht="13.5">
      <c r="A28" s="2988"/>
      <c r="B28" s="2987"/>
      <c r="C28" s="1999" t="s">
        <v>1677</v>
      </c>
    </row>
    <row r="29" spans="1:3" ht="13.5">
      <c r="A29" s="2988"/>
      <c r="B29" s="2987"/>
      <c r="C29" s="1999" t="s">
        <v>1678</v>
      </c>
    </row>
    <row r="30" spans="1:3" ht="13.5">
      <c r="A30" s="2988"/>
      <c r="B30" s="2987"/>
      <c r="C30" s="1999" t="s">
        <v>1679</v>
      </c>
    </row>
    <row r="31" spans="1:3" ht="13.5">
      <c r="A31" s="2988"/>
      <c r="B31" s="2987"/>
      <c r="C31" s="1999" t="s">
        <v>1680</v>
      </c>
    </row>
    <row r="32" spans="1:3" ht="13.5">
      <c r="A32" s="2988"/>
      <c r="B32" s="2987"/>
      <c r="C32" s="1999" t="s">
        <v>1681</v>
      </c>
    </row>
    <row r="33" spans="1:3" ht="13.5">
      <c r="A33" s="2988"/>
      <c r="B33" s="2987"/>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43966</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928">
        <v>44876</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928">
        <v>44876</v>
      </c>
      <c r="D8" s="2349" t="s">
        <v>835</v>
      </c>
      <c r="E8" s="1022">
        <f ca="1">IF(F8&lt;B2,"已过期",2000110082)</f>
        <v>2000110082</v>
      </c>
      <c r="F8" s="1030">
        <v>46387</v>
      </c>
    </row>
    <row r="9" spans="1:6" ht="24" customHeight="1">
      <c r="A9" s="1702" t="s">
        <v>836</v>
      </c>
      <c r="B9" s="1022">
        <f ca="1">IF(C9&lt;B2,"已过期",1419970001)</f>
        <v>1419970001</v>
      </c>
      <c r="C9" s="2928">
        <v>44899</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3043</v>
      </c>
      <c r="B14" s="1022">
        <f ca="1">IF(C14&lt;B2,"已过期",1120040230)</f>
        <v>1120040230</v>
      </c>
      <c r="C14" s="2346">
        <v>44864</v>
      </c>
      <c r="D14" s="2349" t="s">
        <v>3043</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3050</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3052</v>
      </c>
      <c r="B23" s="1022">
        <v>1119980106</v>
      </c>
      <c r="C23" s="2346">
        <v>43916</v>
      </c>
      <c r="D23" s="1702" t="s">
        <v>3055</v>
      </c>
      <c r="E23" s="1022">
        <v>96010063</v>
      </c>
      <c r="F23" s="1030">
        <v>47118</v>
      </c>
    </row>
    <row r="24" spans="1:7" s="1024" customFormat="1" ht="24" customHeight="1">
      <c r="A24" s="1703" t="s">
        <v>1328</v>
      </c>
      <c r="B24" s="1703" t="s">
        <v>1328</v>
      </c>
      <c r="C24" s="2347" t="s">
        <v>1328</v>
      </c>
      <c r="D24" s="2350" t="s">
        <v>1328</v>
      </c>
      <c r="E24" s="1703" t="s">
        <v>1328</v>
      </c>
      <c r="F24" s="1703" t="s">
        <v>1328</v>
      </c>
    </row>
    <row r="25" spans="1:7" ht="24" customHeight="1">
      <c r="A25" s="2992" t="s">
        <v>842</v>
      </c>
      <c r="B25" s="2992"/>
      <c r="C25" s="2992"/>
      <c r="D25" s="2992"/>
      <c r="E25" s="2992"/>
      <c r="F25" s="2992"/>
      <c r="G25" s="2992"/>
    </row>
    <row r="26" spans="1:7" s="1025" customFormat="1" ht="24" customHeight="1">
      <c r="A26" s="2993" t="s">
        <v>843</v>
      </c>
      <c r="B26" s="2993"/>
      <c r="C26" s="2994"/>
      <c r="D26" s="2995" t="s">
        <v>844</v>
      </c>
      <c r="E26" s="2993"/>
      <c r="F26" s="299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中指案例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2020-05-15T06:15:08Z</dcterms:modified>
</cp:coreProperties>
</file>