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39" i="43" l="1"/>
  <c r="D29" i="43"/>
  <c r="E36" i="6" l="1"/>
  <c r="F19" i="6"/>
  <c r="E35" i="6"/>
  <c r="AT27" i="3"/>
  <c r="M27" i="3"/>
  <c r="A3" i="3" l="1"/>
  <c r="M25" i="12" l="1"/>
  <c r="G19" i="6"/>
  <c r="L84" i="77" l="1"/>
  <c r="M86" i="77" l="1"/>
  <c r="M91" i="77"/>
  <c r="J93" i="77"/>
  <c r="K93" i="77" s="1"/>
  <c r="B90" i="77" l="1"/>
  <c r="AT23" i="3"/>
  <c r="AT22" i="3"/>
  <c r="C34" i="40" l="1"/>
  <c r="B7" i="4" l="1"/>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9" i="76"/>
  <c r="B7" i="76"/>
  <c r="B8" i="76"/>
  <c r="E11" i="76"/>
  <c r="B10" i="76"/>
  <c r="B13" i="76"/>
  <c r="E8" i="76"/>
  <c r="E13" i="76"/>
  <c r="E7" i="76"/>
  <c r="E12" i="76"/>
  <c r="B9" i="76"/>
  <c r="E10" i="76"/>
  <c r="B11"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6" i="73"/>
  <c r="F5" i="73"/>
  <c r="F3" i="73"/>
  <c r="F6" i="73"/>
  <c r="D5" i="73"/>
  <c r="D3" i="73"/>
  <c r="I1" i="73" l="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0"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3" i="43"/>
  <c r="D85" i="43"/>
  <c r="D87" i="43"/>
  <c r="D81" i="43"/>
  <c r="D67" i="43"/>
  <c r="D60" i="43"/>
  <c r="D61" i="43"/>
  <c r="D62" i="43"/>
  <c r="D63" i="43"/>
  <c r="D64" i="43"/>
  <c r="D65" i="43"/>
  <c r="D66"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B83" i="77" s="1"/>
  <c r="AD5" i="3"/>
  <c r="AH5" i="3"/>
  <c r="AL5" i="3"/>
  <c r="AP5" i="3"/>
  <c r="B91" i="77"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85" i="77"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W8" i="40"/>
  <c r="AB39" i="40"/>
  <c r="AC40" i="40"/>
  <c r="AA9" i="40"/>
  <c r="AC9" i="40"/>
  <c r="U9" i="40"/>
  <c r="S34" i="40"/>
  <c r="U38" i="40"/>
  <c r="S40"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W14" i="37"/>
  <c r="AB28" i="37"/>
  <c r="U33" i="37"/>
  <c r="U39" i="37"/>
  <c r="W26" i="37"/>
  <c r="AC8" i="37"/>
  <c r="U26" i="37"/>
  <c r="W47" i="34"/>
  <c r="W37" i="34"/>
  <c r="AB37" i="34"/>
  <c r="AC36" i="34"/>
  <c r="AC31" i="33"/>
  <c r="W44"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E8" i="6" s="1"/>
  <c r="F27" i="6" s="1"/>
  <c r="G17" i="3"/>
  <c r="BA17" i="3"/>
  <c r="BT5" i="3"/>
  <c r="AZ350" i="3"/>
  <c r="AZ356" i="3"/>
  <c r="AZ364" i="3"/>
  <c r="AZ368" i="3"/>
  <c r="BA15" i="3"/>
  <c r="BB5" i="3"/>
  <c r="BR5" i="3"/>
  <c r="AZ384" i="3"/>
  <c r="AZ392" i="3"/>
  <c r="AZ394" i="3"/>
  <c r="AZ509" i="3"/>
  <c r="BL493" i="3"/>
  <c r="AZ491" i="3"/>
  <c r="AZ376" i="3"/>
  <c r="AZ382" i="3"/>
  <c r="N4" i="43"/>
  <c r="F36" i="43"/>
  <c r="H113" i="43"/>
  <c r="F48" i="43"/>
  <c r="H52" i="43" s="1"/>
  <c r="N7" i="43"/>
  <c r="F81" i="43" s="1"/>
  <c r="F70" i="43"/>
  <c r="H73" i="43" s="1"/>
  <c r="M6" i="43"/>
  <c r="M11" i="43"/>
  <c r="E17" i="43"/>
  <c r="F39" i="43"/>
  <c r="I17" i="43"/>
  <c r="F35" i="43"/>
  <c r="J17" i="43"/>
  <c r="F6" i="1"/>
  <c r="C10" i="40" s="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F3" i="35"/>
  <c r="D93" i="9"/>
  <c r="J51" i="15"/>
  <c r="AE9" i="1"/>
  <c r="D88" i="43" l="1"/>
  <c r="D84" i="43"/>
  <c r="D82" i="43"/>
  <c r="H83" i="43"/>
  <c r="H86" i="43"/>
  <c r="H87" i="43"/>
  <c r="AZ32" i="3"/>
  <c r="BL32" i="3"/>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s="1"/>
  <c r="D92" i="77"/>
  <c r="B92" i="77"/>
  <c r="C92" i="77" s="1"/>
  <c r="M6" i="1"/>
  <c r="O6" i="1" s="1"/>
  <c r="P6" i="1"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s="1"/>
  <c r="I4" i="6"/>
  <c r="G3" i="43" s="1"/>
  <c r="F22" i="43" s="1"/>
  <c r="B84" i="77"/>
  <c r="F12" i="34"/>
  <c r="J23" i="35"/>
  <c r="J36" i="35"/>
  <c r="H12" i="36"/>
  <c r="H24" i="36"/>
  <c r="AB24" i="36" s="1"/>
  <c r="J38" i="40"/>
  <c r="AC38" i="40" s="1"/>
  <c r="G574" i="3"/>
  <c r="G558" i="3"/>
  <c r="C30" i="9"/>
  <c r="AZ402" i="3"/>
  <c r="AZ418" i="3"/>
  <c r="AZ434" i="3"/>
  <c r="AZ443" i="3"/>
  <c r="AZ445" i="3"/>
  <c r="AZ446" i="3"/>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AZ284" i="3"/>
  <c r="AZ274" i="3"/>
  <c r="G274" i="3"/>
  <c r="BL274" i="3"/>
  <c r="G277" i="3"/>
  <c r="BL277" i="3"/>
  <c r="AZ277" i="3" s="1"/>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AZ290" i="3"/>
  <c r="AZ293" i="3"/>
  <c r="AZ300" i="3"/>
  <c r="AZ122" i="3"/>
  <c r="AZ125" i="3"/>
  <c r="BL22" i="3"/>
  <c r="BL25" i="3"/>
  <c r="AZ25" i="3" s="1"/>
  <c r="AZ70" i="3"/>
  <c r="AZ104" i="3"/>
  <c r="L108" i="43"/>
  <c r="L100" i="4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30" i="3"/>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AZ98" i="3"/>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E59" i="43"/>
  <c r="B57" i="43" s="1"/>
  <c r="F28" i="40"/>
  <c r="AA28" i="40" s="1"/>
  <c r="J28" i="40"/>
  <c r="AC28" i="40" s="1"/>
  <c r="H28" i="40"/>
  <c r="U28" i="40" s="1"/>
  <c r="U23" i="40"/>
  <c r="AC21" i="40"/>
  <c r="S21" i="40"/>
  <c r="W35" i="40"/>
  <c r="BL19" i="3"/>
  <c r="G20" i="3"/>
  <c r="BL21" i="3"/>
  <c r="AZ21" i="3" s="1"/>
  <c r="AZ22" i="3"/>
  <c r="BL18" i="3"/>
  <c r="G19" i="3"/>
  <c r="G23" i="3"/>
  <c r="BL24" i="3"/>
  <c r="AZ24" i="3" s="1"/>
  <c r="BL28" i="3"/>
  <c r="G29" i="3"/>
  <c r="BL30" i="3"/>
  <c r="AZ30" i="3" s="1"/>
  <c r="BA19" i="3"/>
  <c r="E15" i="6"/>
  <c r="E60" i="40" s="1"/>
  <c r="E13" i="6"/>
  <c r="E58" i="40" s="1"/>
  <c r="E12" i="6"/>
  <c r="E63" i="39"/>
  <c r="G29" i="6"/>
  <c r="E29" i="6" s="1"/>
  <c r="BA18" i="3"/>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57" i="40"/>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F43" i="67"/>
  <c r="M9" i="15"/>
  <c r="M23" i="67"/>
  <c r="M28" i="15"/>
  <c r="M26" i="15"/>
  <c r="F7" i="15"/>
  <c r="G1" i="73"/>
  <c r="M24" i="67"/>
  <c r="F37" i="67"/>
  <c r="F26" i="67"/>
  <c r="L47" i="15"/>
  <c r="F6" i="15"/>
  <c r="M29" i="15"/>
  <c r="F9" i="15"/>
  <c r="F6" i="67"/>
  <c r="L47" i="67"/>
  <c r="F40" i="67"/>
  <c r="F7" i="67"/>
  <c r="C76" i="67"/>
  <c r="F9" i="67"/>
  <c r="F38" i="15"/>
  <c r="F13" i="67"/>
  <c r="M29" i="67"/>
  <c r="L48" i="67"/>
  <c r="M8" i="67"/>
  <c r="M6" i="67"/>
  <c r="L48" i="15"/>
  <c r="M6" i="15"/>
  <c r="F26" i="15"/>
  <c r="F16" i="67"/>
  <c r="M23" i="15"/>
  <c r="J15" i="67"/>
  <c r="F43" i="15"/>
  <c r="M24" i="15"/>
  <c r="F42" i="67"/>
  <c r="F40" i="15"/>
  <c r="F8" i="67"/>
  <c r="M28" i="67"/>
  <c r="F36" i="15"/>
  <c r="M22" i="67"/>
  <c r="M8" i="15"/>
  <c r="M22" i="15"/>
  <c r="F38" i="67"/>
  <c r="J15" i="15"/>
  <c r="F37" i="15"/>
  <c r="C76" i="15"/>
  <c r="F16" i="15"/>
  <c r="F8" i="15"/>
  <c r="F36" i="67"/>
  <c r="M9" i="67"/>
  <c r="M26" i="67"/>
  <c r="F13" i="15"/>
  <c r="F42" i="15"/>
  <c r="C24" i="43" l="1"/>
  <c r="AZ18" i="3"/>
  <c r="C101" i="43"/>
  <c r="N104" i="46"/>
  <c r="F101" i="43"/>
  <c r="E22" i="43"/>
  <c r="D22" i="43" s="1"/>
  <c r="B113" i="43"/>
  <c r="J101" i="43"/>
  <c r="G101" i="43"/>
  <c r="N101" i="43"/>
  <c r="K101" i="43"/>
  <c r="AC36" i="35"/>
  <c r="W36" i="35"/>
  <c r="S12" i="34"/>
  <c r="AA12" i="34"/>
  <c r="W45" i="39"/>
  <c r="AC45" i="39"/>
  <c r="AA26" i="33"/>
  <c r="S26" i="33"/>
  <c r="B86" i="77"/>
  <c r="D86" i="77" s="1"/>
  <c r="AZ13" i="3"/>
  <c r="U12" i="36"/>
  <c r="AB12" i="36"/>
  <c r="AC23" i="35"/>
  <c r="W23" i="35"/>
  <c r="C19" i="12"/>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7" i="15"/>
  <c r="C16" i="67"/>
  <c r="C16" i="15"/>
  <c r="E3" i="6" l="1"/>
  <c r="C104" i="43"/>
  <c r="C106" i="43"/>
  <c r="C107" i="43"/>
  <c r="C103" i="43"/>
  <c r="C102" i="43"/>
  <c r="S2" i="43" s="1"/>
  <c r="C105" i="43"/>
  <c r="C109" i="43"/>
  <c r="F104" i="43"/>
  <c r="F102" i="43"/>
  <c r="F105" i="43"/>
  <c r="F109" i="43"/>
  <c r="F107" i="43"/>
  <c r="F106" i="43"/>
  <c r="F103" i="43"/>
  <c r="K27" i="6"/>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2" i="43"/>
  <c r="N103" i="43"/>
  <c r="N106" i="43"/>
  <c r="N104" i="43"/>
  <c r="N109" i="43"/>
  <c r="N105" i="43"/>
  <c r="N107" i="43"/>
  <c r="J104" i="43"/>
  <c r="J103" i="43"/>
  <c r="J105" i="43"/>
  <c r="J107" i="43"/>
  <c r="J102" i="43"/>
  <c r="J106" i="43"/>
  <c r="J109" i="43"/>
  <c r="K103" i="43"/>
  <c r="K107" i="43"/>
  <c r="K104" i="43"/>
  <c r="K106" i="43"/>
  <c r="K102" i="43"/>
  <c r="K105" i="43"/>
  <c r="K109" i="43"/>
  <c r="G105" i="43"/>
  <c r="G103" i="43"/>
  <c r="G102" i="43"/>
  <c r="G107" i="43"/>
  <c r="G104" i="43"/>
  <c r="G106" i="43"/>
  <c r="G109" i="43"/>
  <c r="AQ6" i="1"/>
  <c r="E6" i="70"/>
  <c r="E86" i="77"/>
  <c r="B97" i="77"/>
  <c r="C86" i="77"/>
  <c r="C9" i="68"/>
  <c r="K4" i="4"/>
  <c r="B46" i="48" s="1"/>
  <c r="B4" i="72" s="1"/>
  <c r="B5" i="62"/>
  <c r="B73" i="72" s="1"/>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D14" i="12"/>
  <c r="F28" i="12"/>
  <c r="F27" i="68"/>
  <c r="C115" i="43" l="1"/>
  <c r="D113" i="43" s="1"/>
  <c r="J22" i="43" s="1"/>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P16" i="1"/>
  <c r="C26" i="12"/>
  <c r="F34" i="11"/>
  <c r="C37" i="11" s="1"/>
  <c r="AC10" i="40"/>
  <c r="C26" i="68"/>
  <c r="D22" i="68" s="1"/>
  <c r="C44" i="68"/>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3" i="12"/>
  <c r="D10" i="68"/>
  <c r="F11" i="12"/>
  <c r="D20" i="12"/>
  <c r="F34" i="68"/>
  <c r="C11" i="12"/>
  <c r="D25" i="12" l="1"/>
  <c r="E35" i="12"/>
  <c r="D41" i="68"/>
  <c r="E54" i="68"/>
  <c r="R25" i="6"/>
  <c r="L19" i="9"/>
  <c r="R20" i="6"/>
  <c r="C34" i="11"/>
  <c r="C35" i="11" s="1"/>
  <c r="C20" i="12"/>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C34" i="68"/>
  <c r="C36" i="68"/>
  <c r="E6" i="76"/>
  <c r="C18" i="12" l="1"/>
  <c r="D31" i="6"/>
  <c r="I5" i="6" s="1"/>
  <c r="C38" i="11"/>
  <c r="C33" i="11" s="1"/>
  <c r="C42" i="11" s="1"/>
  <c r="E2" i="76"/>
  <c r="B2" i="43"/>
  <c r="R49" i="21"/>
  <c r="C48" i="21" s="1"/>
  <c r="G54" i="34"/>
  <c r="H54" i="34" s="1"/>
  <c r="I53" i="21"/>
  <c r="J53" i="21" s="1"/>
  <c r="C37" i="36"/>
  <c r="C36" i="36"/>
  <c r="G40" i="36"/>
  <c r="H40" i="36" s="1"/>
  <c r="E41" i="36"/>
  <c r="F41" i="36" s="1"/>
  <c r="G41" i="36"/>
  <c r="H41" i="36" s="1"/>
  <c r="C19" i="68"/>
  <c r="D37" i="68"/>
  <c r="C37" i="68" s="1"/>
  <c r="I6" i="6"/>
  <c r="C11" i="40"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67"/>
  <c r="F35" i="15"/>
  <c r="M21" i="15"/>
  <c r="B6" i="76"/>
  <c r="C21" i="12" l="1"/>
  <c r="C22" i="12" s="1"/>
  <c r="H11" i="40"/>
  <c r="J11" i="40"/>
  <c r="F11" i="40"/>
  <c r="B2" i="76"/>
  <c r="B3" i="76" s="1"/>
  <c r="B3" i="43"/>
  <c r="C49" i="21"/>
  <c r="F63" i="67"/>
  <c r="C62" i="67" s="1"/>
  <c r="C34" i="67"/>
  <c r="J20" i="67"/>
  <c r="C24" i="68"/>
  <c r="J20" i="15"/>
  <c r="F63" i="15"/>
  <c r="C62" i="15" s="1"/>
  <c r="C34" i="15"/>
  <c r="R16" i="1"/>
  <c r="C33" i="68"/>
  <c r="I63" i="40"/>
  <c r="H65" i="40"/>
  <c r="C39" i="11"/>
  <c r="C43" i="11" s="1"/>
  <c r="C41" i="11" s="1"/>
  <c r="I70" i="39"/>
  <c r="AA11" i="40" l="1"/>
  <c r="S11" i="40"/>
  <c r="W11" i="40"/>
  <c r="AC11" i="40"/>
  <c r="AB11" i="40"/>
  <c r="U11" i="40"/>
  <c r="C39" i="68"/>
  <c r="C43" i="68" s="1"/>
  <c r="C42" i="68"/>
  <c r="J63" i="40"/>
  <c r="I65" i="40"/>
  <c r="C46" i="11"/>
  <c r="C45" i="11" s="1"/>
  <c r="C49" i="11" s="1"/>
  <c r="C51" i="11" s="1"/>
  <c r="C52" i="11" s="1"/>
  <c r="B2" i="11" s="1"/>
  <c r="B3" i="11" s="1"/>
  <c r="J70" i="39"/>
  <c r="C41" i="68" l="1"/>
  <c r="C46" i="68"/>
  <c r="C45" i="68" s="1"/>
  <c r="K63" i="40"/>
  <c r="J65" i="40"/>
  <c r="K70" i="39"/>
  <c r="C56" i="11"/>
  <c r="C57" i="11" s="1"/>
  <c r="E55" i="68" l="1"/>
  <c r="E56" i="68"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 i="68" s="1"/>
  <c r="C64" i="67"/>
  <c r="C56" i="67"/>
  <c r="C65" i="67" s="1"/>
  <c r="J22" i="67"/>
  <c r="J16" i="67" s="1"/>
  <c r="J25" i="67" s="1"/>
  <c r="C75" i="67"/>
  <c r="C37" i="67"/>
  <c r="C30" i="67" s="1"/>
  <c r="C39" i="67" s="1"/>
  <c r="C48" i="67"/>
  <c r="C60" i="67" s="1"/>
  <c r="AE7" i="1"/>
  <c r="C14" i="15"/>
  <c r="L51" i="67"/>
  <c r="B3" i="40" l="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7" i="1"/>
  <c r="AO6" i="1"/>
  <c r="B3" i="15" l="1"/>
  <c r="C6" i="12" s="1"/>
  <c r="C8" i="12"/>
  <c r="B8" i="70"/>
  <c r="B7" i="70"/>
  <c r="B6" i="70"/>
  <c r="C46" i="15"/>
  <c r="B2" i="69"/>
  <c r="B3" i="69" s="1"/>
  <c r="B2" i="68"/>
  <c r="B3" i="67"/>
  <c r="D2" i="33"/>
  <c r="F20" i="31"/>
  <c r="D2" i="36"/>
  <c r="D2" i="35"/>
  <c r="D2" i="34"/>
  <c r="E2" i="68"/>
  <c r="D2" i="21"/>
  <c r="D2" i="37"/>
  <c r="C19" i="9"/>
  <c r="C4" i="12" l="1"/>
  <c r="C23" i="12" s="1"/>
  <c r="B20" i="31"/>
  <c r="B2" i="36"/>
  <c r="B3" i="36" s="1"/>
  <c r="B2" i="35"/>
  <c r="B3" i="35" s="1"/>
  <c r="B2" i="37"/>
  <c r="B3" i="37" s="1"/>
  <c r="B2" i="34"/>
  <c r="B3" i="34" s="1"/>
  <c r="B2" i="21"/>
  <c r="B3" i="21" s="1"/>
  <c r="B2" i="70"/>
  <c r="B3" i="70" s="1"/>
  <c r="C102" i="9"/>
  <c r="C21" i="9"/>
  <c r="B3" i="68"/>
  <c r="C31" i="12" l="1"/>
  <c r="C30" i="12"/>
  <c r="C28" i="12" s="1"/>
  <c r="C27" i="12"/>
  <c r="C25" i="12" s="1"/>
  <c r="C20" i="9"/>
  <c r="E34" i="12" l="1"/>
  <c r="E36" i="12" s="1"/>
  <c r="C103" i="9"/>
  <c r="C32" i="12"/>
  <c r="B2" i="12" s="1"/>
  <c r="B3" i="12" s="1"/>
  <c r="D34" i="9"/>
  <c r="D19"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<sst xmlns="http://schemas.openxmlformats.org/spreadsheetml/2006/main" count="7493" uniqueCount="3209">
  <si>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</si>
  <si>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</si>
  <si>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</si>
  <si>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</si>
  <si>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</si>
  <si>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</si>
  <si>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</si>
  <si>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</si>
  <si>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</si>
  <si>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</si>
  <si>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</si>
  <si>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</si>
  <si>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</si>
  <si>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</si>
  <si>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</si>
  <si>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</si>
  <si>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</si>
  <si>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</si>
  <si>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</si>
  <si>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</si>
  <si>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</si>
  <si>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</si>
  <si>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</si>
  <si>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</si>
  <si>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</si>
  <si>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</si>
  <si>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</si>
  <si>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</si>
  <si>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</si>
  <si>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</si>
  <si>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</si>
  <si>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</si>
  <si>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</si>
  <si>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</si>
  <si>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</si>
  <si>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</si>
  <si>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</si>
  <si>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</si>
  <si>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</si>
  <si>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</si>
  <si>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</si>
  <si>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</si>
  <si>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</si>
  <si>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</si>
  <si>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</si>
  <si>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</si>
  <si>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</si>
  <si>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</si>
  <si>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</si>
  <si>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</si>
  <si>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</si>
  <si>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</si>
  <si>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</si>
  <si>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</si>
  <si>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</si>
  <si>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</si>
  <si>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</si>
  <si>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</si>
  <si>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</si>
  <si>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</si>
  <si>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</si>
  <si>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</si>
  <si>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</si>
  <si>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</si>
  <si>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</si>
  <si>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</si>
  <si>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</si>
  <si>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</si>
  <si>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</si>
  <si>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</si>
  <si>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</si>
  <si>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</si>
  <si>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</si>
  <si>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</si>
  <si>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</si>
  <si>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</si>
  <si>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</si>
  <si>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</si>
  <si>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</si>
  <si>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</si>
  <si>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</si>
  <si>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</si>
  <si>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</si>
  <si>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</si>
  <si>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</si>
  <si>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</si>
  <si>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</si>
  <si>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</si>
  <si>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</si>
  <si>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</si>
  <si>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</si>
  <si>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</si>
  <si>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</si>
  <si>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</si>
  <si>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</si>
  <si>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</si>
  <si>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</si>
  <si>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</si>
  <si>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</si>
  <si>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</si>
  <si>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</si>
  <si>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</si>
  <si>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</si>
  <si>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</si>
  <si>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</si>
  <si>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</si>
  <si>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</si>
  <si>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</si>
  <si>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</si>
  <si>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</si>
  <si>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</si>
  <si>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</si>
  <si>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</si>
  <si>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</si>
  <si>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</si>
  <si>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</si>
  <si>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</si>
  <si>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</si>
  <si>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</si>
  <si>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</si>
  <si>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</si>
  <si>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</si>
  <si>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</si>
  <si>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</si>
  <si>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</si>
  <si>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</si>
  <si>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</si>
  <si>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</si>
  <si>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</si>
  <si>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</si>
  <si>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</si>
  <si>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</si>
  <si>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</si>
  <si>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</si>
  <si>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</si>
  <si>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</si>
  <si>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</si>
  <si>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</si>
  <si>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</si>
  <si>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</si>
  <si>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</si>
  <si>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</si>
  <si>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</si>
  <si>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</si>
  <si>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</si>
  <si>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</si>
  <si>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</si>
  <si>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</si>
  <si>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</si>
  <si>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</si>
  <si>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</si>
  <si>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</si>
  <si>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</si>
  <si>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</si>
  <si>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</si>
  <si>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</si>
  <si>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</si>
  <si>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</si>
  <si>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</si>
  <si>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</si>
  <si>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</si>
  <si>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</si>
  <si>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</si>
  <si>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</si>
  <si>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</si>
  <si>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</si>
  <si>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</si>
  <si>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</si>
  <si>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</si>
  <si>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</si>
  <si>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</si>
  <si>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</si>
  <si>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</si>
  <si>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</si>
  <si>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</si>
  <si>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</si>
  <si>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</si>
  <si>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</si>
  <si>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</si>
  <si>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</si>
  <si>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</si>
  <si>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</si>
  <si>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</si>
  <si>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</si>
  <si>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</si>
  <si>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</si>
  <si>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</si>
  <si>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</si>
  <si>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</si>
  <si>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</si>
  <si>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</si>
  <si>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</si>
  <si>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</si>
  <si>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</si>
  <si>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</si>
  <si>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</si>
  <si>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</si>
  <si>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</si>
  <si>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</si>
  <si>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</si>
  <si>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</si>
  <si>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</si>
  <si>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</si>
  <si>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</si>
  <si>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</si>
  <si>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</si>
  <si>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</si>
  <si>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</si>
  <si>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</si>
  <si>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</si>
  <si>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</si>
  <si>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</si>
  <si>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</si>
  <si>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</si>
  <si>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</si>
  <si>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</si>
  <si>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</si>
  <si>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</si>
  <si>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</si>
  <si>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</si>
  <si>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</si>
  <si>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</si>
  <si>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</si>
  <si>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</si>
  <si>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</si>
  <si>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</si>
  <si>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</si>
  <si>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</si>
  <si>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</si>
  <si>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</si>
  <si>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</si>
  <si>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</si>
  <si>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</si>
  <si>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</si>
  <si>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</si>
  <si>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</si>
  <si>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</si>
  <si>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</si>
  <si>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</si>
  <si>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</si>
  <si>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</si>
  <si>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</si>
  <si>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</si>
  <si>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</si>
  <si>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</si>
  <si>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</si>
  <si>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</si>
  <si>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</si>
  <si>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</si>
  <si>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</si>
  <si>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</si>
  <si>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</si>
  <si>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</si>
  <si>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</si>
  <si>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</si>
  <si>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</si>
  <si>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</si>
  <si>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</si>
  <si>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</si>
  <si>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</si>
  <si>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</si>
  <si>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</si>
  <si>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</si>
  <si>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</si>
  <si>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</si>
  <si>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</si>
  <si>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</si>
  <si>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</si>
  <si>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</si>
  <si>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</si>
  <si>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</si>
  <si>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</si>
  <si>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</si>
  <si>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</si>
  <si>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</si>
  <si>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</si>
  <si>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</si>
  <si>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</si>
  <si>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</si>
  <si>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</si>
  <si>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</si>
  <si>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</si>
  <si>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</si>
  <si>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</si>
  <si>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</si>
  <si>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</si>
  <si>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</si>
  <si>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</si>
  <si>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</si>
  <si>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</si>
  <si>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</si>
  <si>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</si>
  <si>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</si>
  <si>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</si>
  <si>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</si>
  <si>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</si>
  <si>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</si>
  <si>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</si>
  <si>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</si>
  <si>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</si>
  <si>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</si>
  <si>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</si>
  <si>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</si>
  <si>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</si>
  <si>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</si>
  <si>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</si>
  <si>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</si>
  <si>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</si>
  <si>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</si>
  <si>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</si>
  <si>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</si>
  <si>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</si>
  <si>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</si>
  <si>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</si>
  <si>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</si>
  <si>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</si>
  <si>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</si>
  <si>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</si>
  <si>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</si>
  <si>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</si>
  <si>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</si>
  <si>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</si>
  <si>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</si>
  <si>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</si>
  <si>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</si>
  <si>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</si>
  <si>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</si>
  <si>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</si>
  <si>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</si>
  <si>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</si>
  <si>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</si>
  <si>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</si>
  <si>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</si>
  <si>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</si>
  <si>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</si>
  <si>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</si>
  <si>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</si>
  <si>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</si>
  <si>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</si>
  <si>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</si>
  <si>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</si>
  <si>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</si>
  <si>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</si>
  <si>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</si>
  <si>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</si>
  <si>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</si>
  <si>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</si>
  <si>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</si>
  <si>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</si>
  <si>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</si>
  <si>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</si>
  <si>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</si>
  <si>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</si>
  <si>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</si>
  <si>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</si>
  <si>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</si>
  <si>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</si>
  <si>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</si>
  <si>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</si>
  <si>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</si>
  <si>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</si>
  <si>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</si>
  <si>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</si>
  <si>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</si>
  <si>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</si>
  <si>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</si>
  <si>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</si>
  <si>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</si>
  <si>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</si>
  <si>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</si>
  <si>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</si>
  <si>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</si>
  <si>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</si>
  <si>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</si>
  <si>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</si>
  <si>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</si>
  <si>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</si>
  <si>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</si>
  <si>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</si>
  <si>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</si>
  <si>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</si>
  <si>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</si>
  <si>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</si>
  <si>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</si>
  <si>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</si>
  <si>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</si>
  <si>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</si>
  <si>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</si>
  <si>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</si>
  <si>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</si>
  <si>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</si>
  <si>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</si>
  <si>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</si>
  <si>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</si>
  <si>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</si>
  <si>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</si>
  <si>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</si>
  <si>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</si>
  <si>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</si>
  <si>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</si>
  <si>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</si>
  <si>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</si>
  <si>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</si>
  <si>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</si>
  <si>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</si>
  <si>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</si>
  <si>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</si>
  <si>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</si>
  <si>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</si>
  <si>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</si>
  <si>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</si>
  <si>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</si>
  <si>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</si>
  <si>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</si>
  <si>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</si>
  <si>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</si>
  <si>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</si>
  <si>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</si>
  <si>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</si>
  <si>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</si>
  <si>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</si>
  <si>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</si>
  <si>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</si>
  <si>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</si>
  <si>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</si>
  <si>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</si>
  <si>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</si>
  <si>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</si>
  <si>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</si>
  <si>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</si>
  <si>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</si>
  <si>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</si>
  <si>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</si>
  <si>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</si>
  <si>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</si>
  <si>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</si>
  <si>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</si>
  <si>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</si>
  <si>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</si>
  <si>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</si>
  <si>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</si>
  <si>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</si>
  <si>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</si>
  <si>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</si>
  <si>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</si>
  <si>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</si>
  <si>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</si>
  <si>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</si>
  <si>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</si>
  <si>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</si>
  <si>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</si>
  <si>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</si>
  <si>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</si>
  <si>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</si>
  <si>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</si>
  <si>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</si>
  <si>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</si>
  <si>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</si>
  <si>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</si>
  <si>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</si>
  <si>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</si>
  <si>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</si>
  <si>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</si>
  <si>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</si>
  <si>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</si>
  <si>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</si>
  <si>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</si>
  <si>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</si>
  <si>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</si>
  <si>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</si>
  <si>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</si>
  <si>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</si>
  <si>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</si>
  <si>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</si>
  <si>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</si>
  <si>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</si>
  <si>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</si>
  <si>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</si>
  <si>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</si>
  <si>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</si>
  <si>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</si>
  <si>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</si>
  <si>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</si>
  <si>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</si>
  <si>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</si>
  <si>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</si>
  <si>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</si>
  <si>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</si>
  <si>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</si>
  <si>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</si>
  <si>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</si>
  <si>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</si>
  <si>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</si>
  <si>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</si>
  <si>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</si>
  <si>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</si>
  <si>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</si>
  <si>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</si>
  <si>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</si>
  <si>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</si>
  <si>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</si>
  <si>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</si>
  <si>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</si>
  <si>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</si>
  <si>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</si>
  <si>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</si>
  <si>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</si>
  <si>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</si>
  <si>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</si>
  <si>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</si>
  <si>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</si>
  <si>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</si>
  <si>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</si>
  <si>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</si>
  <si>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</si>
  <si>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</si>
  <si>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</si>
  <si>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</si>
  <si>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</si>
  <si>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</si>
  <si>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</si>
  <si>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</si>
  <si>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</si>
  <si>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</si>
  <si>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</si>
  <si>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</si>
  <si>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</si>
  <si>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</si>
  <si>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</si>
  <si>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</si>
  <si>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</si>
  <si>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</si>
  <si>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</si>
  <si>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</si>
  <si>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</si>
  <si>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</si>
  <si>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</si>
  <si>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</si>
  <si>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</si>
  <si>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</si>
  <si>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</si>
  <si>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</si>
  <si>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</si>
  <si>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</si>
  <si>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</si>
  <si>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</si>
  <si>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</si>
  <si>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</si>
  <si>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</si>
  <si>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</si>
  <si>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</si>
  <si>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</si>
  <si>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</si>
  <si>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</si>
  <si>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</si>
  <si>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</si>
  <si>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</si>
  <si>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</si>
  <si>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</si>
  <si>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</si>
  <si>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</si>
  <si>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</si>
  <si>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</si>
  <si>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</si>
  <si>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</si>
  <si>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</si>
  <si>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</si>
  <si>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</si>
  <si>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</si>
  <si>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</si>
  <si>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</si>
  <si>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</si>
  <si>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</si>
  <si>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</si>
  <si>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</si>
  <si>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</si>
  <si>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</si>
  <si>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</si>
  <si>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</si>
  <si>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</si>
  <si>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</si>
  <si>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</si>
  <si>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</si>
  <si>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</si>
  <si>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</si>
  <si>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</si>
  <si>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</si>
  <si>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</si>
  <si>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</si>
  <si>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</si>
  <si>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</si>
  <si>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</si>
  <si>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</si>
  <si>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</si>
  <si>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</si>
  <si>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</si>
  <si>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</si>
  <si>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</si>
  <si>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</si>
  <si>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</si>
  <si>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</si>
  <si>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</si>
  <si>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</si>
  <si>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</si>
  <si>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</si>
  <si>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</si>
  <si>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</si>
  <si>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</si>
  <si>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</si>
  <si>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</si>
  <si>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</si>
  <si>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</si>
  <si>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</si>
  <si>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</si>
  <si>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</si>
  <si>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</si>
  <si>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</si>
  <si>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</si>
  <si>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</si>
  <si>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</si>
  <si>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</si>
  <si>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</si>
  <si>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</si>
  <si>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</si>
  <si>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</si>
  <si>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</si>
  <si>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</si>
  <si>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</si>
  <si>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</si>
  <si>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</si>
  <si>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</si>
  <si>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</si>
  <si>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</si>
  <si>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</si>
  <si>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</si>
  <si>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</si>
  <si>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</si>
  <si>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</si>
  <si>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</si>
  <si>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</si>
  <si>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</si>
  <si>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</si>
  <si>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</si>
  <si>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</si>
  <si>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</si>
  <si>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</si>
  <si>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</si>
  <si>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</si>
  <si>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</si>
  <si>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</si>
  <si>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</si>
  <si>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</si>
  <si>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</si>
  <si>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</si>
  <si>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</si>
  <si>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</si>
  <si>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</si>
  <si>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</si>
  <si>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</si>
  <si>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</si>
  <si>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</si>
  <si>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</si>
  <si>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</si>
  <si>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</si>
  <si>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</si>
  <si>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</si>
  <si>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</si>
  <si>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</si>
  <si>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</si>
  <si>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</si>
  <si>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</si>
  <si>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</si>
  <si>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</si>
  <si>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</si>
  <si>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</si>
  <si>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</si>
  <si>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</si>
  <si>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</si>
  <si>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</si>
  <si>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</si>
  <si>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</si>
  <si>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</si>
  <si>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</si>
  <si>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</si>
  <si>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</si>
  <si>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</si>
  <si>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</si>
  <si>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</si>
  <si>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</si>
  <si>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</si>
  <si>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</si>
  <si>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</si>
  <si>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</si>
  <si>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</si>
  <si>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</si>
  <si>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</si>
  <si>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</si>
  <si>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</si>
  <si>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</si>
  <si>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</si>
  <si>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</si>
  <si>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</si>
  <si>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</si>
  <si>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</si>
  <si>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</si>
  <si>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</si>
  <si>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</si>
  <si>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</si>
  <si>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</si>
  <si>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</si>
  <si>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</si>
  <si>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</si>
  <si>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</si>
  <si>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</si>
  <si>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</si>
  <si>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</si>
  <si>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</si>
  <si>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</si>
  <si>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</si>
  <si>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</si>
  <si>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</si>
  <si>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</si>
  <si>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</si>
  <si>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</si>
  <si>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</si>
  <si>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</si>
  <si>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</si>
  <si>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</si>
  <si>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</si>
  <si>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</si>
  <si>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</si>
  <si>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</si>
  <si>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</si>
  <si>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</si>
  <si>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</si>
  <si>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</si>
  <si>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</si>
  <si>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</si>
  <si>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</si>
  <si>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</si>
  <si>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</si>
  <si>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</si>
  <si>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</si>
  <si>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</si>
  <si>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</si>
  <si>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</si>
  <si>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</si>
  <si>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</si>
  <si>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</si>
  <si>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</si>
  <si>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</si>
  <si>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</si>
  <si>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</si>
  <si>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</si>
  <si>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</si>
  <si>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</si>
  <si>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</si>
  <si>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</si>
  <si>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</si>
  <si>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</si>
  <si>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</si>
  <si>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</si>
  <si>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</si>
  <si>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</si>
  <si>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</si>
  <si>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</si>
  <si>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</si>
  <si>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</si>
  <si>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</si>
  <si>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</si>
  <si>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</si>
  <si>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</si>
  <si>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</si>
  <si>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</si>
  <si>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</si>
  <si>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</si>
  <si>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</si>
  <si>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</si>
  <si>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</si>
  <si>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</si>
  <si>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</si>
  <si>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</si>
  <si>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</si>
  <si>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</si>
  <si>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</si>
  <si>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</si>
  <si>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</si>
  <si>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</si>
  <si>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</si>
  <si>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</si>
  <si>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</si>
  <si>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</si>
  <si>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</si>
  <si>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</si>
  <si>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</si>
  <si>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</si>
  <si>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</si>
  <si>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</si>
  <si>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</si>
  <si>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</si>
  <si>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</si>
  <si>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</si>
  <si>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</si>
  <si>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</si>
  <si>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</si>
  <si>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</si>
  <si>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</si>
  <si>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</si>
  <si>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</si>
  <si>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</si>
  <si>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</si>
  <si>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</si>
  <si>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</si>
  <si>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</si>
  <si>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</si>
  <si>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</si>
  <si>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</si>
  <si>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</si>
  <si>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</si>
  <si>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</si>
  <si>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</si>
  <si>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</si>
  <si>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</si>
  <si>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</si>
  <si>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</si>
  <si>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</si>
  <si>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</si>
  <si>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</si>
  <si>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</si>
  <si>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</si>
  <si>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</si>
  <si>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</si>
  <si>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</si>
  <si>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</si>
  <si>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</si>
  <si>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</si>
  <si>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</si>
  <si>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</si>
  <si>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</si>
  <si>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</si>
  <si>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</si>
  <si>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</si>
  <si>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</si>
  <si>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</si>
  <si>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</si>
  <si>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</si>
  <si>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</si>
  <si>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</si>
  <si>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</si>
  <si>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</si>
  <si>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</si>
  <si>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</si>
  <si>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</si>
  <si>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</si>
  <si>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</si>
  <si>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</si>
  <si>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</si>
  <si>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</si>
  <si>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</si>
  <si>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</si>
  <si>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</si>
  <si>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</si>
  <si>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</si>
  <si>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</si>
  <si>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</si>
  <si>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</si>
  <si>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</si>
  <si>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</si>
  <si>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</si>
  <si>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</si>
  <si>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</si>
  <si>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</si>
  <si>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</si>
  <si>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</si>
  <si>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</si>
  <si>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</si>
  <si>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</si>
  <si>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</si>
  <si>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</si>
  <si>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</si>
  <si>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</si>
  <si>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</si>
  <si>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</si>
  <si>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</si>
  <si>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</si>
  <si>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</si>
  <si>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</si>
  <si>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</si>
  <si>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</si>
  <si>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</si>
  <si>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</si>
  <si>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</si>
  <si>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</si>
  <si>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</si>
  <si>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</si>
  <si>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</si>
  <si>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</si>
  <si>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</si>
  <si>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</si>
  <si>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</si>
  <si>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</si>
  <si>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</si>
  <si>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</si>
  <si>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</si>
  <si>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</si>
  <si>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</si>
  <si>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</si>
  <si>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</si>
  <si>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</si>
  <si>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</si>
  <si>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</si>
  <si>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</si>
  <si>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</si>
  <si>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</si>
  <si>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</si>
  <si>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</si>
  <si>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</si>
  <si>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</si>
  <si>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</si>
  <si>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</si>
  <si>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</si>
  <si>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</si>
  <si>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</si>
  <si>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</si>
  <si>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</si>
  <si>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</si>
  <si>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</si>
  <si>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</si>
  <si>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</si>
  <si>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</si>
  <si>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</si>
  <si>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</si>
  <si>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</si>
  <si>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</si>
  <si>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</si>
  <si>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</si>
  <si>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</si>
  <si>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</si>
  <si>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</si>
  <si>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</si>
  <si>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</si>
  <si>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</si>
  <si>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</si>
  <si>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</si>
  <si>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</si>
  <si>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</si>
  <si>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</si>
  <si>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</si>
  <si>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</si>
  <si>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</si>
  <si>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</si>
  <si>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</si>
  <si>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</si>
  <si>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</si>
  <si>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</si>
  <si>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</si>
  <si>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</si>
  <si>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</si>
  <si>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</si>
  <si>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</si>
  <si>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</si>
  <si>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</si>
  <si>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</si>
  <si>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</si>
  <si>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</si>
  <si>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</si>
  <si>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</si>
  <si>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</si>
  <si>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</si>
  <si>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</si>
  <si>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</si>
  <si>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</si>
  <si>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</si>
  <si>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</si>
  <si>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</si>
  <si>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</si>
  <si>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</si>
  <si>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</si>
  <si>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</si>
  <si>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</si>
  <si>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</si>
  <si>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</si>
  <si>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</si>
  <si>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</si>
  <si>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</si>
  <si>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</si>
  <si>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</si>
  <si>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</si>
  <si>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</si>
  <si>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</si>
  <si>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</si>
  <si>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</si>
  <si>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</si>
  <si>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</si>
  <si>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</si>
  <si>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</si>
  <si>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</si>
  <si>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</si>
  <si>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</si>
  <si>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</si>
  <si>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</si>
  <si>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</si>
  <si>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</si>
  <si>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</si>
  <si>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</si>
  <si>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</si>
  <si>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</si>
  <si>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</si>
  <si>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</si>
  <si>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</si>
  <si>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</si>
  <si>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</si>
  <si>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</si>
  <si>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</si>
  <si>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</si>
  <si>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</si>
  <si>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</si>
  <si>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</si>
  <si>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</si>
  <si>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</si>
  <si>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</si>
  <si>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</si>
  <si>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</si>
  <si>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</si>
  <si>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</si>
  <si>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</si>
  <si>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</si>
  <si>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</si>
  <si>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</si>
  <si>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</si>
  <si>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</si>
  <si>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</si>
  <si>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</si>
  <si>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</si>
  <si>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</si>
  <si>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</si>
  <si>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</si>
  <si>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</si>
  <si>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</si>
  <si>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</si>
  <si>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</si>
  <si>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</si>
  <si>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</si>
  <si>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</si>
  <si>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</si>
  <si>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</si>
  <si>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</si>
  <si>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</si>
  <si>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</si>
  <si>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</si>
  <si>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</si>
  <si>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</si>
  <si>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</si>
  <si>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</si>
  <si>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</si>
  <si>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</si>
  <si>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</si>
  <si>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</si>
  <si>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</si>
  <si>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</si>
  <si>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</si>
  <si>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</si>
  <si>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</si>
  <si>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</si>
  <si>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</si>
  <si>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</si>
  <si>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</si>
  <si>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</si>
  <si>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</si>
  <si>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</si>
  <si>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</si>
  <si>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</si>
  <si>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</si>
  <si>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</si>
  <si>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</si>
  <si>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</si>
  <si>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</si>
  <si>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</si>
  <si>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</si>
  <si>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</si>
  <si>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</si>
  <si>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</si>
  <si>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</si>
  <si>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</si>
  <si>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</si>
  <si>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</si>
  <si>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</si>
  <si>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</si>
  <si>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</si>
  <si>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</si>
  <si>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</si>
  <si>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</si>
  <si>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</si>
  <si>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</si>
  <si>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</si>
  <si>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</si>
  <si>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</si>
  <si>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</si>
  <si>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</si>
  <si>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</si>
  <si>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</si>
  <si>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</si>
  <si>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</si>
  <si>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</si>
  <si>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</si>
  <si>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</si>
  <si>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</si>
  <si>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</si>
  <si>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</si>
  <si>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</si>
  <si>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</si>
  <si>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</si>
  <si>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</si>
  <si>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</si>
  <si>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</si>
  <si>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</si>
  <si>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</si>
  <si>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</si>
  <si>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</si>
  <si>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</si>
  <si>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</si>
  <si>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</si>
  <si>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</si>
  <si>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</si>
  <si>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</si>
  <si>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</si>
  <si>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</si>
  <si>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</si>
  <si>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</si>
  <si>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</si>
  <si>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</si>
  <si>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</si>
  <si>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</si>
  <si>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</si>
  <si>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</si>
  <si>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</si>
  <si>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</si>
  <si>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</si>
  <si>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</si>
  <si>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</si>
  <si>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</si>
  <si>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</si>
  <si>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</si>
  <si>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</si>
  <si>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</si>
  <si>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</si>
  <si>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</si>
  <si>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</si>
  <si>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</si>
  <si>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</si>
  <si>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</si>
  <si>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</si>
  <si>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</si>
  <si>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</si>
  <si>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</si>
  <si>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</si>
  <si>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</si>
  <si>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</si>
  <si>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</si>
  <si>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</si>
  <si>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</si>
  <si>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</si>
  <si>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</si>
  <si>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</si>
  <si>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</si>
  <si>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</si>
  <si>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</si>
  <si>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</si>
  <si>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</si>
  <si>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</si>
  <si>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</si>
  <si>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</si>
  <si>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</si>
  <si>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</si>
  <si>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</si>
  <si>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</si>
  <si>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</si>
  <si>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</si>
  <si>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</si>
  <si>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</si>
  <si>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</si>
  <si>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</si>
  <si>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</si>
  <si>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</si>
  <si>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</si>
  <si>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</si>
  <si>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</si>
  <si>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</si>
  <si>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</si>
  <si>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</si>
  <si>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</si>
  <si>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</si>
  <si>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</si>
  <si>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</si>
  <si>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</si>
  <si>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</si>
  <si>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</si>
  <si>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</si>
  <si>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</si>
  <si>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</si>
  <si>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</si>
  <si>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</si>
  <si>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</si>
  <si>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</si>
  <si>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</si>
  <si>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</si>
  <si>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</si>
  <si>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</si>
  <si>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</si>
  <si>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</si>
  <si>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</si>
  <si>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</si>
  <si>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</si>
  <si>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</si>
  <si>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</si>
  <si>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</si>
  <si>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</si>
  <si>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</si>
  <si>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</si>
  <si>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</si>
  <si>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</si>
  <si>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</si>
  <si>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</si>
  <si>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</si>
  <si>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</si>
  <si>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</si>
  <si>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</si>
  <si>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</si>
  <si>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</si>
  <si>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</si>
  <si>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</si>
  <si>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</si>
  <si>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</si>
  <si>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</si>
  <si>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</si>
  <si>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</si>
  <si>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</si>
  <si>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</si>
  <si>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</si>
  <si>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</si>
  <si>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</si>
  <si>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</si>
  <si>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</si>
  <si>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</si>
  <si>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</si>
  <si>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</si>
  <si>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</si>
  <si>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</si>
  <si>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</si>
  <si>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</si>
  <si>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</si>
  <si>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</si>
  <si>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</si>
  <si>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</si>
  <si>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</si>
  <si>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</si>
  <si>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</si>
  <si>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</si>
  <si>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</si>
  <si>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</si>
  <si>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</si>
  <si>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</si>
  <si>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</si>
  <si>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</si>
  <si>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</si>
  <si>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</si>
  <si>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</si>
  <si>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</si>
  <si>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</si>
  <si>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</si>
  <si>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</si>
  <si>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</si>
  <si>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</si>
  <si>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</si>
  <si>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</si>
  <si>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</si>
  <si>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</si>
  <si>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</si>
  <si>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</si>
  <si>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</si>
  <si>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</si>
  <si>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</si>
  <si>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</si>
  <si>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</si>
  <si>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</si>
  <si>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</si>
  <si>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</si>
  <si>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</si>
  <si>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</si>
  <si>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</si>
  <si>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</si>
  <si>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</si>
  <si>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</si>
  <si>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</si>
  <si>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</si>
  <si>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</si>
  <si>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</si>
  <si>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</si>
  <si>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</si>
  <si>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</si>
  <si>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</si>
  <si>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</si>
  <si>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</si>
  <si>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</si>
  <si>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</si>
  <si>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</si>
  <si>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</si>
  <si>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</si>
  <si>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</si>
  <si>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</si>
  <si>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</si>
  <si>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</si>
  <si>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</si>
  <si>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</si>
  <si>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</si>
  <si>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</si>
  <si>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</si>
  <si>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</si>
  <si>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</si>
  <si>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</si>
  <si>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</si>
  <si>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</si>
  <si>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</si>
  <si>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</si>
  <si>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</si>
  <si>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</si>
  <si>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</si>
  <si>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</si>
  <si>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</si>
  <si>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</si>
  <si>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</si>
  <si>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</si>
  <si>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</si>
  <si>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</si>
  <si>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</si>
  <si>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</si>
  <si>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</si>
  <si>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</si>
  <si>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</si>
  <si>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</si>
  <si>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</si>
  <si>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</si>
  <si>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</si>
  <si>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</si>
  <si>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</si>
  <si>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</si>
  <si>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</si>
  <si>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</si>
  <si>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</si>
  <si>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</si>
  <si>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</si>
  <si>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</si>
  <si>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</si>
  <si>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</si>
  <si>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</si>
  <si>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</si>
  <si>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</si>
  <si>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</si>
  <si>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</si>
  <si>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</si>
  <si>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</si>
  <si>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</si>
  <si>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</si>
  <si>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</si>
  <si>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</si>
  <si>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</si>
  <si>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</si>
  <si>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</si>
  <si>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</si>
  <si>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</si>
  <si>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</si>
  <si>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</si>
  <si>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</si>
  <si>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</si>
  <si>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</si>
  <si>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</si>
  <si>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</si>
  <si>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</si>
  <si>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</si>
  <si>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</si>
  <si>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</si>
  <si>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</si>
  <si>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</si>
  <si>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</si>
  <si>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</si>
  <si>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</si>
  <si>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</si>
  <si>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</si>
  <si>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</si>
  <si>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</si>
  <si>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</si>
  <si>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</si>
  <si>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</si>
  <si>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</si>
  <si>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</si>
  <si>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</si>
  <si>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</si>
  <si>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</si>
  <si>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</si>
  <si>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</si>
  <si>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</si>
  <si>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</si>
  <si>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</si>
  <si>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</si>
  <si>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</si>
  <si>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</si>
  <si>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</si>
  <si>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</si>
  <si>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</si>
  <si>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</si>
  <si>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</si>
  <si>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</si>
  <si>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</si>
  <si>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</si>
  <si>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</si>
  <si>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</si>
  <si>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</si>
  <si>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</si>
  <si>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</si>
  <si>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</si>
  <si>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</si>
  <si>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</si>
  <si>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</si>
  <si>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</si>
  <si>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</si>
  <si>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</si>
  <si>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</si>
  <si>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</si>
  <si>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</si>
  <si>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</si>
  <si>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</si>
  <si>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</si>
  <si>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</si>
  <si>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</si>
  <si>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</si>
  <si>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</si>
  <si>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</si>
  <si>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</si>
  <si>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</si>
  <si>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</si>
  <si>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</si>
  <si>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</si>
  <si>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</si>
  <si>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</si>
  <si>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</si>
  <si>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</si>
  <si>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</si>
  <si>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</si>
  <si>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</si>
  <si>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</si>
  <si>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</si>
  <si>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</si>
  <si>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</si>
  <si>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</si>
  <si>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</si>
  <si>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</si>
  <si>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</si>
  <si>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</si>
  <si>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</si>
  <si>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</si>
  <si>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</si>
  <si>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</si>
  <si>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</si>
  <si>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</si>
  <si>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</si>
  <si>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</si>
  <si>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</si>
  <si>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</si>
  <si>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</si>
  <si>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</si>
  <si>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</si>
  <si>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</si>
  <si>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</si>
  <si>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</si>
  <si>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</si>
  <si>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</si>
  <si>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</si>
  <si>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</si>
  <si>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</si>
  <si>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</si>
  <si>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</si>
  <si>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</si>
  <si>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</si>
  <si>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</si>
  <si>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</si>
  <si>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</si>
  <si>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</si>
  <si>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</si>
  <si>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</si>
  <si>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</si>
  <si>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</si>
  <si>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</si>
  <si>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</si>
  <si>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</si>
  <si>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</si>
  <si>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</si>
  <si>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</si>
  <si>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</si>
  <si>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</si>
  <si>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</si>
  <si>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</si>
  <si>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</si>
  <si>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</si>
  <si>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</si>
  <si>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</si>
  <si>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</si>
  <si>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</si>
  <si>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</si>
  <si>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</si>
  <si>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</si>
  <si>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</si>
  <si>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</si>
  <si>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</si>
  <si>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</si>
  <si>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</si>
  <si>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</si>
  <si>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</si>
  <si>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</si>
  <si>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</si>
  <si>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</si>
  <si>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</si>
  <si>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</si>
  <si>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</si>
  <si>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</si>
  <si>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</si>
  <si>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</si>
  <si>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</si>
  <si>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</si>
  <si>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</si>
  <si>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</si>
  <si>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</si>
  <si>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</si>
  <si>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</si>
  <si>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</si>
  <si>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</si>
  <si>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</si>
  <si>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</si>
  <si>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</si>
  <si>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</si>
  <si>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</si>
  <si>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</si>
  <si>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</si>
  <si>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</si>
  <si>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</si>
  <si>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</si>
  <si>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</si>
  <si>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</si>
  <si>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</si>
  <si>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</si>
  <si>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</si>
  <si>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</si>
  <si>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</si>
  <si>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</si>
  <si>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</si>
  <si>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</si>
  <si>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</si>
  <si>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</si>
  <si>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</si>
  <si>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</si>
  <si>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</si>
  <si>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</si>
  <si>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</si>
  <si>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</si>
  <si>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</si>
  <si>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</si>
  <si>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</si>
  <si>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</si>
  <si>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</si>
  <si>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</si>
  <si>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</si>
  <si>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</si>
  <si>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</si>
  <si>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</si>
  <si>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</si>
  <si>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</si>
  <si>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</si>
  <si>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</si>
  <si>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</si>
  <si>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</si>
  <si>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</si>
  <si>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</si>
  <si>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</si>
  <si>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</si>
  <si>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</si>
  <si>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</si>
  <si>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</si>
  <si>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</si>
  <si>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</si>
  <si>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</si>
  <si>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</si>
  <si>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</si>
  <si>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</si>
  <si>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</si>
  <si>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</si>
  <si>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</si>
  <si>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</si>
  <si>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</si>
  <si>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</si>
  <si>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</si>
  <si>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</si>
  <si>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</si>
  <si>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</si>
  <si>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</si>
  <si>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</si>
  <si>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</si>
  <si>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</si>
  <si>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</si>
  <si>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</si>
  <si>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</si>
  <si>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</si>
  <si>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</si>
  <si>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</si>
  <si>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</si>
  <si>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</si>
  <si>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</si>
  <si>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</si>
  <si>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</si>
  <si>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</si>
  <si>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</si>
  <si>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</si>
  <si>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</si>
  <si>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</si>
  <si>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</si>
  <si>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</si>
  <si>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</si>
  <si>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</si>
  <si>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</si>
  <si>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</si>
  <si>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</si>
  <si>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</si>
  <si>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</si>
  <si>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</si>
  <si>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</si>
  <si>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</si>
  <si>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</si>
  <si>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</si>
  <si>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</si>
  <si>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</si>
  <si>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</si>
  <si>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</si>
  <si>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</si>
  <si>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</si>
  <si>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</si>
  <si>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</si>
  <si>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</si>
  <si>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</si>
  <si>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</si>
  <si>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</si>
  <si>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</si>
  <si>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</si>
  <si>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</si>
  <si>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</si>
  <si>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</si>
  <si>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</si>
  <si>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</si>
  <si>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</si>
  <si>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</si>
  <si>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</si>
  <si>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</si>
  <si>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</si>
  <si>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</si>
  <si>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</si>
  <si>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</si>
  <si>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</si>
  <si>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</si>
  <si>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</si>
  <si>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</si>
  <si>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</si>
  <si>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</si>
  <si>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</si>
  <si>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</si>
  <si>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</si>
  <si>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</si>
  <si>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</si>
  <si>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</si>
  <si>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</si>
  <si>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</si>
  <si>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</si>
  <si>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</si>
  <si>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</si>
  <si>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</si>
  <si>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</si>
  <si>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</si>
  <si>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</si>
  <si>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</si>
  <si>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</si>
  <si>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</si>
  <si>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</si>
  <si>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</si>
  <si>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</si>
  <si>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</si>
  <si>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</si>
  <si>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</si>
  <si>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</si>
  <si>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</si>
  <si>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</si>
  <si>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</si>
  <si>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</si>
  <si>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</si>
  <si>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</si>
  <si>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</si>
  <si>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</si>
  <si>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</si>
  <si>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</si>
  <si>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</si>
  <si>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</si>
  <si>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</si>
  <si>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</si>
  <si>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</si>
  <si>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</si>
  <si>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</si>
  <si>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</si>
  <si>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</si>
  <si>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</si>
  <si>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</si>
  <si>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</si>
  <si>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</si>
  <si>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</si>
  <si>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</si>
  <si>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</si>
  <si>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</si>
  <si>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</si>
  <si>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</si>
  <si>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</si>
  <si>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</si>
  <si>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</si>
  <si>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</si>
  <si>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</si>
  <si>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</si>
  <si>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</si>
  <si>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</si>
  <si>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</si>
  <si>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</si>
  <si>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</si>
  <si>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</si>
  <si>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</si>
  <si>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</si>
  <si>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</si>
  <si>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</si>
  <si>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</si>
  <si>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</si>
  <si>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</si>
  <si>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</si>
  <si>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</si>
  <si>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</si>
  <si>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</si>
  <si>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</si>
  <si>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</si>
  <si>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</si>
  <si>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</si>
  <si>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</si>
  <si>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</si>
  <si>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</si>
  <si>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</si>
  <si>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</si>
  <si>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</si>
  <si>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</si>
  <si>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</si>
  <si>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</si>
  <si>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</si>
  <si>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</si>
  <si>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</si>
  <si>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</si>
  <si>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</si>
  <si>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</si>
  <si>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</si>
  <si>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</si>
  <si>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</si>
  <si>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</si>
  <si>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</si>
  <si>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</si>
  <si>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</si>
  <si>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</si>
  <si>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</si>
  <si>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</si>
  <si>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</si>
  <si>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</si>
  <si>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</si>
  <si>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</si>
  <si>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</si>
  <si>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</si>
  <si>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</si>
  <si>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</si>
  <si>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</si>
  <si>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</si>
  <si>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</si>
  <si>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</si>
  <si>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</si>
  <si>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</si>
  <si>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</si>
  <si>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</si>
  <si>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</si>
  <si>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</si>
  <si>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</si>
  <si>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</si>
  <si>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</si>
  <si>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</si>
  <si>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</si>
  <si>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</si>
  <si>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</si>
  <si>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</si>
  <si>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</si>
  <si>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</si>
  <si>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</si>
  <si>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</si>
  <si>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</si>
  <si>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</si>
  <si>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</si>
  <si>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</si>
  <si>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</si>
  <si>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</si>
  <si>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</si>
  <si>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</si>
  <si>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</si>
  <si>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</si>
  <si>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</si>
  <si>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</si>
  <si>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</si>
  <si>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</si>
  <si>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</si>
  <si>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</si>
  <si>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</si>
  <si>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</si>
  <si>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</si>
  <si>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</si>
  <si>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</si>
  <si>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</si>
  <si>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</si>
  <si>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</si>
  <si>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</si>
  <si>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</si>
  <si>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</si>
  <si>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</si>
  <si>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</si>
  <si>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</si>
  <si>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</si>
  <si>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</si>
  <si>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</si>
  <si>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</si>
  <si>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</si>
  <si>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</si>
  <si>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</si>
  <si>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</si>
  <si>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</si>
  <si>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</si>
  <si>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</si>
  <si>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</si>
  <si>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</si>
  <si>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</si>
  <si>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</si>
  <si>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</si>
  <si>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</si>
  <si>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</si>
  <si>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</si>
  <si>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</si>
  <si>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</si>
  <si>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</si>
  <si>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</si>
  <si>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</si>
  <si>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</si>
  <si>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</si>
  <si>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</si>
  <si>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</si>
  <si>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</si>
  <si>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</si>
  <si>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</si>
  <si>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</si>
  <si>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</si>
  <si>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</si>
  <si>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</si>
  <si>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</si>
  <si>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</si>
  <si>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</si>
  <si>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</si>
  <si>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</si>
  <si>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</si>
  <si>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</si>
  <si>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</si>
  <si>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</si>
  <si>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</si>
  <si>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</si>
  <si>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</si>
  <si>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</si>
  <si>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</si>
  <si>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</si>
  <si>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</si>
  <si>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</si>
  <si>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</si>
  <si>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</si>
  <si>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</si>
  <si>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</si>
  <si>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</si>
  <si>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</si>
  <si>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</si>
  <si>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</si>
  <si>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</si>
  <si>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</si>
  <si>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</si>
  <si>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</si>
  <si>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</si>
  <si>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</si>
  <si>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</si>
  <si>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</si>
  <si>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</si>
  <si>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</si>
  <si>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</si>
  <si>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</si>
  <si>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</si>
  <si>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</si>
  <si>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</si>
  <si>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</si>
  <si>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</si>
  <si>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</si>
  <si>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</si>
  <si>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</si>
  <si>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</si>
  <si>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</si>
  <si>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</si>
  <si>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</si>
  <si>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</si>
  <si>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</si>
  <si>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</si>
  <si>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</si>
  <si>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</si>
  <si>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</si>
  <si>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</si>
  <si>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</si>
  <si>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</si>
  <si>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</si>
  <si>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</si>
  <si>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</si>
  <si>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</si>
  <si>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</si>
  <si>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</si>
  <si>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</si>
  <si>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</si>
  <si>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</si>
  <si>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</si>
  <si>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</si>
  <si>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</si>
  <si>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</si>
  <si>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</si>
  <si>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</si>
  <si>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</si>
  <si>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</si>
  <si>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</si>
  <si>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</si>
  <si>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</si>
  <si>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</si>
  <si>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</si>
  <si>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</si>
  <si>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</si>
  <si>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</si>
  <si>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</si>
  <si>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</si>
  <si>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</si>
  <si>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</si>
  <si>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</si>
  <si>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</si>
  <si>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</si>
  <si>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</si>
  <si>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</si>
  <si>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</si>
  <si>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</si>
  <si>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</si>
  <si>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</si>
  <si>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</si>
  <si>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</si>
  <si>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</si>
  <si>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</si>
  <si>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</si>
  <si>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</si>
  <si>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</si>
  <si>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</si>
  <si>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</si>
  <si>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</si>
  <si>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</si>
  <si>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</si>
  <si>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</si>
  <si>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</si>
  <si>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</si>
  <si>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</si>
  <si>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</si>
  <si>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</si>
  <si>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</si>
  <si>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</si>
  <si>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</si>
  <si>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</si>
  <si>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</si>
  <si>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</si>
  <si>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</si>
  <si>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</si>
  <si>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</si>
  <si>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</si>
  <si>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</si>
  <si>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</si>
  <si>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</si>
  <si>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</si>
  <si>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</si>
  <si>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</si>
  <si>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</si>
  <si>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</si>
  <si>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</si>
  <si>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</si>
  <si>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</si>
  <si>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</si>
  <si>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</si>
  <si>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</si>
  <si>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</si>
  <si>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</si>
  <si>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</si>
  <si>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</si>
  <si>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</si>
  <si>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</si>
  <si>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</si>
  <si>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</si>
  <si>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</si>
  <si>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</si>
  <si>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</si>
  <si>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</si>
  <si>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</si>
  <si>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</si>
  <si>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</si>
  <si>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</si>
  <si>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</si>
  <si>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</si>
  <si>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</si>
  <si>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</si>
  <si>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</si>
  <si>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</si>
  <si>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</si>
  <si>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</si>
  <si>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</si>
  <si>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</si>
  <si>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</si>
  <si>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</si>
  <si>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</si>
  <si>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</si>
  <si>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</si>
  <si>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</si>
  <si>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</si>
  <si>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</si>
  <si>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</si>
  <si>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</si>
  <si>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</si>
  <si>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</si>
  <si>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</si>
  <si>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</si>
  <si>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</si>
  <si>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</si>
  <si>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</si>
  <si>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</si>
  <si>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</si>
  <si>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</si>
  <si>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</si>
  <si>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</si>
  <si>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</si>
  <si>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</si>
  <si>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</si>
  <si>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</si>
  <si>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</si>
  <si>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</si>
  <si>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</si>
  <si>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</si>
  <si>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</si>
  <si>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</si>
  <si>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</si>
  <si>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</si>
  <si>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</si>
  <si>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</si>
  <si>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</si>
  <si>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</si>
  <si>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</si>
  <si>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</si>
  <si>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</si>
  <si>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</si>
  <si>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</si>
  <si>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</si>
  <si>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</si>
  <si>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</si>
  <si>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</si>
  <si>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</si>
  <si>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</si>
  <si>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</si>
  <si>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</si>
  <si>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</si>
  <si>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</si>
  <si>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</si>
  <si>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</si>
  <si>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</si>
  <si>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</si>
  <si>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</si>
  <si>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</si>
  <si>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</si>
  <si>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</si>
  <si>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</si>
  <si>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</si>
  <si>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</si>
  <si>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</si>
  <si>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</si>
  <si>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</si>
  <si>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</si>
  <si>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</si>
  <si>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</si>
  <si>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</si>
  <si>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</si>
  <si>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</si>
  <si>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</si>
  <si>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</si>
  <si>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</si>
  <si>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</si>
  <si>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</si>
  <si>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</si>
  <si>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</si>
  <si>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</si>
  <si>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</si>
  <si>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</si>
  <si>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</si>
  <si>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</si>
  <si>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</si>
  <si>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</si>
  <si>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</si>
  <si>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</si>
  <si>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</si>
  <si>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</si>
  <si>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</si>
  <si>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</si>
  <si>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</si>
  <si>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</si>
  <si>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</si>
  <si>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</si>
  <si>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</si>
  <si>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</si>
  <si>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</si>
  <si>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</si>
  <si>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</si>
  <si>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</si>
  <si>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</si>
  <si>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</si>
  <si>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</si>
  <si>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</si>
  <si>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</si>
  <si>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</si>
  <si>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</si>
  <si>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</si>
  <si>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</si>
  <si>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</si>
  <si>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</si>
  <si>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</si>
  <si>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</si>
  <si>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</si>
  <si>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</si>
  <si>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</si>
  <si>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</si>
  <si>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</si>
  <si>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</si>
  <si>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</si>
  <si>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</si>
  <si>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</si>
  <si>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</si>
  <si>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</si>
  <si>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</si>
  <si>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</si>
  <si>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</si>
  <si>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</si>
  <si>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</si>
  <si>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</si>
  <si>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</si>
  <si>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</si>
  <si>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</si>
  <si>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</si>
  <si>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</si>
  <si>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</si>
  <si>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</si>
  <si>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</si>
  <si>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</si>
  <si>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</si>
  <si>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</si>
  <si>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</si>
  <si>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</si>
  <si>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</si>
  <si>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</si>
  <si>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</si>
  <si>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</si>
  <si>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</si>
  <si>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</si>
  <si>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</si>
  <si>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</si>
  <si>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</si>
  <si>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</si>
  <si>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</si>
  <si>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</si>
  <si>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</si>
  <si>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</si>
  <si>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</si>
  <si>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</si>
  <si>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</si>
  <si>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</si>
  <si>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</si>
  <si>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</si>
  <si>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</si>
  <si>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</si>
  <si>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</si>
  <si>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</si>
  <si>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</si>
  <si>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</si>
  <si>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</si>
  <si>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</si>
  <si>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</si>
  <si>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</si>
  <si>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</si>
  <si>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</si>
  <si>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</si>
  <si>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</si>
  <si>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</si>
  <si>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</si>
  <si>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</si>
  <si>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</si>
  <si>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</si>
  <si>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</si>
  <si>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</si>
  <si>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</si>
  <si>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</si>
  <si>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</si>
  <si>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</si>
  <si>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</si>
  <si>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</si>
  <si>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</si>
  <si>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</si>
  <si>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</si>
  <si>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</si>
  <si>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</si>
  <si>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</si>
  <si>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</si>
  <si>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</si>
  <si>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</si>
  <si>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</si>
  <si>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</si>
  <si>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</si>
  <si>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</si>
  <si>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</si>
  <si>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</si>
  <si>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</si>
  <si>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</si>
  <si>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</si>
  <si>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</si>
  <si>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</si>
  <si>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</si>
  <si>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</si>
  <si>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</si>
  <si>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</si>
  <si>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</si>
  <si>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</si>
  <si>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</si>
  <si>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</si>
  <si>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</si>
  <si>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</si>
  <si>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</si>
  <si>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</si>
  <si>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</si>
  <si>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</si>
  <si>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</si>
  <si>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</si>
  <si>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</si>
  <si>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</si>
  <si>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</si>
  <si>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</si>
  <si>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</si>
  <si>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</si>
  <si>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</si>
  <si>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</si>
  <si>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</si>
  <si>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</si>
  <si>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</si>
  <si>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</si>
  <si>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</si>
  <si>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</si>
  <si>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</si>
  <si>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</si>
  <si>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</si>
  <si>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</si>
  <si>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</si>
  <si>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</si>
  <si>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</si>
  <si>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</si>
  <si>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</si>
  <si>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</si>
  <si>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</si>
  <si>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</si>
  <si>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</si>
  <si>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</si>
  <si>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</si>
  <si>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</si>
  <si>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</si>
  <si>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</si>
  <si>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</si>
  <si>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</si>
  <si>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</si>
  <si>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</si>
  <si>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</si>
  <si>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</si>
  <si>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</si>
  <si>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</si>
  <si>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</si>
  <si>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</si>
  <si>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</si>
  <si>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</si>
  <si>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</si>
  <si>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</si>
  <si>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</si>
  <si>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</si>
  <si>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</si>
  <si>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</si>
  <si>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</si>
  <si>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</si>
  <si>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</si>
  <si>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</si>
  <si>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</si>
  <si>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</si>
  <si>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</si>
  <si>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</si>
  <si>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</si>
  <si>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</si>
  <si>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</si>
  <si>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</si>
  <si>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</si>
  <si>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</si>
  <si>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</si>
  <si>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</si>
  <si>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</si>
  <si>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</si>
  <si>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</si>
  <si>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</si>
  <si>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</si>
  <si>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</si>
  <si>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</si>
  <si>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</si>
  <si>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</si>
  <si>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</si>
  <si>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</si>
  <si>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</si>
  <si>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</si>
  <si>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</si>
  <si>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</si>
  <si>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</si>
  <si>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</si>
  <si>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</si>
  <si>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</si>
  <si>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</si>
  <si>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</si>
  <si>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</si>
  <si>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</si>
  <si>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</si>
  <si>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</si>
  <si>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</si>
  <si>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</si>
  <si>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</si>
  <si>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</si>
  <si>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</si>
  <si>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</si>
  <si>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</si>
  <si>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</si>
  <si>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</si>
  <si>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</si>
  <si>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</si>
  <si>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</si>
  <si>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</si>
  <si>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</si>
  <si>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</si>
  <si>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</si>
  <si>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</si>
  <si>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</si>
  <si>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</si>
  <si>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</si>
  <si>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</si>
  <si>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</si>
  <si>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</si>
  <si>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</si>
  <si>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</si>
  <si>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</si>
  <si>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</si>
  <si>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</si>
  <si>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</si>
  <si>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</si>
  <si>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</si>
  <si>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</si>
  <si>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</si>
  <si>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</si>
  <si>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</si>
  <si>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</si>
  <si>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</si>
  <si>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</si>
  <si>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</si>
  <si>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</si>
  <si>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</si>
  <si>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</si>
  <si>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</si>
  <si>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</si>
  <si>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</si>
  <si>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</si>
  <si>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</si>
  <si>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</si>
  <si>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</si>
  <si>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</si>
  <si>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</si>
  <si>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</si>
  <si>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</si>
  <si>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</si>
  <si>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</si>
  <si>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</si>
  <si>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</si>
  <si>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</si>
  <si>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</si>
  <si>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</si>
  <si>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</si>
  <si>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</si>
  <si>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</si>
  <si>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</si>
  <si>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</si>
  <si>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</si>
  <si>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</si>
  <si>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</si>
  <si>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</si>
  <si>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</si>
  <si>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</si>
  <si>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</si>
  <si>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</si>
  <si>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</si>
  <si>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</si>
  <si>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</si>
  <si>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</si>
  <si>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</si>
  <si>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</si>
  <si>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</si>
  <si>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</si>
  <si>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</si>
  <si>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</si>
  <si>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</si>
  <si>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</si>
  <si>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</si>
  <si>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</si>
  <si>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</si>
  <si>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</si>
  <si>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</si>
  <si>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</si>
  <si>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</si>
  <si>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</si>
  <si>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</si>
  <si>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</si>
  <si>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</si>
  <si>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</si>
  <si>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</si>
  <si>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</si>
  <si>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</si>
  <si>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</si>
  <si>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</si>
  <si>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</si>
  <si>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</si>
  <si>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</si>
  <si>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</si>
  <si>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</si>
  <si>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</si>
  <si>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</si>
  <si>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</si>
  <si>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</si>
  <si>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</si>
  <si>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</si>
  <si>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</si>
  <si>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</si>
  <si>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</si>
  <si>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</si>
  <si>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</si>
  <si>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</si>
  <si>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</si>
  <si>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</si>
  <si>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</si>
  <si>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</si>
  <si>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</si>
  <si>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</si>
  <si>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</si>
  <si>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</si>
  <si>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</si>
  <si>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</si>
  <si>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</si>
  <si>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</si>
  <si>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</si>
  <si>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</si>
  <si>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</si>
  <si>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</si>
  <si>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</si>
  <si>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</si>
  <si>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</si>
  <si>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</si>
  <si>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</si>
  <si>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</si>
  <si>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</si>
  <si>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</si>
  <si>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</si>
  <si>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</si>
  <si>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</si>
  <si>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</si>
  <si>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</si>
  <si>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</si>
  <si>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</si>
  <si>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</si>
  <si>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</si>
  <si>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</si>
  <si>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</si>
  <si>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</si>
  <si>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</si>
  <si>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</si>
  <si>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</si>
  <si>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</si>
  <si>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</si>
  <si>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</si>
  <si>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</si>
  <si>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</si>
  <si>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</si>
  <si>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</si>
  <si>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</si>
  <si>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</si>
  <si>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</si>
  <si>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</si>
  <si>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</si>
  <si>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</si>
  <si>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</si>
  <si>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</si>
  <si>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</si>
  <si>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</si>
  <si>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</si>
  <si>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</si>
  <si>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</si>
  <si>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</si>
  <si>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</si>
  <si>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</si>
  <si>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</si>
  <si>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</si>
  <si>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</si>
  <si>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</si>
  <si>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</si>
  <si>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</si>
  <si>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</si>
  <si>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</si>
  <si>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</si>
  <si>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</si>
  <si>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</si>
  <si>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</si>
  <si>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</si>
  <si>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</si>
  <si>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</si>
  <si>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</si>
  <si>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</si>
  <si>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</si>
  <si>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</si>
  <si>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</si>
  <si>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</si>
  <si>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</si>
  <si>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</si>
  <si>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</si>
  <si>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</si>
  <si>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</si>
  <si>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</si>
  <si>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</si>
  <si>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</si>
  <si>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</si>
  <si>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</si>
  <si>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</si>
  <si>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</si>
  <si>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</si>
  <si>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</si>
  <si>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</si>
  <si>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</si>
  <si>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</si>
  <si>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</si>
  <si>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</si>
  <si>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</si>
  <si>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</si>
  <si>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</si>
  <si>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</si>
  <si>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</si>
  <si>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</si>
  <si>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</si>
  <si>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</si>
  <si>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</si>
  <si>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</si>
  <si>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</si>
  <si>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</si>
  <si>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</si>
  <si>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</si>
  <si>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</si>
  <si>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</si>
  <si>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</si>
  <si>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</si>
  <si>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</si>
  <si>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</si>
  <si>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</si>
  <si>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</si>
  <si>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</si>
  <si>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</si>
  <si>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</si>
  <si>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</si>
  <si>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</si>
  <si>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</si>
  <si>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</si>
  <si>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</si>
  <si>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</si>
  <si>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</si>
  <si>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</si>
  <si>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</si>
  <si>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</si>
  <si>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</si>
  <si>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</si>
  <si>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</si>
  <si>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</si>
  <si>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</si>
  <si>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</si>
  <si>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</si>
  <si>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</si>
  <si>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</si>
  <si>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</si>
  <si>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</si>
  <si>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</si>
  <si>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</si>
  <si>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</si>
  <si>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</si>
  <si>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</si>
  <si>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</si>
  <si>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</si>
  <si>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</si>
  <si>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</si>
  <si>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</si>
  <si>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</si>
  <si>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</si>
  <si>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</si>
  <si>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</si>
  <si>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</si>
  <si>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</si>
  <si>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</si>
  <si>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</si>
  <si>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</si>
  <si>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</si>
  <si>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</si>
  <si>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</si>
  <si>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</si>
  <si>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</si>
  <si>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</si>
  <si>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</si>
  <si>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</si>
  <si>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</si>
  <si>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</si>
  <si>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</si>
  <si>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</si>
  <si>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</si>
  <si>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</si>
  <si>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</si>
  <si>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</si>
  <si>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</si>
  <si>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</si>
  <si>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</si>
  <si>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</si>
  <si>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</si>
  <si>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</si>
  <si>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</si>
  <si>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</si>
  <si>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</si>
  <si>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</si>
  <si>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</si>
  <si>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</si>
  <si>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</si>
  <si>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</si>
  <si>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</si>
  <si>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</si>
  <si>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</si>
  <si>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</si>
  <si>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</si>
  <si>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</si>
  <si>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</si>
  <si>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</si>
  <si>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</si>
  <si>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</si>
  <si>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</si>
  <si>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</si>
  <si>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</si>
  <si>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</si>
  <si>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</si>
  <si>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</si>
  <si>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</si>
  <si>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</si>
  <si>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</si>
  <si>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</si>
  <si>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</si>
  <si>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</si>
  <si>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</si>
  <si>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</si>
  <si>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</si>
  <si>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</si>
  <si>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</si>
  <si>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</si>
  <si>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</si>
  <si>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</si>
  <si>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</si>
  <si>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</si>
  <si>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</si>
  <si>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</si>
  <si>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</si>
  <si>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</si>
  <si>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</si>
  <si>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</si>
  <si>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</si>
  <si>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</si>
  <si>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</si>
  <si>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</si>
  <si>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</si>
  <si>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</si>
  <si>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</si>
  <si>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</si>
  <si>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</si>
  <si>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</si>
  <si>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</si>
  <si>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</si>
  <si>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</si>
  <si>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</si>
  <si>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</si>
  <si>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</si>
  <si>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</si>
  <si>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</si>
  <si>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</si>
  <si>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</si>
  <si>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</si>
  <si>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</si>
  <si>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</si>
  <si>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</si>
  <si>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</si>
  <si>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</si>
  <si>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</si>
  <si>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</si>
  <si>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</si>
  <si>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</si>
  <si>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</si>
  <si>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</si>
  <si>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</si>
  <si>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</si>
  <si>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</si>
  <si>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</si>
  <si>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</si>
  <si>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</si>
  <si>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</si>
  <si>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</si>
  <si>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</si>
  <si>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</si>
  <si>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</si>
  <si>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</si>
  <si>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</si>
  <si>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</si>
  <si>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</si>
  <si>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</si>
  <si>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</si>
  <si>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</si>
  <si>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</si>
  <si>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</si>
  <si>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</si>
  <si>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</si>
  <si>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</si>
  <si>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</si>
  <si>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</si>
  <si>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</si>
  <si>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</si>
  <si>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</si>
  <si>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</si>
  <si>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</si>
  <si>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</si>
  <si>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</si>
  <si>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</si>
  <si>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</si>
  <si>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</si>
  <si>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</si>
  <si>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</si>
  <si>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</si>
  <si>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</si>
  <si>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</si>
  <si>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</si>
  <si>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</si>
  <si>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</si>
  <si>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</si>
  <si>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</si>
  <si>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</si>
  <si>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</si>
  <si>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</si>
  <si>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</si>
  <si>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</si>
  <si>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</si>
  <si>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</si>
  <si>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</si>
  <si>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</si>
  <si>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</si>
  <si>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</si>
  <si>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</si>
  <si>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</si>
  <si>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</si>
  <si>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</si>
  <si>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</si>
  <si>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</si>
  <si>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</si>
  <si>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</si>
  <si>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</si>
  <si>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</si>
  <si>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</si>
  <si>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</si>
  <si>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</si>
  <si>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</si>
  <si>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</si>
  <si>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</si>
  <si>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</si>
  <si>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</si>
  <si>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</si>
  <si>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</si>
  <si>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</si>
  <si>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</si>
  <si>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</si>
  <si>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</si>
  <si>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</si>
  <si>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</si>
  <si>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</si>
  <si>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</si>
  <si>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</si>
  <si>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</si>
  <si>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</si>
  <si>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</si>
  <si>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</si>
  <si>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</si>
  <si>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</si>
  <si>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</si>
  <si>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</si>
  <si>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</si>
  <si>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</si>
  <si>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</si>
  <si>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</si>
  <si>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</si>
  <si>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</si>
  <si>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</si>
  <si>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</si>
  <si>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</si>
  <si>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</si>
  <si>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</si>
  <si>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</si>
  <si>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</si>
  <si>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</si>
  <si>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</si>
  <si>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</si>
  <si>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</si>
  <si>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</si>
  <si>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</si>
  <si>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</si>
  <si>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</si>
  <si>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</si>
  <si>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</si>
  <si>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</si>
  <si>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</si>
  <si>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</si>
  <si>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</si>
  <si>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</si>
  <si>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</si>
  <si>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</si>
  <si>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</si>
  <si>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</si>
  <si>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</si>
  <si>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</si>
  <si>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</si>
  <si>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</si>
  <si>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</si>
  <si>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</si>
  <si>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</si>
  <si>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</si>
  <si>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</si>
  <si>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</si>
  <si>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</si>
  <si>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</si>
  <si>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</si>
  <si>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</si>
  <si>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</si>
  <si>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</si>
  <si>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</si>
  <si>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</si>
  <si>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</si>
  <si>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</si>
  <si>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</si>
  <si>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</si>
  <si>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</si>
  <si>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</si>
  <si>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</si>
  <si>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</si>
  <si>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</si>
  <si>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</si>
  <si>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</si>
  <si>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</si>
  <si>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</si>
  <si>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</si>
  <si>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</si>
  <si>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</si>
  <si>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</si>
  <si>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</si>
  <si>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</si>
  <si>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</si>
  <si>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</si>
  <si>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</si>
  <si>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</si>
  <si>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</si>
  <si>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</si>
  <si>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</si>
  <si>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</si>
  <si>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</si>
  <si>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</si>
  <si>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</si>
  <si>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</si>
  <si>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</si>
  <si>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</si>
  <si>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</si>
  <si>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</si>
  <si>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</si>
  <si>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</si>
  <si>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</si>
  <si>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</si>
  <si>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</si>
  <si>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</si>
  <si>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</si>
  <si>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</si>
  <si>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</si>
  <si>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</si>
  <si>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</si>
  <si>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</si>
  <si>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</si>
  <si>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</si>
  <si>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</si>
  <si>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</si>
  <si>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</si>
  <si>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</si>
  <si>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</si>
  <si>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</si>
  <si>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</si>
  <si>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</si>
  <si>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</si>
  <si>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</si>
  <si>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</si>
  <si>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</si>
  <si>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</si>
  <si>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</si>
  <si>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</si>
  <si>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</si>
  <si>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</si>
  <si>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</si>
  <si>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</si>
  <si>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</si>
  <si>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</si>
  <si>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</si>
  <si>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</si>
  <si>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</si>
  <si>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</si>
  <si>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</si>
  <si>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</si>
  <si>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</si>
  <si>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</si>
  <si>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</si>
  <si>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</si>
  <si>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</si>
  <si>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</si>
  <si>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</si>
  <si>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</si>
  <si>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</si>
  <si>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</si>
  <si>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</si>
  <si>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</si>
  <si>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</si>
  <si>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</si>
  <si>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</si>
  <si>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</si>
  <si>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</si>
  <si>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</si>
  <si>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</si>
  <si>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</si>
  <si>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</si>
  <si>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</si>
  <si>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</si>
  <si>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</si>
  <si>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</si>
  <si>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</si>
  <si>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</si>
  <si>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</si>
  <si>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</si>
  <si>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</si>
  <si>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</si>
  <si>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</si>
  <si>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</si>
  <si>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</si>
  <si>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</si>
  <si>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</si>
  <si>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</si>
  <si>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</si>
  <si>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</si>
  <si>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</si>
  <si>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</si>
  <si>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</si>
  <si>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</si>
  <si>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</si>
  <si>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</si>
  <si>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</si>
  <si>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</si>
  <si>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</si>
  <si>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</si>
  <si>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</si>
  <si>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</si>
  <si>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</si>
  <si>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</si>
  <si>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</si>
  <si>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</si>
  <si>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</si>
  <si>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</si>
  <si>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</si>
  <si>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</si>
  <si>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</si>
  <si>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</si>
  <si>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</si>
  <si>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</si>
  <si>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</si>
  <si>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</si>
  <si>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</si>
  <si>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</si>
  <si>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</si>
  <si>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</si>
  <si>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</si>
  <si>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</si>
  <si>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</si>
  <si>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</si>
  <si>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</si>
  <si>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</si>
  <si>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</si>
  <si>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</si>
  <si>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</si>
  <si>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</si>
  <si>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</si>
  <si>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</si>
  <si>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</si>
  <si>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</si>
  <si>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</si>
  <si>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</si>
  <si>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</si>
  <si>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</si>
  <si>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</si>
  <si>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</si>
  <si>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</si>
  <si>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</si>
  <si>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</si>
  <si>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</si>
  <si>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</si>
  <si>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</si>
  <si>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</si>
  <si>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</si>
  <si>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</si>
  <si>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</si>
  <si>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</si>
  <si>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</si>
  <si>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</si>
  <si>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</si>
  <si>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</si>
  <si>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</si>
  <si>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</si>
  <si>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</si>
  <si>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</si>
  <si>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</si>
  <si>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</si>
  <si>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</si>
  <si>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</si>
  <si>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</si>
  <si>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</si>
  <si>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梁津</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</si>
  <si>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</si>
  <si>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</si>
  <si>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</si>
  <si>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</si>
  <si>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</si>
  <si>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</si>
  <si>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</si>
  <si>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</si>
  <si>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</si>
  <si>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</si>
  <si>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</si>
  <si>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</si>
  <si>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</si>
  <si>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</si>
  <si>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</si>
  <si>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</si>
  <si>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</si>
  <si>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</si>
  <si>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</si>
  <si>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</si>
  <si>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</si>
  <si>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</si>
  <si>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</si>
  <si>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</si>
  <si>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</si>
  <si>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</si>
  <si>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</si>
  <si>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</si>
  <si>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</si>
  <si>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</si>
  <si>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</si>
  <si>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</si>
  <si>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</si>
  <si>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</si>
  <si>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</si>
  <si>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</si>
  <si>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</si>
  <si>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</si>
  <si>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</si>
  <si>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</si>
  <si>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</si>
  <si>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</si>
  <si>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</si>
  <si>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</si>
  <si>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</si>
  <si>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</si>
  <si>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</si>
  <si>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</si>
  <si>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</si>
  <si>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</si>
  <si>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</si>
  <si>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</si>
  <si>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</si>
  <si>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</si>
  <si>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</si>
  <si>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</si>
  <si>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</si>
  <si>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</si>
  <si>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</si>
  <si>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</si>
  <si>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</si>
  <si>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</si>
  <si>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</si>
  <si>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</si>
  <si>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</si>
  <si>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</si>
  <si>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</si>
  <si>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</si>
  <si>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</si>
  <si>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</si>
  <si>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</si>
  <si>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</si>
  <si>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</si>
  <si>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</si>
  <si>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</si>
  <si>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</si>
  <si>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</si>
  <si>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</si>
  <si>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</si>
  <si>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</si>
  <si>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</si>
  <si>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</si>
  <si>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</si>
  <si>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</si>
  <si>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</si>
  <si>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</si>
  <si>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</si>
  <si>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</si>
  <si>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</si>
  <si>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</si>
  <si>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</si>
  <si>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</si>
  <si>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</si>
  <si>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</si>
  <si>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</si>
  <si>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</si>
  <si>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</si>
  <si>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</si>
  <si>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</si>
  <si>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</si>
  <si>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</si>
  <si>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</si>
  <si>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</si>
  <si>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</si>
  <si>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</si>
  <si>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</si>
  <si>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</si>
  <si>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</si>
  <si>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</si>
  <si>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</si>
  <si>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</si>
  <si>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</si>
  <si>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</si>
  <si>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</si>
  <si>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</si>
  <si>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</si>
  <si>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</si>
  <si>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（分摊）土地面积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</si>
  <si>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</si>
  <si>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</si>
  <si>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</si>
  <si>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</si>
  <si>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</si>
  <si>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</si>
  <si>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</si>
  <si>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</si>
  <si>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</si>
  <si>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</si>
  <si>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</si>
  <si>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</si>
  <si>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</si>
  <si>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</si>
  <si>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按公示增长率计算</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</si>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</sst>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9" fontId="132" fillId="0" borderId="0" xfId="13"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欧红伟（注册号：1120000080)、梁津（注册号：1119970066)</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2017年9月15日（评估专业人员实地查勘之日）</v>
      </c>
    </row>
    <row r="13" spans="1:2" s="3061" customFormat="1">
      <c r="A13" s="3059" t="s">
        <v>2800</v>
      </c>
      <c r="B13" s="3060" t="str">
        <f>'预评函-1'!A18</f>
        <v>本次估价的“房地产价值”是指在正常市场情况下，在价值时点2017年9月15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5" thickBot="1">
      <c r="A18" s="3062" t="s">
        <v>2805</v>
      </c>
      <c r="B18" s="3063" t="str">
        <f>'预评函-1'!A24</f>
        <v>本次评估采用的主估价方法为成本法和假设开发法。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50349</v>
      </c>
    </row>
    <row r="21" spans="1:2" s="3061" customFormat="1">
      <c r="A21" s="3059" t="s">
        <v>2808</v>
      </c>
      <c r="B21" s="3060">
        <f ca="1">'预评函-2'!D7</f>
        <v>2843</v>
      </c>
    </row>
    <row r="22" spans="1:2" s="3061" customFormat="1">
      <c r="A22" s="3059" t="s">
        <v>2809</v>
      </c>
      <c r="B22" s="3060" t="str">
        <f ca="1">'预评函-2'!D6</f>
        <v>伍亿零叁佰肆拾玖万元整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50349</v>
      </c>
    </row>
    <row r="31" spans="1:2" s="3061" customFormat="1">
      <c r="A31" s="3059" t="s">
        <v>2848</v>
      </c>
      <c r="B31" s="3060">
        <f ca="1">'预评函-2'!D15</f>
        <v>2843</v>
      </c>
    </row>
    <row r="32" spans="1:2" s="3061" customFormat="1">
      <c r="A32" s="3059" t="s">
        <v>2814</v>
      </c>
      <c r="B32" s="3060" t="str">
        <f ca="1">'预评函-2'!D14</f>
        <v>伍亿零叁佰肆拾玖万元整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c r="A42" s="3059" t="s">
        <v>2870</v>
      </c>
      <c r="B42" s="3060" t="str">
        <f>'预评函-3'!B2</f>
        <v>建筑面积</v>
      </c>
    </row>
    <row r="43" spans="1:2" s="3061" customFormat="1">
      <c r="A43" s="3059" t="s">
        <v>2871</v>
      </c>
      <c r="B43" s="3060">
        <f>'预评函-3'!B4</f>
        <v>177117.85000000003</v>
      </c>
    </row>
    <row r="44" spans="1:2" s="3061" customFormat="1">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22556</v>
      </c>
    </row>
    <row r="48" spans="1:2" s="3061" customFormat="1">
      <c r="A48" s="3059" t="s">
        <v>2820</v>
      </c>
      <c r="B48" s="3060">
        <f ca="1">'预评函-3'!E4</f>
        <v>1274</v>
      </c>
    </row>
    <row r="49" spans="1:2" s="3061" customFormat="1">
      <c r="A49" s="3059" t="s">
        <v>2821</v>
      </c>
      <c r="B49" s="3060" t="str">
        <f ca="1">'预评函-3'!D5</f>
        <v>贰亿贰仟伍佰伍拾陆万元整</v>
      </c>
    </row>
    <row r="50" spans="1:2" s="3061" customFormat="1">
      <c r="A50" s="3059" t="s">
        <v>2846</v>
      </c>
      <c r="B50" s="3060" t="str">
        <f>'预评函-3'!F2</f>
        <v>在建建筑物价值</v>
      </c>
    </row>
    <row r="51" spans="1:2" s="3061" customFormat="1">
      <c r="A51" s="3059" t="s">
        <v>2822</v>
      </c>
      <c r="B51" s="3060">
        <f ca="1">'预评函-3'!F4</f>
        <v>27793</v>
      </c>
    </row>
    <row r="52" spans="1:2" s="3061" customFormat="1">
      <c r="A52" s="3059" t="s">
        <v>2823</v>
      </c>
      <c r="B52" s="3060">
        <f ca="1">'预评函-3'!G4</f>
        <v>1569</v>
      </c>
    </row>
    <row r="53" spans="1:2" s="3061" customFormat="1">
      <c r="A53" s="3059" t="s">
        <v>2852</v>
      </c>
      <c r="B53" s="3060" t="str">
        <f ca="1">'预评函-3'!F5</f>
        <v>贰亿柒仟柒佰玖拾叁万元整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欧红伟</v>
      </c>
    </row>
    <row r="71" spans="1:2">
      <c r="A71" s="3059" t="s">
        <v>2834</v>
      </c>
      <c r="B71" s="3060">
        <f ca="1">'预评函-4'!B4</f>
        <v>1120000080</v>
      </c>
    </row>
    <row r="72" spans="1:2">
      <c r="A72" s="3059" t="s">
        <v>2835</v>
      </c>
      <c r="B72" s="3068" t="str">
        <f>'预评函-4'!A5</f>
        <v>梁津</v>
      </c>
    </row>
    <row r="73" spans="1:2" s="3055" customFormat="1" ht="15" thickBot="1">
      <c r="A73" s="3062" t="s">
        <v>2836</v>
      </c>
      <c r="B73" s="3063">
        <f ca="1">'预评函-4'!B5</f>
        <v>1119970066</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c r="A7" s="2796" t="s">
        <v>585</v>
      </c>
      <c r="B7" s="2797" t="s">
        <v>2676</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c r="A52" s="1950" t="s">
        <v>2012</v>
      </c>
      <c r="B52" s="1950" t="s">
        <v>2013</v>
      </c>
      <c r="C52" s="1160" t="s">
        <v>2014</v>
      </c>
      <c r="D52" s="1160" t="s">
        <v>2015</v>
      </c>
    </row>
    <row r="53" spans="1:4">
      <c r="A53" s="3432"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15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2"/>
      <c r="B54" s="2093" t="s">
        <v>2018</v>
      </c>
      <c r="C54" s="1160" t="s">
        <v>2857</v>
      </c>
    </row>
    <row r="55" spans="1:4">
      <c r="A55" s="3432"/>
      <c r="B55" s="2093" t="s">
        <v>2019</v>
      </c>
      <c r="C55" s="1160" t="s">
        <v>2858</v>
      </c>
    </row>
    <row r="56" spans="1:4">
      <c r="A56" s="3432"/>
      <c r="B56" s="2093" t="s">
        <v>2020</v>
      </c>
      <c r="C56" s="1160" t="s">
        <v>2868</v>
      </c>
    </row>
    <row r="57" spans="1:4">
      <c r="A57" s="3432"/>
      <c r="B57" s="2093" t="s">
        <v>2021</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B3" sqref="B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41"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42"/>
      <c r="D1" s="3442"/>
      <c r="E1" s="3442"/>
      <c r="F1" s="3442"/>
      <c r="G1" s="3442"/>
      <c r="H1" s="3442"/>
      <c r="I1" s="3443"/>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42993</v>
      </c>
      <c r="C3" s="1922" t="s">
        <v>2003</v>
      </c>
      <c r="D3" s="3231">
        <f>B3</f>
        <v>42993</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3073</v>
      </c>
      <c r="E4" s="1926">
        <f ca="1">SUMIF(注册房地产估价师,D4,估价师及机构信息!B3:B24)</f>
        <v>1119970066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欧红伟（注册号：1120000080)、梁津（注册号：1119970066)</v>
      </c>
      <c r="L4" s="1995"/>
      <c r="M4" s="1995"/>
      <c r="N4" s="1195"/>
      <c r="O4" s="11"/>
      <c r="P4" s="1195"/>
      <c r="Q4" s="1195"/>
      <c r="R4" s="1195"/>
      <c r="S4" s="1194"/>
    </row>
    <row r="5" spans="1:19" ht="18" customHeight="1" thickTop="1">
      <c r="A5" s="1927" t="s">
        <v>2086</v>
      </c>
      <c r="B5" s="3286" t="s">
        <v>3074</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3075</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3076</v>
      </c>
      <c r="C8" s="2002"/>
      <c r="D8" s="3444" t="s">
        <v>2011</v>
      </c>
      <c r="E8" s="2034" t="s">
        <v>3077</v>
      </c>
      <c r="F8" s="2035"/>
      <c r="G8" s="1994"/>
      <c r="H8" s="1994"/>
      <c r="I8" s="1994"/>
      <c r="J8" s="1999"/>
      <c r="K8" s="2101"/>
      <c r="L8" s="1995"/>
      <c r="M8" s="1995"/>
      <c r="N8" s="1195"/>
      <c r="O8" s="11"/>
      <c r="P8" s="1195"/>
      <c r="Q8" s="1195"/>
      <c r="R8" s="1195"/>
    </row>
    <row r="9" spans="1:19" ht="18" customHeight="1" thickBot="1">
      <c r="A9" s="1953" t="s">
        <v>1955</v>
      </c>
      <c r="B9" s="1954" t="s">
        <v>3077</v>
      </c>
      <c r="C9" s="2003"/>
      <c r="D9" s="3445"/>
      <c r="E9" s="1954" t="s">
        <v>529</v>
      </c>
      <c r="F9" s="2888"/>
      <c r="G9" s="1998"/>
      <c r="H9" s="1998"/>
      <c r="I9" s="1998"/>
      <c r="J9" s="1999"/>
      <c r="K9" s="2102"/>
      <c r="L9" s="1995"/>
      <c r="M9" s="1995"/>
      <c r="N9" s="1195"/>
      <c r="O9" s="11"/>
      <c r="P9" s="1195"/>
      <c r="Q9" s="1195"/>
      <c r="R9" s="1195"/>
    </row>
    <row r="10" spans="1:19" ht="18" customHeight="1" thickTop="1">
      <c r="A10" s="2008" t="s">
        <v>2058</v>
      </c>
      <c r="B10" s="2054" t="s">
        <v>3078</v>
      </c>
      <c r="C10" s="2036"/>
      <c r="D10" s="2000"/>
      <c r="E10" s="1938" t="s">
        <v>1956</v>
      </c>
      <c r="F10" s="1951" t="s">
        <v>3079</v>
      </c>
      <c r="G10" s="2886"/>
      <c r="H10" s="2887"/>
      <c r="I10" s="2000"/>
      <c r="J10" s="1999"/>
      <c r="K10" s="2102"/>
      <c r="L10" s="1995"/>
      <c r="M10" s="1995"/>
      <c r="N10" s="1195"/>
      <c r="O10" s="11"/>
      <c r="P10" s="1195"/>
      <c r="Q10" s="1195"/>
      <c r="R10" s="1195"/>
    </row>
    <row r="11" spans="1:19" ht="18" customHeight="1">
      <c r="A11" s="1957" t="s">
        <v>2059</v>
      </c>
      <c r="B11" s="2053" t="s">
        <v>3080</v>
      </c>
      <c r="C11" s="2037" t="s">
        <v>3081</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48.16</v>
      </c>
      <c r="H15" s="2050" t="str">
        <f>IF(B12="出让",IF(H13="","",ROUNDDOWN(MIN((H13-$D$3)/365,H14),2)),H14)</f>
        <v/>
      </c>
      <c r="I15" s="2050">
        <f>IF(B12="出让",IF(I13="","",ROUNDDOWN(MIN((I13-$D$3)/365,I14),2)),I14)</f>
        <v>48.16</v>
      </c>
      <c r="J15" s="1999"/>
      <c r="K15" s="2104"/>
      <c r="L15" s="1229"/>
      <c r="M15" s="1229"/>
      <c r="N15" s="2019"/>
      <c r="O15" s="1229"/>
      <c r="P15" s="2019"/>
      <c r="Q15" s="1195"/>
      <c r="R15" s="1195"/>
    </row>
    <row r="16" spans="1:19" ht="30.75" customHeight="1">
      <c r="A16" s="1938" t="s">
        <v>2092</v>
      </c>
      <c r="B16" s="3451" t="s">
        <v>3082</v>
      </c>
      <c r="C16" s="3452"/>
      <c r="D16" s="3453"/>
      <c r="E16" s="1955" t="s">
        <v>2023</v>
      </c>
      <c r="F16" s="3454"/>
      <c r="G16" s="3455"/>
      <c r="H16" s="3455"/>
      <c r="I16" s="3456"/>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57" t="s">
        <v>3193</v>
      </c>
      <c r="F17" s="3458"/>
      <c r="G17" s="3458"/>
      <c r="H17" s="3458"/>
      <c r="I17" s="3459"/>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60" t="s">
        <v>3192</v>
      </c>
      <c r="F18" s="3461"/>
      <c r="G18" s="3461"/>
      <c r="H18" s="3461"/>
      <c r="I18" s="3462"/>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47" t="s">
        <v>2046</v>
      </c>
      <c r="C20" s="3448"/>
      <c r="D20" s="3449" t="s">
        <v>2047</v>
      </c>
      <c r="E20" s="3450"/>
      <c r="F20" s="2067" t="s">
        <v>2048</v>
      </c>
      <c r="G20" s="1999"/>
      <c r="H20" s="1999"/>
      <c r="I20" s="1999"/>
      <c r="J20" s="1999"/>
      <c r="K20" s="3446"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3083</v>
      </c>
      <c r="C21" s="2031" t="s">
        <v>2050</v>
      </c>
      <c r="D21" s="1988" t="s">
        <v>2051</v>
      </c>
      <c r="E21" s="2032" t="s">
        <v>529</v>
      </c>
      <c r="F21" s="1977"/>
      <c r="G21" s="1999"/>
      <c r="H21" s="1999"/>
      <c r="I21" s="1999"/>
      <c r="J21" s="1999"/>
      <c r="K21" s="3446"/>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46"/>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34" t="s">
        <v>2060</v>
      </c>
      <c r="B27" s="2008" t="s">
        <v>2061</v>
      </c>
      <c r="C27" s="1929" t="s">
        <v>3085</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34"/>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34"/>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35"/>
      <c r="B30" s="1939" t="s">
        <v>2064</v>
      </c>
      <c r="C30" s="3436"/>
      <c r="D30" s="3437"/>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38" t="s">
        <v>2065</v>
      </c>
      <c r="B31" s="1935" t="s">
        <v>3054</v>
      </c>
      <c r="C31" s="1936" t="str">
        <f>IF(B31="现房","成新及维护状况正常否",IF(B31="在建","工程状态是否正常",IF(B31="土地","是否闲置","-")))</f>
        <v>工程状态是否正常</v>
      </c>
      <c r="D31" s="2009"/>
      <c r="E31" s="1937" t="s">
        <v>3086</v>
      </c>
      <c r="F31" s="1999"/>
      <c r="G31" s="1999"/>
      <c r="H31" s="1999"/>
      <c r="I31" s="1999"/>
      <c r="J31" s="1999"/>
      <c r="K31" s="2106"/>
      <c r="L31" s="1995"/>
      <c r="M31" s="1995"/>
      <c r="N31" s="1195"/>
      <c r="O31" s="11"/>
      <c r="P31" s="1195"/>
      <c r="Q31" s="1195"/>
      <c r="R31" s="1195"/>
      <c r="S31" s="1195"/>
      <c r="T31" s="1195"/>
      <c r="U31" s="1195"/>
      <c r="V31" s="1195"/>
    </row>
    <row r="32" spans="1:22" ht="18" customHeight="1">
      <c r="A32" s="3439"/>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39"/>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3087</v>
      </c>
      <c r="C34" s="1959" t="s">
        <v>3088</v>
      </c>
      <c r="D34" s="1959" t="s">
        <v>3089</v>
      </c>
      <c r="E34" s="1959" t="s">
        <v>3090</v>
      </c>
      <c r="F34" s="1959" t="s">
        <v>3091</v>
      </c>
      <c r="G34" s="1959" t="s">
        <v>3092</v>
      </c>
      <c r="H34" s="1959" t="s">
        <v>3093</v>
      </c>
      <c r="I34" s="1999"/>
      <c r="J34" s="1999"/>
      <c r="K34" s="2883">
        <f>COUNTIF(B34:H34,"——")</f>
        <v>0</v>
      </c>
      <c r="L34" s="2011" t="s">
        <v>2094</v>
      </c>
      <c r="M34" s="2011" t="s">
        <v>2095</v>
      </c>
      <c r="N34" s="2011" t="s">
        <v>2096</v>
      </c>
      <c r="O34" s="2011" t="s">
        <v>2097</v>
      </c>
      <c r="P34" s="2011" t="s">
        <v>2098</v>
      </c>
      <c r="Q34" s="2011" t="s">
        <v>2099</v>
      </c>
      <c r="R34" s="2011" t="s">
        <v>2100</v>
      </c>
      <c r="S34" s="3433" t="s">
        <v>2101</v>
      </c>
      <c r="T34" s="2012" t="str">
        <f>NUMBERSTRING(7-K34,1)&amp;"通"</f>
        <v>七通</v>
      </c>
      <c r="U34" s="1195"/>
      <c r="V34" s="1195"/>
    </row>
    <row r="35" spans="1:22" ht="18" customHeight="1">
      <c r="A35" s="2013"/>
      <c r="B35" s="3440" t="s">
        <v>1873</v>
      </c>
      <c r="C35" s="3440"/>
      <c r="D35" s="3440"/>
      <c r="E35" s="3440"/>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3"/>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3084</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22" activePane="bottomRight" state="frozen"/>
      <selection activeCell="C50" sqref="C50"/>
      <selection pane="topRight" activeCell="C50" sqref="C50"/>
      <selection pane="bottomLeft" activeCell="C50" sqref="C50"/>
      <selection pane="bottomRight" activeCell="AO24" sqref="AO2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3115</v>
      </c>
      <c r="J9" s="244"/>
      <c r="K9" s="3363" t="s">
        <v>3117</v>
      </c>
      <c r="L9" s="244"/>
      <c r="M9" s="3363" t="s">
        <v>3119</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3120</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3116</v>
      </c>
      <c r="J11" s="258"/>
      <c r="K11" s="3365" t="s">
        <v>3118</v>
      </c>
      <c r="L11" s="258"/>
      <c r="M11" s="3365" t="s">
        <v>3120</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3094</v>
      </c>
      <c r="C13" s="3361" t="s">
        <v>3095</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3094</v>
      </c>
      <c r="C14" s="3361" t="s">
        <v>3096</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3094</v>
      </c>
      <c r="C15" s="3361" t="s">
        <v>3097</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3094</v>
      </c>
      <c r="C16" s="3361" t="s">
        <v>3098</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3094</v>
      </c>
      <c r="C17" s="3361" t="s">
        <v>3099</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3094</v>
      </c>
      <c r="C18" s="3361" t="s">
        <v>3100</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0.5">
      <c r="A19" s="296"/>
      <c r="B19" s="3360" t="s">
        <v>3094</v>
      </c>
      <c r="C19" s="3361" t="s">
        <v>3101</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0.5">
      <c r="A20" s="296"/>
      <c r="B20" s="3360" t="s">
        <v>3094</v>
      </c>
      <c r="C20" s="3361" t="s">
        <v>3102</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0.5">
      <c r="A21" s="296"/>
      <c r="B21" s="3360" t="s">
        <v>3094</v>
      </c>
      <c r="C21" s="3361" t="s">
        <v>3103</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0.5">
      <c r="A22" s="296"/>
      <c r="B22" s="3360" t="s">
        <v>3094</v>
      </c>
      <c r="C22" s="3361" t="s">
        <v>3104</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3094</v>
      </c>
      <c r="C23" s="3361" t="s">
        <v>3105</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3094</v>
      </c>
      <c r="C24" s="3361" t="s">
        <v>3106</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3094</v>
      </c>
      <c r="C25" s="3361" t="s">
        <v>3107</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3094</v>
      </c>
      <c r="C26" s="3361" t="s">
        <v>3108</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3094</v>
      </c>
      <c r="C27" s="3361" t="s">
        <v>3109</v>
      </c>
      <c r="D27" s="3362" t="s">
        <v>3042</v>
      </c>
      <c r="E27" s="323">
        <f t="shared" si="7"/>
        <v>9251.98</v>
      </c>
      <c r="F27" s="324"/>
      <c r="G27" s="325">
        <f t="shared" si="8"/>
        <v>25566.68</v>
      </c>
      <c r="H27" s="326">
        <f t="shared" si="9"/>
        <v>16210.670000000002</v>
      </c>
      <c r="I27" s="327"/>
      <c r="J27" s="327"/>
      <c r="K27" s="327"/>
      <c r="L27" s="327"/>
      <c r="M27" s="3385">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3094</v>
      </c>
      <c r="C28" s="3361" t="s">
        <v>3110</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3094</v>
      </c>
      <c r="C29" s="3361" t="s">
        <v>3111</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3094</v>
      </c>
      <c r="C30" s="3361" t="s">
        <v>3112</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3094</v>
      </c>
      <c r="C31" s="3361" t="s">
        <v>3113</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3094</v>
      </c>
      <c r="C32" s="3361" t="s">
        <v>3114</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6" t="s">
        <v>2</v>
      </c>
      <c r="B1" s="3406" t="s">
        <v>37</v>
      </c>
      <c r="C1" s="3406" t="s">
        <v>38</v>
      </c>
      <c r="D1" s="3463" t="s">
        <v>200</v>
      </c>
      <c r="E1" s="3463" t="s">
        <v>201</v>
      </c>
      <c r="F1" s="3463"/>
      <c r="G1" s="3463"/>
      <c r="H1" s="3463"/>
      <c r="I1" s="3463"/>
      <c r="J1" s="3463"/>
      <c r="K1" s="3463"/>
      <c r="L1" s="3463"/>
      <c r="M1" s="3463"/>
    </row>
    <row r="2" spans="1:13" ht="27" customHeight="1">
      <c r="A2" s="3406"/>
      <c r="B2" s="3406"/>
      <c r="C2" s="3406"/>
      <c r="D2" s="3463"/>
      <c r="E2" s="3463" t="s">
        <v>184</v>
      </c>
      <c r="F2" s="3463" t="s">
        <v>185</v>
      </c>
      <c r="G2" s="3463"/>
      <c r="H2" s="3463"/>
      <c r="I2" s="3463"/>
      <c r="J2" s="3463" t="s">
        <v>186</v>
      </c>
      <c r="K2" s="3463"/>
      <c r="L2" s="3463"/>
      <c r="M2" s="3463"/>
    </row>
    <row r="3" spans="1:13" ht="28.5">
      <c r="A3" s="3406"/>
      <c r="B3" s="3406"/>
      <c r="C3" s="3406"/>
      <c r="D3" s="3463"/>
      <c r="E3" s="3463"/>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3" t="s">
        <v>202</v>
      </c>
      <c r="B9" s="3463"/>
      <c r="C9" s="346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H10" sqref="H1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3" t="s">
        <v>642</v>
      </c>
      <c r="B2" s="3473"/>
      <c r="C2" s="3473"/>
      <c r="D2" s="2208" t="s">
        <v>643</v>
      </c>
      <c r="E2" s="19" t="s">
        <v>644</v>
      </c>
      <c r="F2" s="2224"/>
      <c r="G2" s="1178"/>
      <c r="H2" s="1179"/>
      <c r="I2" s="2216" t="s">
        <v>645</v>
      </c>
      <c r="J2" s="2224"/>
      <c r="K2" s="2224"/>
      <c r="L2" s="2224"/>
      <c r="M2" s="2224"/>
      <c r="N2" s="2233"/>
      <c r="O2" s="2224"/>
      <c r="P2" s="2224"/>
    </row>
    <row r="3" spans="1:16" ht="15.75" thickBot="1">
      <c r="A3" s="3474" t="s">
        <v>646</v>
      </c>
      <c r="B3" s="3474"/>
      <c r="C3" s="3474"/>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5"/>
      <c r="B4" s="3476"/>
      <c r="C4" s="3477"/>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78" t="s">
        <v>650</v>
      </c>
      <c r="C5" s="3478"/>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8" t="s">
        <v>651</v>
      </c>
      <c r="C6" s="3478"/>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70"/>
      <c r="B7" s="3471"/>
      <c r="C7" s="3472"/>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7" t="s">
        <v>532</v>
      </c>
      <c r="L16" s="3468"/>
      <c r="M16" s="3468"/>
      <c r="N16" s="3468"/>
      <c r="O16" s="3468"/>
      <c r="P16" s="3469"/>
    </row>
    <row r="17" spans="1:19" ht="14.25">
      <c r="A17" s="29" t="s">
        <v>662</v>
      </c>
      <c r="B17" s="30" t="s">
        <v>663</v>
      </c>
      <c r="C17" s="34" t="s">
        <v>2384</v>
      </c>
      <c r="D17" s="2074" t="s">
        <v>643</v>
      </c>
      <c r="E17" s="2072" t="s">
        <v>644</v>
      </c>
      <c r="F17" s="36"/>
      <c r="G17" s="37"/>
      <c r="H17" s="1182" t="s">
        <v>664</v>
      </c>
      <c r="I17" s="1183" t="s">
        <v>205</v>
      </c>
      <c r="J17" s="2224"/>
      <c r="K17" s="3464" t="s">
        <v>670</v>
      </c>
      <c r="L17" s="3465"/>
      <c r="M17" s="3466"/>
      <c r="N17" s="3464" t="s">
        <v>2685</v>
      </c>
      <c r="O17" s="3465"/>
      <c r="P17" s="3466"/>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ht="14.25">
      <c r="A19" s="32"/>
      <c r="B19" s="26" t="s">
        <v>119</v>
      </c>
      <c r="C19" s="1418" t="s">
        <v>3121</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A31" sqref="A31"/>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42993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3128</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48.16</v>
      </c>
      <c r="G6" s="362">
        <f>IF(ISERROR(ROUND(POWER(1+H6,D6-F6)*(POWER(1+H6,F6)-1)/(POWER(1+H6,D6)-1),3)),0,ROUND(POWER(1+H6,D6-F6)*(POWER(1+H6,F6)-1)/(POWER(1+H6,D6)-1),3))</f>
        <v>0.98899999999999999</v>
      </c>
      <c r="H6" s="1473">
        <v>4.4999999999999998E-2</v>
      </c>
      <c r="I6" s="1473">
        <v>0.05</v>
      </c>
      <c r="J6" s="363">
        <v>0.08</v>
      </c>
      <c r="K6" s="2495">
        <f>SUMIF('数据-汇总表'!C$19:C$33,A6,'数据-汇总表'!E$19:E$33)</f>
        <v>151095.50000000003</v>
      </c>
      <c r="L6" s="1474">
        <v>2500</v>
      </c>
      <c r="M6" s="364">
        <f t="shared" ref="M6:M14" si="0">ROUND(K6*L6/10000,0)</f>
        <v>37774</v>
      </c>
      <c r="N6" s="3379">
        <v>0.37</v>
      </c>
      <c r="O6" s="364">
        <f>IF($N$5="成新度","——",ROUND(M6*N6,0))</f>
        <v>13976</v>
      </c>
      <c r="P6" s="365">
        <f>IF($N$5="成新度","——",M6-O6)</f>
        <v>23798</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0.01</v>
      </c>
      <c r="W6" s="368">
        <v>0.1</v>
      </c>
      <c r="X6" s="2505"/>
      <c r="Y6" s="369">
        <v>1</v>
      </c>
      <c r="Z6" s="370"/>
      <c r="AA6" s="363"/>
      <c r="AB6" s="363"/>
      <c r="AC6" s="2505"/>
      <c r="AD6" s="371"/>
      <c r="AE6" s="2506">
        <f ca="1">IF(AN6="",0,SUMIF(INDIRECT("'"&amp;AN6&amp;"'"&amp;"!E:E"),$AE$5,INDIRECT("'"&amp;AN6&amp;"'"&amp;"!F:F")))</f>
        <v>48.16</v>
      </c>
      <c r="AF6" s="351"/>
      <c r="AG6" s="477">
        <f>IF(AF6="",0,AE6-AF6)</f>
        <v>0</v>
      </c>
      <c r="AH6" s="372"/>
      <c r="AI6" s="374">
        <v>365</v>
      </c>
      <c r="AJ6" s="375"/>
      <c r="AK6" s="3375">
        <v>0.01</v>
      </c>
      <c r="AL6" s="3376">
        <v>1.5E-3</v>
      </c>
      <c r="AM6" s="3377">
        <v>0.01</v>
      </c>
      <c r="AN6" s="2575" t="s">
        <v>3129</v>
      </c>
      <c r="AO6" s="343">
        <f ca="1">SUMIF(INDIRECT("'"&amp;AN6&amp;"'"&amp;"!A:A"),"总价",INDIRECT("'"&amp;AN6&amp;"'"&amp;"!B:B"))</f>
        <v>109129</v>
      </c>
      <c r="AP6" s="2892">
        <f>IF(C6="住宅",K6*L6,0)</f>
        <v>0</v>
      </c>
      <c r="AQ6" s="343">
        <f>ROUND($L$14*$N$14*S6/10000,0)</f>
        <v>5074</v>
      </c>
      <c r="AR6" s="343">
        <f>ROUND($L$14*(1-$N$14)*S6/10000,0)</f>
        <v>5074</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v>0.5</v>
      </c>
      <c r="O14" s="364">
        <f t="shared" si="3"/>
        <v>5075</v>
      </c>
      <c r="P14" s="365">
        <f t="shared" si="4"/>
        <v>5074</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0.98899999999999999</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0.39800000000000002</v>
      </c>
      <c r="O16" s="391">
        <f>SUM(O6:O14)</f>
        <v>19051</v>
      </c>
      <c r="P16" s="391">
        <f>SUM(P6:P14)</f>
        <v>28872</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0.8</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0.8</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1.2</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9">
        <v>190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1" sqref="H11"/>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79" t="s">
        <v>751</v>
      </c>
      <c r="B1" s="3480"/>
      <c r="C1" s="3480"/>
      <c r="D1" s="3480"/>
      <c r="E1" s="3480"/>
      <c r="F1" s="3480"/>
      <c r="G1" s="3480"/>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3170</v>
      </c>
      <c r="H4" s="2254"/>
      <c r="I4" s="2254"/>
      <c r="J4" s="2254"/>
      <c r="K4" s="2254"/>
      <c r="L4" s="2254"/>
      <c r="M4" s="2254"/>
      <c r="N4" s="2254"/>
      <c r="O4" s="2254"/>
      <c r="P4" s="2254"/>
      <c r="Q4" s="2254"/>
      <c r="R4" s="2254"/>
    </row>
    <row r="5" spans="1:29" ht="54">
      <c r="A5" s="1028"/>
      <c r="B5" s="2210" t="s">
        <v>759</v>
      </c>
      <c r="C5" s="3291" t="s">
        <v>760</v>
      </c>
      <c r="D5" s="2255"/>
      <c r="E5" s="1213"/>
      <c r="F5" s="2743" t="s">
        <v>2625</v>
      </c>
      <c r="G5" s="3356" t="s">
        <v>3197</v>
      </c>
      <c r="H5" s="2254"/>
      <c r="I5" s="2254"/>
      <c r="J5" s="2254"/>
      <c r="K5" s="2254"/>
      <c r="L5" s="2254"/>
      <c r="M5" s="2254"/>
      <c r="N5" s="2254"/>
      <c r="O5" s="2254"/>
      <c r="P5" s="2254"/>
      <c r="Q5" s="2254"/>
      <c r="R5" s="2254"/>
    </row>
    <row r="6" spans="1:29" ht="54">
      <c r="A6" s="1028"/>
      <c r="B6" s="2210" t="s">
        <v>72</v>
      </c>
      <c r="C6" s="3292" t="s">
        <v>735</v>
      </c>
      <c r="D6" s="2255"/>
      <c r="E6" s="1213"/>
      <c r="F6" s="2743" t="s">
        <v>2624</v>
      </c>
      <c r="G6" s="3292" t="s">
        <v>3178</v>
      </c>
      <c r="H6" s="2254"/>
      <c r="I6" s="2254"/>
      <c r="J6" s="2254"/>
      <c r="K6" s="2254"/>
      <c r="L6" s="2254"/>
      <c r="M6" s="2254"/>
      <c r="N6" s="2254"/>
      <c r="O6" s="2254"/>
      <c r="P6" s="2254"/>
      <c r="Q6" s="2254"/>
      <c r="R6" s="2254"/>
    </row>
    <row r="7" spans="1:29" ht="54.75"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7">
      <c r="A8" s="1028"/>
      <c r="B8" s="2743" t="s">
        <v>2624</v>
      </c>
      <c r="C8" s="3292" t="s">
        <v>2626</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3069</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2625</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2624</v>
      </c>
      <c r="G20" s="1023" t="str">
        <f>G6</f>
        <v>基础设施水平为“七通”</v>
      </c>
    </row>
    <row r="21" spans="1:18" ht="27">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2975</v>
      </c>
      <c r="B1" s="3254">
        <f>SUM(B14:B23)</f>
        <v>177117.85000000003</v>
      </c>
      <c r="C1" s="3253"/>
      <c r="D1" s="3253"/>
      <c r="E1" s="3253"/>
      <c r="F1" s="3253"/>
      <c r="G1" s="3251"/>
    </row>
    <row r="2" spans="1:10" ht="16.5">
      <c r="A2" s="3254" t="s">
        <v>2963</v>
      </c>
      <c r="B2" s="3254">
        <f>SUM(C14:C23)</f>
        <v>101087.14</v>
      </c>
      <c r="C2" s="3253"/>
      <c r="D2" s="3253"/>
      <c r="E2" s="3253"/>
      <c r="F2" s="3253"/>
      <c r="G2" s="3251"/>
    </row>
    <row r="3" spans="1:10" ht="16.5">
      <c r="A3" s="3254" t="s">
        <v>2972</v>
      </c>
      <c r="B3" s="3255">
        <f>项目基本情况!D3</f>
        <v>42993</v>
      </c>
      <c r="C3" s="3253"/>
      <c r="D3" s="3253"/>
      <c r="E3" s="3253"/>
      <c r="F3" s="3253"/>
      <c r="G3" s="3251"/>
    </row>
    <row r="4" spans="1:10" ht="33">
      <c r="A4" s="3254" t="s">
        <v>2971</v>
      </c>
      <c r="B4" s="3254" t="s">
        <v>2970</v>
      </c>
      <c r="C4" s="3254" t="s">
        <v>2969</v>
      </c>
      <c r="D4" s="3254" t="s">
        <v>2968</v>
      </c>
      <c r="E4" s="3253"/>
      <c r="F4" s="3251"/>
      <c r="G4" s="3251"/>
    </row>
    <row r="5" spans="1:10" ht="16.5">
      <c r="A5" s="3254" t="s">
        <v>2967</v>
      </c>
      <c r="B5" s="3254">
        <f ca="1">SUM(D14:D23)</f>
        <v>50349</v>
      </c>
      <c r="C5" s="3254">
        <f ca="1">ROUND(B5*10000/$B$1,0)</f>
        <v>2843</v>
      </c>
      <c r="D5" s="3254">
        <f ca="1">ROUND(B5*10000/$B$2,0)</f>
        <v>4981</v>
      </c>
      <c r="E5" s="3253"/>
      <c r="F5" s="3251"/>
      <c r="G5" s="3251"/>
    </row>
    <row r="6" spans="1:10" ht="16.5">
      <c r="A6" s="3254" t="s">
        <v>2966</v>
      </c>
      <c r="B6" s="3254">
        <f ca="1">SUM(G14:G23)</f>
        <v>50349</v>
      </c>
      <c r="C6" s="3254">
        <f ca="1">ROUND(B6*10000/$B$1,0)</f>
        <v>2843</v>
      </c>
      <c r="D6" s="3254">
        <f ca="1">ROUND(B6*10000/$B$2,0)</f>
        <v>4981</v>
      </c>
      <c r="E6" s="3253"/>
      <c r="F6" s="3251"/>
      <c r="G6" s="3251"/>
    </row>
    <row r="7" spans="1:10" ht="16.5">
      <c r="A7" s="3254" t="s">
        <v>2974</v>
      </c>
      <c r="B7" s="3254">
        <f>SUM(H14:H23)</f>
        <v>0</v>
      </c>
      <c r="C7" s="3254">
        <f>ROUND(B7*10000/$B$1,0)</f>
        <v>0</v>
      </c>
      <c r="D7" s="3254">
        <f>ROUND(B7*10000/$B$2,0)</f>
        <v>0</v>
      </c>
      <c r="E7" s="3253"/>
      <c r="F7" s="3251"/>
      <c r="G7" s="3251"/>
    </row>
    <row r="8" spans="1:10" ht="16.5">
      <c r="A8" s="3254" t="s">
        <v>2864</v>
      </c>
      <c r="B8" s="3254">
        <f>SUM(I14:I23)</f>
        <v>0</v>
      </c>
      <c r="C8" s="3254">
        <f>ROUND(B8*10000/$B$1,0)</f>
        <v>0</v>
      </c>
      <c r="D8" s="3254">
        <f>ROUND(B8*10000/$B$2,0)</f>
        <v>0</v>
      </c>
      <c r="E8" s="3253"/>
      <c r="F8" s="3251"/>
      <c r="G8" s="3251"/>
    </row>
    <row r="9" spans="1:10" ht="16.5">
      <c r="A9" s="3254" t="s">
        <v>2965</v>
      </c>
      <c r="B9" s="3256"/>
      <c r="C9" s="3253"/>
      <c r="D9" s="3253"/>
      <c r="E9" s="3253"/>
      <c r="F9" s="3251"/>
      <c r="G9" s="3251"/>
    </row>
    <row r="10" spans="1:10" ht="16.5">
      <c r="A10" s="3254" t="s">
        <v>2964</v>
      </c>
      <c r="B10" s="3256"/>
      <c r="C10" s="3253"/>
      <c r="D10" s="3253"/>
      <c r="E10" s="3253"/>
      <c r="F10" s="3251"/>
      <c r="G10" s="3251"/>
    </row>
    <row r="11" spans="1:10" ht="16.5">
      <c r="A11" s="3254" t="s">
        <v>2980</v>
      </c>
      <c r="B11" s="3256"/>
      <c r="C11" s="3253"/>
      <c r="D11" s="3253"/>
      <c r="E11" s="3253"/>
      <c r="F11" s="3251"/>
      <c r="G11" s="3251"/>
    </row>
    <row r="12" spans="1:10" ht="16.5">
      <c r="A12" s="3253"/>
      <c r="B12" s="3253"/>
      <c r="C12" s="3253"/>
      <c r="D12" s="3253"/>
      <c r="E12" s="3253"/>
      <c r="F12" s="3251"/>
      <c r="G12" s="3251"/>
    </row>
    <row r="13" spans="1:10" ht="33">
      <c r="A13" s="3259" t="s">
        <v>2979</v>
      </c>
      <c r="B13" s="3252" t="s">
        <v>2976</v>
      </c>
      <c r="C13" s="3252" t="s">
        <v>2978</v>
      </c>
      <c r="D13" s="3252" t="s">
        <v>2977</v>
      </c>
      <c r="E13" s="3254" t="s">
        <v>2969</v>
      </c>
      <c r="F13" s="3254" t="s">
        <v>2968</v>
      </c>
      <c r="G13" s="3252" t="s">
        <v>2962</v>
      </c>
      <c r="H13" s="3252" t="s">
        <v>2973</v>
      </c>
      <c r="I13" s="3252" t="s">
        <v>2961</v>
      </c>
      <c r="J13" s="3251"/>
    </row>
    <row r="14" spans="1:10" ht="16.5">
      <c r="A14" s="3250" t="s">
        <v>2960</v>
      </c>
      <c r="B14" s="3252">
        <f>'数据-汇总表'!E3</f>
        <v>177117.85000000003</v>
      </c>
      <c r="C14" s="3252">
        <f>'数据-汇总表'!D3</f>
        <v>101087.14</v>
      </c>
      <c r="D14" s="3252">
        <f ca="1">结果表!H118</f>
        <v>50349</v>
      </c>
      <c r="E14" s="3252">
        <f ca="1">ROUND(D14*10000/B14,0)</f>
        <v>2843</v>
      </c>
      <c r="F14" s="3252">
        <f ca="1">ROUND(D14*10000/C14,0)</f>
        <v>4981</v>
      </c>
      <c r="G14" s="3252">
        <f ca="1">结果表!D122</f>
        <v>50349</v>
      </c>
      <c r="H14" s="3252" t="str">
        <f>结果表!D124</f>
        <v>——</v>
      </c>
      <c r="I14" s="3252" t="str">
        <f>结果表!D126</f>
        <v>——</v>
      </c>
      <c r="J14" s="3251"/>
    </row>
    <row r="15" spans="1:10" ht="16.5">
      <c r="A15" s="3250" t="s">
        <v>2959</v>
      </c>
      <c r="B15" s="3257"/>
      <c r="C15" s="3257"/>
      <c r="D15" s="3257"/>
      <c r="E15" s="3252" t="e">
        <f t="shared" ref="E15:E23" si="0">ROUND(D15*10000/B15,0)</f>
        <v>#DIV/0!</v>
      </c>
      <c r="F15" s="3252" t="e">
        <f t="shared" ref="F15:F23" si="1">ROUND(D15*10000/C15,0)</f>
        <v>#DIV/0!</v>
      </c>
      <c r="G15" s="3258"/>
      <c r="H15" s="3258"/>
      <c r="I15" s="3257"/>
      <c r="J15" s="3251"/>
    </row>
    <row r="16" spans="1:10" ht="16.5">
      <c r="A16" s="3250" t="s">
        <v>2958</v>
      </c>
      <c r="B16" s="3257"/>
      <c r="C16" s="3257"/>
      <c r="D16" s="3257"/>
      <c r="E16" s="3252" t="e">
        <f t="shared" si="0"/>
        <v>#DIV/0!</v>
      </c>
      <c r="F16" s="3252" t="e">
        <f t="shared" si="1"/>
        <v>#DIV/0!</v>
      </c>
      <c r="G16" s="3258"/>
      <c r="H16" s="3258"/>
      <c r="I16" s="3257"/>
    </row>
    <row r="17" spans="1:9" ht="16.5">
      <c r="A17" s="3250" t="s">
        <v>2957</v>
      </c>
      <c r="B17" s="3257"/>
      <c r="C17" s="3257"/>
      <c r="D17" s="3257"/>
      <c r="E17" s="3252" t="e">
        <f t="shared" si="0"/>
        <v>#DIV/0!</v>
      </c>
      <c r="F17" s="3252" t="e">
        <f t="shared" si="1"/>
        <v>#DIV/0!</v>
      </c>
      <c r="G17" s="3258"/>
      <c r="H17" s="3258"/>
      <c r="I17" s="3257"/>
    </row>
    <row r="18" spans="1:9" ht="16.5">
      <c r="A18" s="3250" t="s">
        <v>2956</v>
      </c>
      <c r="B18" s="3257"/>
      <c r="C18" s="3257"/>
      <c r="D18" s="3257"/>
      <c r="E18" s="3252" t="e">
        <f t="shared" si="0"/>
        <v>#DIV/0!</v>
      </c>
      <c r="F18" s="3252" t="e">
        <f t="shared" si="1"/>
        <v>#DIV/0!</v>
      </c>
      <c r="G18" s="3257"/>
      <c r="H18" s="3257"/>
      <c r="I18" s="3257"/>
    </row>
    <row r="19" spans="1:9" ht="16.5">
      <c r="A19" s="3250" t="s">
        <v>2955</v>
      </c>
      <c r="B19" s="3257"/>
      <c r="C19" s="3257"/>
      <c r="D19" s="3257"/>
      <c r="E19" s="3252" t="e">
        <f t="shared" si="0"/>
        <v>#DIV/0!</v>
      </c>
      <c r="F19" s="3252" t="e">
        <f t="shared" si="1"/>
        <v>#DIV/0!</v>
      </c>
      <c r="G19" s="3257"/>
      <c r="H19" s="3257"/>
      <c r="I19" s="3257"/>
    </row>
    <row r="20" spans="1:9" ht="16.5">
      <c r="A20" s="3250" t="s">
        <v>2954</v>
      </c>
      <c r="B20" s="3257"/>
      <c r="C20" s="3257"/>
      <c r="D20" s="3257"/>
      <c r="E20" s="3252" t="e">
        <f t="shared" si="0"/>
        <v>#DIV/0!</v>
      </c>
      <c r="F20" s="3252" t="e">
        <f t="shared" si="1"/>
        <v>#DIV/0!</v>
      </c>
      <c r="G20" s="3257"/>
      <c r="H20" s="3257"/>
      <c r="I20" s="3257"/>
    </row>
    <row r="21" spans="1:9" ht="16.5">
      <c r="A21" s="3250" t="s">
        <v>2953</v>
      </c>
      <c r="B21" s="3257"/>
      <c r="C21" s="3257"/>
      <c r="D21" s="3257"/>
      <c r="E21" s="3252" t="e">
        <f t="shared" si="0"/>
        <v>#DIV/0!</v>
      </c>
      <c r="F21" s="3252" t="e">
        <f t="shared" si="1"/>
        <v>#DIV/0!</v>
      </c>
      <c r="G21" s="3257"/>
      <c r="H21" s="3257"/>
      <c r="I21" s="3257"/>
    </row>
    <row r="22" spans="1:9" ht="16.5">
      <c r="A22" s="3250" t="s">
        <v>2952</v>
      </c>
      <c r="B22" s="3257"/>
      <c r="C22" s="3257"/>
      <c r="D22" s="3257"/>
      <c r="E22" s="3252" t="e">
        <f t="shared" si="0"/>
        <v>#DIV/0!</v>
      </c>
      <c r="F22" s="3252" t="e">
        <f t="shared" si="1"/>
        <v>#DIV/0!</v>
      </c>
      <c r="G22" s="3257"/>
      <c r="H22" s="3257"/>
      <c r="I22" s="3257"/>
    </row>
    <row r="23" spans="1:9" ht="16.5">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8" zoomScaleNormal="100" zoomScaleSheetLayoutView="100" zoomScalePageLayoutView="80" workbookViewId="0">
      <selection activeCell="G118" sqref="G118"/>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3180</v>
      </c>
    </row>
    <row r="2" spans="1:12" ht="21.75" customHeight="1" thickBot="1">
      <c r="A2" s="3516" t="str">
        <f>项目基本情况!S2</f>
        <v>北京市北京市经济开发区路东区E6街区EM6-1地块出让国有建设用地使用权及在建建筑物房地产</v>
      </c>
      <c r="B2" s="3517"/>
      <c r="C2" s="3517"/>
      <c r="D2" s="3517"/>
      <c r="E2" s="3517"/>
      <c r="F2" s="3517"/>
      <c r="G2" s="3517"/>
      <c r="H2" s="3517"/>
      <c r="I2" s="3518"/>
    </row>
    <row r="3" spans="1:12" ht="12">
      <c r="A3" s="3520" t="s">
        <v>10</v>
      </c>
      <c r="B3" s="3521"/>
      <c r="C3" s="3521"/>
      <c r="D3" s="3521"/>
      <c r="E3" s="3521"/>
      <c r="F3" s="3521"/>
      <c r="G3" s="3521"/>
      <c r="H3" s="3521"/>
      <c r="I3" s="3521"/>
    </row>
    <row r="4" spans="1:12" ht="13.5">
      <c r="A4" s="428" t="s">
        <v>11</v>
      </c>
      <c r="B4" s="429" t="s">
        <v>12</v>
      </c>
      <c r="C4" s="430" t="s">
        <v>3182</v>
      </c>
      <c r="D4" s="430" t="s">
        <v>3134</v>
      </c>
      <c r="E4" s="3522" t="s">
        <v>762</v>
      </c>
      <c r="F4" s="3523"/>
      <c r="G4" s="3523"/>
      <c r="H4" s="3523"/>
      <c r="I4" s="3524"/>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495" t="s">
        <v>13</v>
      </c>
      <c r="B5" s="3482">
        <v>25</v>
      </c>
      <c r="C5" s="3498"/>
      <c r="D5" s="3519"/>
      <c r="E5" s="470" t="s">
        <v>802</v>
      </c>
      <c r="F5" s="431"/>
      <c r="G5" s="431"/>
      <c r="H5" s="431"/>
      <c r="I5" s="432"/>
    </row>
    <row r="6" spans="1:12" ht="12.75">
      <c r="A6" s="3495"/>
      <c r="B6" s="3482"/>
      <c r="C6" s="3499"/>
      <c r="D6" s="3519"/>
      <c r="E6" s="470" t="s">
        <v>803</v>
      </c>
      <c r="F6" s="431"/>
      <c r="G6" s="431"/>
      <c r="H6" s="431"/>
      <c r="I6" s="432"/>
    </row>
    <row r="7" spans="1:12" ht="12.75">
      <c r="A7" s="3495"/>
      <c r="B7" s="3482"/>
      <c r="C7" s="3500"/>
      <c r="D7" s="3519"/>
      <c r="E7" s="470" t="s">
        <v>804</v>
      </c>
      <c r="F7" s="431"/>
      <c r="G7" s="431"/>
      <c r="H7" s="431"/>
      <c r="I7" s="432"/>
    </row>
    <row r="8" spans="1:12" ht="12.75">
      <c r="A8" s="3495" t="s">
        <v>14</v>
      </c>
      <c r="B8" s="3482">
        <v>15</v>
      </c>
      <c r="C8" s="3498"/>
      <c r="D8" s="3519"/>
      <c r="E8" s="470" t="s">
        <v>805</v>
      </c>
      <c r="F8" s="431"/>
      <c r="G8" s="431"/>
      <c r="H8" s="431"/>
      <c r="I8" s="432"/>
    </row>
    <row r="9" spans="1:12" ht="12.75">
      <c r="A9" s="3495"/>
      <c r="B9" s="3482"/>
      <c r="C9" s="3500"/>
      <c r="D9" s="3519"/>
      <c r="E9" s="470" t="s">
        <v>806</v>
      </c>
      <c r="F9" s="431"/>
      <c r="G9" s="431"/>
      <c r="H9" s="431"/>
      <c r="I9" s="432"/>
    </row>
    <row r="10" spans="1:12" ht="12.75">
      <c r="A10" s="3495" t="s">
        <v>15</v>
      </c>
      <c r="B10" s="3482">
        <v>15</v>
      </c>
      <c r="C10" s="3498"/>
      <c r="D10" s="3519"/>
      <c r="E10" s="470" t="s">
        <v>807</v>
      </c>
      <c r="F10" s="431"/>
      <c r="G10" s="431"/>
      <c r="H10" s="431"/>
      <c r="I10" s="432"/>
    </row>
    <row r="11" spans="1:12" ht="12.75">
      <c r="A11" s="3495"/>
      <c r="B11" s="3482"/>
      <c r="C11" s="3500"/>
      <c r="D11" s="3519"/>
      <c r="E11" s="470" t="s">
        <v>808</v>
      </c>
      <c r="F11" s="431"/>
      <c r="G11" s="431"/>
      <c r="H11" s="431"/>
      <c r="I11" s="432"/>
    </row>
    <row r="12" spans="1:12" ht="12.75">
      <c r="A12" s="3495" t="s">
        <v>16</v>
      </c>
      <c r="B12" s="3482">
        <v>15</v>
      </c>
      <c r="C12" s="3498"/>
      <c r="D12" s="3519"/>
      <c r="E12" s="470" t="s">
        <v>809</v>
      </c>
      <c r="F12" s="431"/>
      <c r="G12" s="431"/>
      <c r="H12" s="431"/>
      <c r="I12" s="432"/>
    </row>
    <row r="13" spans="1:12" ht="12.75">
      <c r="A13" s="3495"/>
      <c r="B13" s="3482"/>
      <c r="C13" s="3500"/>
      <c r="D13" s="3519"/>
      <c r="E13" s="470" t="s">
        <v>810</v>
      </c>
      <c r="F13" s="431"/>
      <c r="G13" s="431"/>
      <c r="H13" s="431"/>
      <c r="I13" s="432"/>
    </row>
    <row r="14" spans="1:12" ht="12.75">
      <c r="A14" s="3495" t="s">
        <v>17</v>
      </c>
      <c r="B14" s="3482">
        <v>30</v>
      </c>
      <c r="C14" s="3498">
        <v>5</v>
      </c>
      <c r="D14" s="3519">
        <v>5</v>
      </c>
      <c r="E14" s="470" t="s">
        <v>811</v>
      </c>
      <c r="F14" s="431"/>
      <c r="G14" s="431"/>
      <c r="H14" s="431"/>
      <c r="I14" s="432"/>
    </row>
    <row r="15" spans="1:12" ht="12.75">
      <c r="A15" s="3495"/>
      <c r="B15" s="3482"/>
      <c r="C15" s="3499"/>
      <c r="D15" s="3519"/>
      <c r="E15" s="470" t="s">
        <v>812</v>
      </c>
      <c r="F15" s="431"/>
      <c r="G15" s="431"/>
      <c r="H15" s="431"/>
      <c r="I15" s="432"/>
    </row>
    <row r="16" spans="1:12" ht="12.75">
      <c r="A16" s="3495"/>
      <c r="B16" s="3482"/>
      <c r="C16" s="3500"/>
      <c r="D16" s="3519"/>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47092</v>
      </c>
      <c r="D19" s="474">
        <f ca="1">SUMIF(INDIRECT("'"&amp;D4&amp;"'"&amp;"!A:A"),结果表!B19,INDIRECT("'"&amp;D4&amp;"'"&amp;"!B:B"))</f>
        <v>53606</v>
      </c>
      <c r="E19" s="435" t="s">
        <v>179</v>
      </c>
      <c r="F19" s="436" t="s">
        <v>20</v>
      </c>
      <c r="G19" s="475">
        <f ca="1">ROUND(C19*$C$18+D19*$D$18,0)</f>
        <v>50349</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2659</v>
      </c>
      <c r="D20" s="477">
        <f ca="1">SUMIF(INDIRECT("'"&amp;D4&amp;"'"&amp;"!A:A"),结果表!B20,INDIRECT("'"&amp;D4&amp;"'"&amp;"!B:B"))</f>
        <v>3027</v>
      </c>
      <c r="E20" s="438"/>
      <c r="F20" s="439" t="s">
        <v>21</v>
      </c>
      <c r="G20" s="478">
        <f ca="1">ROUND(C20*$C$18+D20*$D$18,0)</f>
        <v>2843</v>
      </c>
      <c r="H20" s="440" t="s">
        <v>225</v>
      </c>
      <c r="I20" s="2275"/>
    </row>
    <row r="21" spans="1:35" ht="15" customHeight="1" thickBot="1">
      <c r="A21" s="442"/>
      <c r="B21" s="443" t="s">
        <v>22</v>
      </c>
      <c r="C21" s="1419">
        <f ca="1">ROUND(C19*10000/L19,0)</f>
        <v>4659</v>
      </c>
      <c r="D21" s="1420">
        <f ca="1">ROUND(D19*10000/L19,0)</f>
        <v>5303</v>
      </c>
      <c r="E21" s="442"/>
      <c r="F21" s="443" t="s">
        <v>22</v>
      </c>
      <c r="G21" s="479">
        <f ca="1">ROUND(G19*10000/L19,0)</f>
        <v>4981</v>
      </c>
      <c r="H21" s="444" t="s">
        <v>225</v>
      </c>
      <c r="I21" s="2275"/>
    </row>
    <row r="22" spans="1:35" ht="15" thickBot="1">
      <c r="A22" s="274" t="s">
        <v>181</v>
      </c>
      <c r="B22" s="1421"/>
      <c r="C22" s="1422"/>
      <c r="D22" s="1423">
        <f ca="1">IF(C19&lt;D19,D19/C19-1,C19/D19-1)</f>
        <v>0.13832498088847367</v>
      </c>
      <c r="E22" s="2275"/>
      <c r="F22" s="2275"/>
      <c r="G22" s="2275"/>
      <c r="H22" s="2275"/>
      <c r="I22" s="2275"/>
    </row>
    <row r="23" spans="1:35" ht="12.75" thickBot="1">
      <c r="A23" s="1241"/>
      <c r="B23" s="1241"/>
      <c r="C23" s="1241"/>
      <c r="D23" s="1241"/>
      <c r="E23" s="2275"/>
      <c r="F23" s="2275"/>
      <c r="G23" s="2275"/>
      <c r="H23" s="2275"/>
      <c r="I23" s="2275"/>
    </row>
    <row r="24" spans="1:35" ht="14.25" hidden="1">
      <c r="A24" s="3489" t="s">
        <v>177</v>
      </c>
      <c r="B24" s="436" t="s">
        <v>20</v>
      </c>
      <c r="C24" s="475">
        <f>IF(B30=0,0,D30)</f>
        <v>0</v>
      </c>
      <c r="D24" s="445"/>
      <c r="E24" s="2275"/>
      <c r="F24" s="2275"/>
      <c r="G24" s="2275"/>
      <c r="H24" s="2275"/>
      <c r="I24" s="2275"/>
    </row>
    <row r="25" spans="1:35" ht="14.25" hidden="1">
      <c r="A25" s="3490"/>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50349</v>
      </c>
      <c r="D32" s="2090" t="s">
        <v>208</v>
      </c>
      <c r="E32" s="2275"/>
      <c r="F32" s="2275"/>
      <c r="G32" s="2275"/>
      <c r="H32" s="2275"/>
      <c r="I32" s="2275"/>
    </row>
    <row r="33" spans="1:15" ht="13.5">
      <c r="A33" s="456" t="s">
        <v>763</v>
      </c>
      <c r="B33" s="2089"/>
      <c r="C33" s="2872" t="s">
        <v>3183</v>
      </c>
      <c r="D33" s="2875" t="s">
        <v>3182</v>
      </c>
      <c r="E33" s="2087" t="s">
        <v>2104</v>
      </c>
      <c r="F33" s="2088" t="str">
        <f>IF(D32="楼面单价","取值（单价）","取值（总价）")</f>
        <v>取值（总价）</v>
      </c>
      <c r="G33" s="2275"/>
      <c r="H33" s="2275"/>
      <c r="I33" s="2275"/>
    </row>
    <row r="34" spans="1:15" ht="15">
      <c r="A34" s="457"/>
      <c r="B34" s="458" t="s">
        <v>766</v>
      </c>
      <c r="C34" s="488">
        <f ca="1">IF(C33="自定义",F34,C32-C35)</f>
        <v>22556</v>
      </c>
      <c r="D34" s="2091">
        <f ca="1">IF(C33="自定义",ROUND(C34/C32,3),IF(C33="收益比率",SUMIF(INDIRECT("'"&amp;D33&amp;"'"&amp;"!b:b"),"土地收益比率",INDIRECT("'"&amp;D33&amp;"'"&amp;"!c:c")),SUMIF(INDIRECT("'"&amp;D33&amp;"'"&amp;"!b:b"),"土地成本比率",INDIRECT("'"&amp;D33&amp;"'"&amp;"!c:c"))))</f>
        <v>0.44799999999999995</v>
      </c>
      <c r="E34" s="2873" t="s">
        <v>2105</v>
      </c>
      <c r="F34" s="3247"/>
      <c r="G34" s="2275"/>
      <c r="H34" s="2275"/>
      <c r="I34" s="2275"/>
    </row>
    <row r="35" spans="1:15" ht="15.75" thickBot="1">
      <c r="A35" s="460"/>
      <c r="B35" s="2876" t="s">
        <v>768</v>
      </c>
      <c r="C35" s="2877">
        <f ca="1">IF(C33="自定义",F35,ROUND(C32*D35,0))</f>
        <v>27793</v>
      </c>
      <c r="D35" s="2878">
        <f ca="1">IF(C33="自定义",ROUND(C35/C32,3),IF(C33="收益比率",SUMIF(INDIRECT("'"&amp;D33&amp;"'"&amp;"!b:b"),"建筑物收益比率",INDIRECT("'"&amp;D33&amp;"'"&amp;"!c:c")),SUMIF(INDIRECT("'"&amp;D33&amp;"'"&amp;"!b:b"),"建筑物成本比率",INDIRECT("'"&amp;D33&amp;"'"&amp;"!c:c"))))</f>
        <v>0.55200000000000005</v>
      </c>
      <c r="E35" s="2874" t="s">
        <v>2106</v>
      </c>
      <c r="F35" s="494"/>
      <c r="G35" s="2275"/>
      <c r="H35" s="2275"/>
      <c r="I35" s="2275"/>
    </row>
    <row r="36" spans="1:15" ht="15.75" hidden="1" thickBot="1">
      <c r="A36" s="3508" t="s">
        <v>764</v>
      </c>
      <c r="B36" s="454" t="s">
        <v>765</v>
      </c>
      <c r="C36" s="485"/>
      <c r="D36" s="455"/>
      <c r="E36" s="1244"/>
      <c r="F36" s="2276"/>
      <c r="G36" s="2275"/>
      <c r="H36" s="2275"/>
      <c r="I36" s="2275"/>
    </row>
    <row r="37" spans="1:15" ht="15.75" hidden="1" thickBot="1">
      <c r="A37" s="3509"/>
      <c r="B37" s="13" t="s">
        <v>767</v>
      </c>
      <c r="C37" s="487"/>
      <c r="D37" s="2224"/>
      <c r="E37" s="2224"/>
      <c r="F37" s="2276"/>
      <c r="G37" s="2275"/>
      <c r="H37" s="2275"/>
      <c r="I37" s="2275"/>
    </row>
    <row r="38" spans="1:15" ht="15.75" hidden="1" thickBot="1">
      <c r="A38" s="3510"/>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486" t="s">
        <v>794</v>
      </c>
      <c r="B45" s="3487"/>
      <c r="C45" s="3488"/>
      <c r="D45" s="495">
        <f ca="1">ROUND(H101*F45,0)</f>
        <v>50349</v>
      </c>
      <c r="E45" s="496" t="s">
        <v>795</v>
      </c>
      <c r="F45" s="497">
        <v>1</v>
      </c>
      <c r="G45" s="498" t="s">
        <v>796</v>
      </c>
      <c r="H45" s="2275"/>
      <c r="I45" s="2275"/>
      <c r="J45" s="3550" t="s">
        <v>213</v>
      </c>
      <c r="K45" s="3550"/>
      <c r="L45" s="3550"/>
      <c r="M45" s="3550"/>
      <c r="N45" s="3550"/>
      <c r="O45" s="3550"/>
    </row>
    <row r="46" spans="1:15" ht="14.25" hidden="1" customHeight="1">
      <c r="A46" s="3483" t="s">
        <v>285</v>
      </c>
      <c r="B46" s="3484"/>
      <c r="C46" s="3484"/>
      <c r="D46" s="3484"/>
      <c r="E46" s="3484"/>
      <c r="F46" s="3484"/>
      <c r="G46" s="3485"/>
      <c r="H46" s="2277"/>
      <c r="I46" s="2230"/>
      <c r="J46" s="1498">
        <v>1</v>
      </c>
      <c r="K46" s="3550" t="s">
        <v>214</v>
      </c>
      <c r="L46" s="3550"/>
      <c r="M46" s="3574"/>
      <c r="N46" s="3574"/>
      <c r="O46" s="3574"/>
    </row>
    <row r="47" spans="1:15" ht="12" hidden="1" customHeight="1">
      <c r="A47" s="500" t="s">
        <v>286</v>
      </c>
      <c r="B47" s="501"/>
      <c r="C47" s="502"/>
      <c r="D47" s="503" t="s">
        <v>287</v>
      </c>
      <c r="E47" s="312" t="s">
        <v>288</v>
      </c>
      <c r="F47" s="504" t="s">
        <v>797</v>
      </c>
      <c r="G47" s="505" t="s">
        <v>798</v>
      </c>
      <c r="H47" s="2277"/>
      <c r="I47" s="2230"/>
      <c r="J47" s="1498">
        <v>2</v>
      </c>
      <c r="K47" s="3550" t="s">
        <v>215</v>
      </c>
      <c r="L47" s="3550"/>
      <c r="M47" s="3575">
        <f>'数据-取费表'!B2</f>
        <v>42993</v>
      </c>
      <c r="N47" s="3575"/>
      <c r="O47" s="3575"/>
    </row>
    <row r="48" spans="1:15" ht="25.5" hidden="1">
      <c r="A48" s="3515" t="s">
        <v>289</v>
      </c>
      <c r="B48" s="3497"/>
      <c r="C48" s="3497"/>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550" t="s">
        <v>780</v>
      </c>
      <c r="L48" s="3550"/>
      <c r="M48" s="3576">
        <f ca="1">H101</f>
        <v>50349</v>
      </c>
      <c r="N48" s="3576"/>
      <c r="O48" s="3576"/>
    </row>
    <row r="49" spans="1:35" ht="25.5" hidden="1" customHeight="1">
      <c r="A49" s="507" t="s">
        <v>799</v>
      </c>
      <c r="B49" s="3481" t="s">
        <v>800</v>
      </c>
      <c r="C49" s="3481"/>
      <c r="D49" s="508">
        <v>0</v>
      </c>
      <c r="E49" s="311" t="s">
        <v>801</v>
      </c>
      <c r="F49" s="316" t="s">
        <v>171</v>
      </c>
      <c r="G49" s="3556"/>
      <c r="H49" s="2275"/>
      <c r="I49" s="2278"/>
      <c r="J49" s="1498">
        <v>4</v>
      </c>
      <c r="K49" s="3550" t="str">
        <f>IF(项目基本情况!E8="房地产抵押价值","房地产抵押价值","抵押担保权已注销时的房地产抵押价值")</f>
        <v>房地产抵押价值</v>
      </c>
      <c r="L49" s="3550"/>
      <c r="M49" s="3576">
        <f ca="1">IF(项目基本情况!E8="房地产抵押价值",H107,H109)</f>
        <v>50349</v>
      </c>
      <c r="N49" s="3576"/>
      <c r="O49" s="3576"/>
    </row>
    <row r="50" spans="1:35" ht="25.5" hidden="1" customHeight="1">
      <c r="A50" s="509"/>
      <c r="B50" s="3481" t="s">
        <v>292</v>
      </c>
      <c r="C50" s="3481"/>
      <c r="D50" s="510"/>
      <c r="E50" s="319"/>
      <c r="F50" s="511"/>
      <c r="G50" s="3557"/>
      <c r="H50" s="2275"/>
      <c r="I50" s="2278"/>
      <c r="J50" s="3550" t="s">
        <v>216</v>
      </c>
      <c r="K50" s="3550"/>
      <c r="L50" s="3550"/>
      <c r="M50" s="3550"/>
      <c r="N50" s="3550"/>
      <c r="O50" s="3550"/>
    </row>
    <row r="51" spans="1:35" ht="12" hidden="1" customHeight="1">
      <c r="A51" s="512"/>
      <c r="B51" s="3481" t="s">
        <v>293</v>
      </c>
      <c r="C51" s="3481"/>
      <c r="D51" s="513"/>
      <c r="E51" s="318"/>
      <c r="F51" s="511"/>
      <c r="G51" s="3558"/>
      <c r="H51" s="2275"/>
      <c r="I51" s="2278"/>
      <c r="J51" s="3266" t="s">
        <v>217</v>
      </c>
      <c r="K51" s="3550" t="s">
        <v>218</v>
      </c>
      <c r="L51" s="3550"/>
      <c r="M51" s="3266" t="s">
        <v>2988</v>
      </c>
      <c r="N51" s="3266" t="s">
        <v>219</v>
      </c>
      <c r="O51" s="3266" t="s">
        <v>220</v>
      </c>
    </row>
    <row r="52" spans="1:35" ht="24" hidden="1" customHeight="1">
      <c r="A52" s="514" t="s">
        <v>294</v>
      </c>
      <c r="B52" s="3481" t="s">
        <v>295</v>
      </c>
      <c r="C52" s="3481"/>
      <c r="D52" s="513">
        <f ca="1">ROUND(D45*'数据-取费表'!B41/(1+'数据-取费表'!C42),0)</f>
        <v>2637</v>
      </c>
      <c r="E52" s="298" t="s">
        <v>296</v>
      </c>
      <c r="F52" s="515">
        <f>'数据-取费表'!B41</f>
        <v>5.5000000000000007E-2</v>
      </c>
      <c r="G52" s="465"/>
      <c r="H52" s="2275"/>
      <c r="I52" s="2278"/>
      <c r="J52" s="1498">
        <v>1</v>
      </c>
      <c r="K52" s="3551" t="s">
        <v>781</v>
      </c>
      <c r="L52" s="3551"/>
      <c r="M52" s="3267">
        <f>D48</f>
        <v>0</v>
      </c>
      <c r="N52" s="1497" t="str">
        <f>E48</f>
        <v>销售额×税（费）率</v>
      </c>
      <c r="O52" s="3268" t="str">
        <f>F48</f>
        <v>免征</v>
      </c>
    </row>
    <row r="53" spans="1:35" ht="12" hidden="1" customHeight="1">
      <c r="A53" s="514" t="s">
        <v>297</v>
      </c>
      <c r="B53" s="3506" t="s">
        <v>298</v>
      </c>
      <c r="C53" s="3507"/>
      <c r="D53" s="513">
        <f ca="1">ROUND(D45*'数据-取费表'!B41/(1+'数据-取费表'!C42),0)</f>
        <v>2637</v>
      </c>
      <c r="E53" s="298" t="s">
        <v>296</v>
      </c>
      <c r="F53" s="515">
        <f>'数据-取费表'!B41</f>
        <v>5.5000000000000007E-2</v>
      </c>
      <c r="G53" s="465"/>
      <c r="H53" s="2275"/>
      <c r="I53" s="2278"/>
      <c r="J53" s="1498">
        <v>2</v>
      </c>
      <c r="K53" s="3551" t="s">
        <v>782</v>
      </c>
      <c r="L53" s="3551"/>
      <c r="M53" s="3267">
        <f t="shared" ref="M53:O54" ca="1" si="0">D55</f>
        <v>25</v>
      </c>
      <c r="N53" s="1497" t="str">
        <f t="shared" si="0"/>
        <v>销售额×税（费）率</v>
      </c>
      <c r="O53" s="3268">
        <f t="shared" si="0"/>
        <v>5.0000000000000001E-4</v>
      </c>
    </row>
    <row r="54" spans="1:35" ht="12" hidden="1" customHeight="1">
      <c r="A54" s="514" t="s">
        <v>299</v>
      </c>
      <c r="B54" s="3506" t="s">
        <v>300</v>
      </c>
      <c r="C54" s="3507"/>
      <c r="D54" s="513">
        <f ca="1">C68</f>
        <v>2637</v>
      </c>
      <c r="E54" s="318" t="s">
        <v>301</v>
      </c>
      <c r="F54" s="515">
        <f>'数据-取费表'!B41</f>
        <v>5.5000000000000007E-2</v>
      </c>
      <c r="G54" s="465"/>
      <c r="H54" s="2279"/>
      <c r="I54" s="2278"/>
      <c r="J54" s="1498">
        <v>3</v>
      </c>
      <c r="K54" s="3551" t="s">
        <v>783</v>
      </c>
      <c r="L54" s="3551"/>
      <c r="M54" s="3267">
        <f t="shared" ca="1" si="0"/>
        <v>28543</v>
      </c>
      <c r="N54" s="1497" t="str">
        <f t="shared" si="0"/>
        <v>增值额×税（费）率</v>
      </c>
      <c r="O54" s="3269" t="str">
        <f t="shared" si="0"/>
        <v>——</v>
      </c>
    </row>
    <row r="55" spans="1:35" ht="24" hidden="1" customHeight="1">
      <c r="A55" s="3496" t="s">
        <v>302</v>
      </c>
      <c r="B55" s="3497"/>
      <c r="C55" s="3497"/>
      <c r="D55" s="516">
        <f ca="1">IF(H55="个人住宅",0,ROUND(D45*I55,0))</f>
        <v>25</v>
      </c>
      <c r="E55" s="298" t="s">
        <v>303</v>
      </c>
      <c r="F55" s="515">
        <f>IF(H55="正常",I55,"免征")</f>
        <v>5.0000000000000001E-4</v>
      </c>
      <c r="G55" s="465"/>
      <c r="H55" s="1429" t="s">
        <v>155</v>
      </c>
      <c r="I55" s="517">
        <f>'数据-取费表'!B49</f>
        <v>5.0000000000000001E-4</v>
      </c>
      <c r="J55" s="1498" t="str">
        <f>IF(H59="非个人房产","",4)</f>
        <v/>
      </c>
      <c r="K55" s="3551" t="str">
        <f>IF(H59="非个人房产","——","个人所得税")</f>
        <v>——</v>
      </c>
      <c r="L55" s="3551"/>
      <c r="M55" s="3270" t="str">
        <f>D59</f>
        <v>——</v>
      </c>
      <c r="N55" s="3271" t="str">
        <f>E59</f>
        <v>——</v>
      </c>
      <c r="O55" s="3272" t="str">
        <f>F59</f>
        <v>——</v>
      </c>
    </row>
    <row r="56" spans="1:35" ht="24.75" hidden="1">
      <c r="A56" s="3496" t="s">
        <v>304</v>
      </c>
      <c r="B56" s="3497"/>
      <c r="C56" s="3497"/>
      <c r="D56" s="516">
        <f ca="1">IF(H56="个人住宅",D57,D58)</f>
        <v>28543</v>
      </c>
      <c r="E56" s="298" t="s">
        <v>305</v>
      </c>
      <c r="F56" s="515" t="str">
        <f>IF(H56="正常",F58,"免征")</f>
        <v>——</v>
      </c>
      <c r="G56" s="1254" t="s">
        <v>784</v>
      </c>
      <c r="H56" s="1428" t="s">
        <v>155</v>
      </c>
      <c r="I56" s="2280"/>
      <c r="J56" s="1498" t="str">
        <f>IF(项目基本情况!K6="上海银行",IF(J55="",4,J55+1),"")</f>
        <v/>
      </c>
      <c r="K56" s="3578" t="str">
        <f>IF(项目基本情况!K6="上海银行","其他处置费用","")</f>
        <v/>
      </c>
      <c r="L56" s="3579"/>
      <c r="M56" s="3267" t="str">
        <f>IF(项目基本情况!K6="上海银行",M69,"")</f>
        <v/>
      </c>
      <c r="N56" s="3581" t="str">
        <f>IF(项目基本情况!K6="上海银行","包含处置中涉及的律师、诉讼、拍卖、评估等费用","")</f>
        <v/>
      </c>
      <c r="O56" s="3582"/>
    </row>
    <row r="57" spans="1:35" ht="12.75" hidden="1">
      <c r="A57" s="514" t="s">
        <v>290</v>
      </c>
      <c r="B57" s="3513" t="s">
        <v>306</v>
      </c>
      <c r="C57" s="3536"/>
      <c r="D57" s="518">
        <v>0</v>
      </c>
      <c r="E57" s="311" t="s">
        <v>291</v>
      </c>
      <c r="F57" s="486"/>
      <c r="G57" s="465"/>
      <c r="H57" s="2280"/>
      <c r="I57" s="2280"/>
      <c r="J57" s="3561">
        <f>IF(AND(J55="",J56=""),4,IF(项目基本情况!K6="上海银行",结果表!J56+1,结果表!J55+1))</f>
        <v>4</v>
      </c>
      <c r="K57" s="3551" t="s">
        <v>785</v>
      </c>
      <c r="L57" s="3273" t="s">
        <v>221</v>
      </c>
      <c r="M57" s="3274"/>
      <c r="N57" s="3275">
        <f ca="1">SUMIF(M52:M56,"&lt;9e307")</f>
        <v>28568</v>
      </c>
      <c r="O57" s="3276"/>
      <c r="P57" s="3263">
        <f ca="1">N57/M49</f>
        <v>0.56739955113309104</v>
      </c>
    </row>
    <row r="58" spans="1:35" ht="24.75" hidden="1">
      <c r="A58" s="514" t="s">
        <v>294</v>
      </c>
      <c r="B58" s="3513" t="s">
        <v>307</v>
      </c>
      <c r="C58" s="3514"/>
      <c r="D58" s="516">
        <f ca="1">IF(H58="转让取得",C81,C97)</f>
        <v>28543</v>
      </c>
      <c r="E58" s="298" t="s">
        <v>305</v>
      </c>
      <c r="F58" s="312" t="s">
        <v>171</v>
      </c>
      <c r="G58" s="465"/>
      <c r="H58" s="1428" t="s">
        <v>1132</v>
      </c>
      <c r="I58" s="2280"/>
      <c r="J58" s="3561"/>
      <c r="K58" s="3551"/>
      <c r="L58" s="3273" t="s">
        <v>222</v>
      </c>
      <c r="M58" s="3277"/>
      <c r="N58" s="3278" t="str">
        <f ca="1">NUMBERSTRING(INT(N57*10000),2)&amp;"元整"</f>
        <v>贰亿捌仟伍佰陆拾捌万元整</v>
      </c>
      <c r="O58" s="3279"/>
    </row>
    <row r="59" spans="1:35" ht="24.75" hidden="1" thickBot="1">
      <c r="A59" s="3554" t="s">
        <v>308</v>
      </c>
      <c r="B59" s="3555"/>
      <c r="C59" s="3555"/>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52">
        <f>J57+1</f>
        <v>5</v>
      </c>
      <c r="K59" s="3551" t="s">
        <v>172</v>
      </c>
      <c r="L59" s="1497" t="s">
        <v>221</v>
      </c>
      <c r="M59" s="3280"/>
      <c r="N59" s="3281">
        <f ca="1">M49-N57</f>
        <v>21781</v>
      </c>
      <c r="O59" s="3282"/>
    </row>
    <row r="60" spans="1:35" ht="12" hidden="1" customHeight="1">
      <c r="A60" s="1256"/>
      <c r="B60" s="1241"/>
      <c r="C60" s="1241"/>
      <c r="D60" s="1241"/>
      <c r="E60" s="228"/>
      <c r="F60" s="2280"/>
      <c r="G60" s="2280"/>
      <c r="H60" s="2281"/>
      <c r="I60" s="2275"/>
      <c r="J60" s="3553"/>
      <c r="K60" s="3551"/>
      <c r="L60" s="3273" t="s">
        <v>222</v>
      </c>
      <c r="M60" s="3277"/>
      <c r="N60" s="3278" t="str">
        <f ca="1">NUMBERSTRING(INT(N59*10000),2)&amp;"元整"</f>
        <v>贰亿壹仟柒佰捌拾壹万元整</v>
      </c>
      <c r="O60" s="3279"/>
    </row>
    <row r="61" spans="1:35" ht="13.5" hidden="1" thickBot="1">
      <c r="A61" s="3494" t="s">
        <v>309</v>
      </c>
      <c r="B61" s="3494"/>
      <c r="C61" s="3494"/>
      <c r="D61" s="3494"/>
      <c r="E61" s="3494"/>
      <c r="F61" s="2280"/>
      <c r="G61" s="2280"/>
      <c r="H61" s="2281"/>
      <c r="I61" s="2275"/>
      <c r="J61" s="1498">
        <f>J59+1</f>
        <v>6</v>
      </c>
      <c r="K61" s="3551" t="s">
        <v>223</v>
      </c>
      <c r="L61" s="3551"/>
      <c r="M61" s="3283"/>
      <c r="N61" s="3284">
        <f ca="1">ROUND(N59*10000/'数据-汇总表'!E3,0)</f>
        <v>1230</v>
      </c>
      <c r="O61" s="3285"/>
    </row>
    <row r="62" spans="1:35" ht="12.75" hidden="1">
      <c r="A62" s="3511" t="s">
        <v>310</v>
      </c>
      <c r="B62" s="3512"/>
      <c r="C62" s="1915"/>
      <c r="D62" s="1915" t="s">
        <v>318</v>
      </c>
      <c r="E62" s="523" t="s">
        <v>319</v>
      </c>
      <c r="F62" s="2280"/>
      <c r="G62" s="2280"/>
      <c r="H62" s="2281"/>
      <c r="I62" s="2275"/>
    </row>
    <row r="63" spans="1:35" ht="12.75" hidden="1">
      <c r="A63" s="534" t="s">
        <v>1894</v>
      </c>
      <c r="B63" s="524" t="s">
        <v>311</v>
      </c>
      <c r="C63" s="525">
        <f ca="1">ROUND((C64+C65)/(1+'数据-取费表'!C42),0)</f>
        <v>47951</v>
      </c>
      <c r="D63" s="526"/>
      <c r="E63" s="527"/>
      <c r="F63" s="2280"/>
      <c r="G63" s="2280"/>
      <c r="H63" s="2281"/>
      <c r="I63" s="2275"/>
      <c r="J63" s="3580" t="s">
        <v>2981</v>
      </c>
      <c r="K63" s="3262" t="s">
        <v>2982</v>
      </c>
      <c r="L63" s="3260">
        <f ca="1">IF(M49&gt;10000,M49*0.5%,IF(AND(M49&gt;1000,M49&lt;=10000),M49*1%,IF(AND(M49&gt;100,M49&lt;=1000),M49*3%,IF(AND(M49&gt;10,M49&lt;=100),M49*5%,M49*8%))))</f>
        <v>251.745</v>
      </c>
      <c r="M63" s="312">
        <f ca="1">ROUND(L63,1)</f>
        <v>251.7</v>
      </c>
      <c r="Z63" s="1431"/>
      <c r="AI63" s="1242"/>
    </row>
    <row r="64" spans="1:35" ht="14.25" hidden="1" customHeight="1">
      <c r="A64" s="528" t="s">
        <v>1889</v>
      </c>
      <c r="B64" s="529" t="s">
        <v>312</v>
      </c>
      <c r="C64" s="530">
        <f ca="1">D45</f>
        <v>50349</v>
      </c>
      <c r="D64" s="531" t="s">
        <v>167</v>
      </c>
      <c r="E64" s="532"/>
      <c r="F64" s="2280"/>
      <c r="G64" s="2280"/>
      <c r="H64" s="2281"/>
      <c r="I64" s="2275"/>
      <c r="J64" s="3580"/>
      <c r="K64" s="3262" t="s">
        <v>2983</v>
      </c>
      <c r="L64" s="3260">
        <f ca="1">IF(M49&gt;2000,M49*0.5%,IF(AND(M49&gt;1000,M49&lt;=2000),M49*0.6%,IF(AND(M49&gt;500,M49&lt;=1000),M49*0.7%,IF(AND(M49&gt;200,M49&lt;=500),M49*0.8%,IF(AND(M49&gt;100,M49&lt;=200),M49*0.9%,IF(AND(M49&gt;50,M49&lt;=100),M49*1%,IF(AND(M49&gt;20,M49&lt;=50),M49*1.5%,IF(AND(M49&gt;10,M49&lt;=20),M49*2%,IF(AND(M49&gt;1,M49&lt;=10),M49*2.5%)))))))))</f>
        <v>251.745</v>
      </c>
      <c r="M64" s="312">
        <f t="shared" ref="M64:M65" ca="1" si="1">ROUND(L64,1)</f>
        <v>251.7</v>
      </c>
      <c r="N64" s="468" t="s">
        <v>2989</v>
      </c>
      <c r="Z64" s="1431"/>
      <c r="AI64" s="1242"/>
    </row>
    <row r="65" spans="1:35" ht="14.25" hidden="1" customHeight="1">
      <c r="A65" s="528" t="s">
        <v>1890</v>
      </c>
      <c r="B65" s="529" t="s">
        <v>313</v>
      </c>
      <c r="C65" s="533"/>
      <c r="D65" s="531"/>
      <c r="E65" s="532"/>
      <c r="F65" s="2280"/>
      <c r="G65" s="2280"/>
      <c r="H65" s="2281"/>
      <c r="I65" s="2275"/>
      <c r="J65" s="3580"/>
      <c r="K65" s="3262" t="s">
        <v>2984</v>
      </c>
      <c r="L65" s="3260">
        <f ca="1">IF(M49&gt;1000,M49*0.1%,IF(AND(M49&gt;500,M49&lt;=1000),M49*0.5%,IF(AND(M49&gt;50,M49&lt;=500),M49*1%,IF(AND(M49&gt;1,M49&lt;=50),M49*1.5%))))</f>
        <v>50.349000000000004</v>
      </c>
      <c r="M65" s="312">
        <f t="shared" ca="1" si="1"/>
        <v>50.3</v>
      </c>
      <c r="N65" s="468" t="s">
        <v>2990</v>
      </c>
      <c r="Z65" s="1431"/>
      <c r="AI65" s="1242"/>
    </row>
    <row r="66" spans="1:35" ht="14.25" hidden="1" customHeight="1">
      <c r="A66" s="534" t="s">
        <v>1891</v>
      </c>
      <c r="B66" s="535" t="s">
        <v>314</v>
      </c>
      <c r="C66" s="536"/>
      <c r="D66" s="537" t="s">
        <v>167</v>
      </c>
      <c r="E66" s="3312" t="s">
        <v>3024</v>
      </c>
      <c r="F66" s="2280"/>
      <c r="G66" s="2280"/>
      <c r="H66" s="2281"/>
      <c r="I66" s="2275"/>
      <c r="J66" s="3580"/>
      <c r="K66" s="3262" t="s">
        <v>2985</v>
      </c>
      <c r="L66" s="3260">
        <f ca="1">M49*0.5%</f>
        <v>251.745</v>
      </c>
      <c r="M66" s="312">
        <f ca="1">IF(L66&gt;0.5,0.5,ROUND(L66,0))</f>
        <v>0.5</v>
      </c>
      <c r="N66" s="468" t="s">
        <v>2991</v>
      </c>
      <c r="Z66" s="1431"/>
      <c r="AI66" s="1242"/>
    </row>
    <row r="67" spans="1:35" ht="14.25" hidden="1" customHeight="1">
      <c r="A67" s="534" t="s">
        <v>1892</v>
      </c>
      <c r="B67" s="535" t="s">
        <v>315</v>
      </c>
      <c r="C67" s="538">
        <f ca="1">C63-C66</f>
        <v>47951</v>
      </c>
      <c r="D67" s="531" t="s">
        <v>167</v>
      </c>
      <c r="E67" s="532"/>
      <c r="F67" s="2280"/>
      <c r="G67" s="2280"/>
      <c r="H67" s="2281"/>
      <c r="I67" s="2275"/>
      <c r="J67" s="3580"/>
      <c r="K67" s="3262" t="s">
        <v>2986</v>
      </c>
      <c r="L67" s="3260">
        <f ca="1">IF(M49&gt;=10000,(8.25+(M49-10000)*0.01%),IF(AND(M49&gt;=8000,M49&lt;10000),(7.85+(M49-8000)*0.02%),IF(AND(M49&gt;=5000,M49&lt;8000),(6.65+(M49-5000)*0.04%),IF(AND(M49&gt;=2000,M49&lt;5000),(4.25+(PM49-2000)*0.08%),IF(AND(M49&gt;=1000,M49&lt;2000),(2.75+(M49-1000)*0.15%),IF(AND(M49&gt;=100,M49&lt;1000),(0.5+(M49-100)*0.25%),IF(AND(M49&gt;0,M49&lt;100),M49*0.5%)))))))</f>
        <v>12.2849</v>
      </c>
      <c r="M67" s="312">
        <f ca="1">ROUND(L67*0.9,1)</f>
        <v>11.1</v>
      </c>
      <c r="Z67" s="1431"/>
      <c r="AI67" s="1242"/>
    </row>
    <row r="68" spans="1:35" ht="14.25" hidden="1" customHeight="1" thickBot="1">
      <c r="A68" s="539" t="s">
        <v>1893</v>
      </c>
      <c r="B68" s="540" t="s">
        <v>316</v>
      </c>
      <c r="C68" s="541">
        <f ca="1">IF(C67&lt;=0,0,ROUND(C67*D68,0))</f>
        <v>2637</v>
      </c>
      <c r="D68" s="542">
        <f>'数据-取费表'!B41</f>
        <v>5.5000000000000007E-2</v>
      </c>
      <c r="E68" s="543"/>
      <c r="F68" s="2280"/>
      <c r="G68" s="2280"/>
      <c r="H68" s="2281"/>
      <c r="I68" s="2275"/>
      <c r="J68" s="3580"/>
      <c r="K68" s="3262" t="s">
        <v>2987</v>
      </c>
      <c r="L68" s="3260">
        <f ca="1">IF(M49&gt;10000,M49*0.5%,IF(AND(M49&gt;5000,M49&lt;=10000),M49*1%,IF(AND(M49&gt;1000,M49&lt;=5000),M49*2%,IF(AND(M49&gt;200,M49&lt;=1000),M49*3%,M49*5%))))</f>
        <v>251.745</v>
      </c>
      <c r="M68" s="312">
        <f ca="1">ROUND(L68,1)</f>
        <v>251.7</v>
      </c>
      <c r="Z68" s="1431"/>
      <c r="AI68" s="1242"/>
    </row>
    <row r="69" spans="1:35" s="1243" customFormat="1" ht="16.5" hidden="1" customHeight="1">
      <c r="A69" s="1257"/>
      <c r="B69" s="1258"/>
      <c r="C69" s="1259"/>
      <c r="D69" s="1260"/>
      <c r="E69" s="1261"/>
      <c r="F69" s="228"/>
      <c r="G69" s="228"/>
      <c r="H69" s="240"/>
      <c r="I69" s="1241"/>
      <c r="J69" s="3580"/>
      <c r="K69" s="3262" t="s">
        <v>187</v>
      </c>
      <c r="L69" s="3261"/>
      <c r="M69" s="312">
        <f ca="1">ROUND(SUM(M63:M68),0)</f>
        <v>817</v>
      </c>
      <c r="N69" s="3263">
        <f ca="1">M69/M49</f>
        <v>1.6226737373135514E-2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34" t="s">
        <v>317</v>
      </c>
      <c r="B70" s="3535"/>
      <c r="C70" s="3535"/>
      <c r="D70" s="3535"/>
      <c r="E70" s="3535"/>
      <c r="F70" s="3535"/>
      <c r="G70" s="3535"/>
      <c r="H70" s="3535"/>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11" t="s">
        <v>310</v>
      </c>
      <c r="B71" s="3512"/>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47951</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240</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06" t="s">
        <v>326</v>
      </c>
      <c r="F76" s="3481"/>
      <c r="G76" s="3481"/>
      <c r="H76" s="3533"/>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240</v>
      </c>
      <c r="D78" s="557">
        <f>'数据-取费表'!B43</f>
        <v>5.000000000000001E-3</v>
      </c>
      <c r="E78" s="3501" t="s">
        <v>2499</v>
      </c>
      <c r="F78" s="3492"/>
      <c r="G78" s="3492"/>
      <c r="H78" s="3502"/>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47711</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198.79583333333332</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28543</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34" t="s">
        <v>332</v>
      </c>
      <c r="B83" s="3535"/>
      <c r="C83" s="3535"/>
      <c r="D83" s="3535"/>
      <c r="E83" s="3535"/>
      <c r="F83" s="3535"/>
      <c r="G83" s="3535"/>
      <c r="H83" s="3535"/>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11" t="s">
        <v>310</v>
      </c>
      <c r="B84" s="3512"/>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47951</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240</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491" t="s">
        <v>793</v>
      </c>
      <c r="F91" s="3492"/>
      <c r="G91" s="3492"/>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491" t="s">
        <v>341</v>
      </c>
      <c r="F92" s="3492"/>
      <c r="G92" s="3492"/>
      <c r="H92" s="3502"/>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240</v>
      </c>
      <c r="D93" s="557">
        <f>'数据-取费表'!B43</f>
        <v>5.000000000000001E-3</v>
      </c>
      <c r="E93" s="3501" t="s">
        <v>2499</v>
      </c>
      <c r="F93" s="3492"/>
      <c r="G93" s="3492"/>
      <c r="H93" s="3502"/>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03" t="s">
        <v>3039</v>
      </c>
      <c r="F94" s="3504"/>
      <c r="G94" s="3504"/>
      <c r="H94" s="3505"/>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47711</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198.79583333333332</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28543</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5" t="s">
        <v>228</v>
      </c>
      <c r="B100" s="3476"/>
      <c r="C100" s="3476"/>
      <c r="D100" s="3493"/>
      <c r="E100" s="3476" t="s">
        <v>2895</v>
      </c>
      <c r="F100" s="3476"/>
      <c r="G100" s="3476"/>
      <c r="H100" s="3493"/>
      <c r="I100" s="2275"/>
    </row>
    <row r="101" spans="1:35" ht="18.75" customHeight="1">
      <c r="A101" s="3559" t="s">
        <v>206</v>
      </c>
      <c r="B101" s="3560"/>
      <c r="C101" s="1264" t="str">
        <f>C4</f>
        <v>成本法</v>
      </c>
      <c r="D101" s="1265" t="str">
        <f>D4</f>
        <v>假设开发法</v>
      </c>
      <c r="E101" s="3577" t="s">
        <v>1908</v>
      </c>
      <c r="F101" s="3526"/>
      <c r="G101" s="1266" t="s">
        <v>208</v>
      </c>
      <c r="H101" s="1983">
        <f ca="1">H118</f>
        <v>50349</v>
      </c>
      <c r="I101" s="2275"/>
    </row>
    <row r="102" spans="1:35" ht="18.75" customHeight="1">
      <c r="A102" s="3528" t="s">
        <v>207</v>
      </c>
      <c r="B102" s="1266" t="s">
        <v>208</v>
      </c>
      <c r="C102" s="1233">
        <f ca="1">C19</f>
        <v>47092</v>
      </c>
      <c r="D102" s="1234">
        <f ca="1">D19</f>
        <v>53606</v>
      </c>
      <c r="E102" s="3577"/>
      <c r="F102" s="3526"/>
      <c r="G102" s="1266" t="s">
        <v>209</v>
      </c>
      <c r="H102" s="709">
        <f ca="1">I118</f>
        <v>2843</v>
      </c>
      <c r="I102" s="2275"/>
    </row>
    <row r="103" spans="1:35" ht="42.75" customHeight="1">
      <c r="A103" s="3528"/>
      <c r="B103" s="1266" t="s">
        <v>209</v>
      </c>
      <c r="C103" s="1235">
        <f ca="1">C20</f>
        <v>2659</v>
      </c>
      <c r="D103" s="1236">
        <f ca="1">D20</f>
        <v>3027</v>
      </c>
      <c r="E103" s="3572" t="s">
        <v>3004</v>
      </c>
      <c r="F103" s="3573"/>
      <c r="G103" s="1267" t="s">
        <v>211</v>
      </c>
      <c r="H103" s="1983">
        <f>IF(D36="正常操作",H104+H105+H106,H105+H106)</f>
        <v>0</v>
      </c>
      <c r="I103" s="2275"/>
    </row>
    <row r="104" spans="1:35" ht="18.75" customHeight="1">
      <c r="A104" s="3528" t="s">
        <v>210</v>
      </c>
      <c r="B104" s="1268" t="s">
        <v>208</v>
      </c>
      <c r="C104" s="1237">
        <f ca="1">H118</f>
        <v>50349</v>
      </c>
      <c r="D104" s="1238"/>
      <c r="E104" s="13" t="s">
        <v>1907</v>
      </c>
      <c r="F104" s="6"/>
      <c r="G104" s="1267" t="s">
        <v>211</v>
      </c>
      <c r="H104" s="1984">
        <f>IF(D36="同一抵押权人同一抵押物续贷",C36&amp;"（未扣减，详见特别提示）",C36)</f>
        <v>0</v>
      </c>
      <c r="I104" s="2275"/>
    </row>
    <row r="105" spans="1:35" ht="18.75" customHeight="1" thickBot="1">
      <c r="A105" s="3529"/>
      <c r="B105" s="1269" t="s">
        <v>209</v>
      </c>
      <c r="C105" s="1239">
        <f ca="1">I118</f>
        <v>2843</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5" t="str">
        <f>IF(项目基本情况!E8="已注销","——","3.房地产抵押价值")</f>
        <v>3.房地产抵押价值</v>
      </c>
      <c r="F107" s="3526"/>
      <c r="G107" s="1266" t="s">
        <v>208</v>
      </c>
      <c r="H107" s="1983">
        <f ca="1">IF(E107="——","——",H101-H103)</f>
        <v>50349</v>
      </c>
      <c r="I107" s="2275"/>
    </row>
    <row r="108" spans="1:35" ht="18.75" customHeight="1">
      <c r="A108" s="2275"/>
      <c r="B108" s="2275"/>
      <c r="C108" s="2275"/>
      <c r="D108" s="2275"/>
      <c r="E108" s="3525"/>
      <c r="F108" s="3526"/>
      <c r="G108" s="1266" t="s">
        <v>209</v>
      </c>
      <c r="H108" s="709">
        <f ca="1">ROUND(H107*10000/'数据-汇总表'!E3,0)</f>
        <v>2843</v>
      </c>
      <c r="I108" s="2275"/>
    </row>
    <row r="109" spans="1:35" ht="18.75" customHeight="1">
      <c r="A109" s="2275"/>
      <c r="B109" s="2275"/>
      <c r="C109" s="2275"/>
      <c r="D109" s="2275"/>
      <c r="E109" s="3525" t="str">
        <f>IF(项目基本情况!E8="已注销及未注销","4.抵押担保权已注销时的房地产抵押价值",IF(项目基本情况!E8="已注销","3.抵押担保权已注销时的房地产抵押价值","——"))</f>
        <v>——</v>
      </c>
      <c r="F109" s="3526"/>
      <c r="G109" s="1266" t="s">
        <v>208</v>
      </c>
      <c r="H109" s="684" t="str">
        <f>IF(E109="——","——",H101-H105-H106)</f>
        <v>——</v>
      </c>
      <c r="I109" s="2275"/>
    </row>
    <row r="110" spans="1:35" ht="18.75" customHeight="1">
      <c r="A110" s="2275"/>
      <c r="B110" s="2275"/>
      <c r="C110" s="2275"/>
      <c r="D110" s="2275"/>
      <c r="E110" s="3525"/>
      <c r="F110" s="3526"/>
      <c r="G110" s="1266" t="s">
        <v>209</v>
      </c>
      <c r="H110" s="709" t="str">
        <f>IF(H109="——","——",ROUND(H109*10000/'数据-汇总表'!E3,0))</f>
        <v>——</v>
      </c>
      <c r="I110" s="2275"/>
    </row>
    <row r="111" spans="1:35" ht="18.75" customHeight="1">
      <c r="A111" s="2275"/>
      <c r="B111" s="2275"/>
      <c r="C111" s="2275"/>
      <c r="D111" s="2275"/>
      <c r="E111" s="3562" t="str">
        <f>IF(项目基本情况!E9="抵押净值",IF(OR(项目基本情况!E8="已注销",项目基本情况!E8="房地产抵押价值"),"4.抵押净值","5.抵押净值"),"——")</f>
        <v>——</v>
      </c>
      <c r="F111" s="3563"/>
      <c r="G111" s="1266" t="s">
        <v>208</v>
      </c>
      <c r="H111" s="1983" t="str">
        <f>IF(E111="——","——",N59)</f>
        <v>——</v>
      </c>
      <c r="I111" s="2275"/>
    </row>
    <row r="112" spans="1:35" ht="18.75" customHeight="1" thickBot="1">
      <c r="A112" s="2275"/>
      <c r="B112" s="2275"/>
      <c r="C112" s="2275"/>
      <c r="D112" s="2275"/>
      <c r="E112" s="3564"/>
      <c r="F112" s="3565"/>
      <c r="G112" s="1270" t="s">
        <v>209</v>
      </c>
      <c r="H112" s="1420" t="str">
        <f>IF(E111="——","——",N61)</f>
        <v>——</v>
      </c>
      <c r="I112" s="2275"/>
    </row>
    <row r="113" spans="1:11" ht="18.75" customHeight="1">
      <c r="A113" s="2275"/>
      <c r="B113" s="2275"/>
      <c r="C113" s="2275"/>
      <c r="D113" s="2275"/>
      <c r="E113" s="3530" t="s">
        <v>2001</v>
      </c>
      <c r="F113" s="3530"/>
      <c r="G113" s="3530"/>
      <c r="H113" s="3530"/>
      <c r="I113" s="2275"/>
    </row>
    <row r="114" spans="1:11" ht="3.75" customHeight="1">
      <c r="A114" s="1241"/>
      <c r="B114" s="1241"/>
      <c r="C114" s="1241"/>
      <c r="D114" s="1241"/>
      <c r="E114" s="1256"/>
      <c r="F114" s="1256"/>
      <c r="G114" s="1256"/>
      <c r="H114" s="1256"/>
      <c r="I114" s="1241"/>
    </row>
    <row r="115" spans="1:11" ht="18.75" customHeight="1">
      <c r="A115" s="3544" t="s">
        <v>224</v>
      </c>
      <c r="B115" s="3545"/>
      <c r="C115" s="3545"/>
      <c r="D115" s="3545"/>
      <c r="E115" s="3545"/>
      <c r="F115" s="3545"/>
      <c r="G115" s="3545"/>
      <c r="H115" s="3545"/>
      <c r="I115" s="3546"/>
    </row>
    <row r="116" spans="1:11" ht="27" customHeight="1">
      <c r="A116" s="3433" t="s">
        <v>5</v>
      </c>
      <c r="B116" s="3531" t="s">
        <v>3190</v>
      </c>
      <c r="C116" s="3531" t="s">
        <v>3191</v>
      </c>
      <c r="D116" s="3548" t="s">
        <v>204</v>
      </c>
      <c r="E116" s="3549"/>
      <c r="F116" s="3540" t="s">
        <v>2377</v>
      </c>
      <c r="G116" s="3540"/>
      <c r="H116" s="3433" t="s">
        <v>6</v>
      </c>
      <c r="I116" s="3433"/>
    </row>
    <row r="117" spans="1:11" ht="18.75" customHeight="1">
      <c r="A117" s="3433"/>
      <c r="B117" s="3532"/>
      <c r="C117" s="3532"/>
      <c r="D117" s="1912" t="s">
        <v>7</v>
      </c>
      <c r="E117" s="1912" t="s">
        <v>786</v>
      </c>
      <c r="F117" s="1912" t="s">
        <v>7</v>
      </c>
      <c r="G117" s="1912" t="s">
        <v>8</v>
      </c>
      <c r="H117" s="1912" t="s">
        <v>7</v>
      </c>
      <c r="I117" s="1912" t="s">
        <v>8</v>
      </c>
    </row>
    <row r="118" spans="1:11" ht="24.7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22556</v>
      </c>
      <c r="E118" s="1917">
        <f ca="1">ROUND(IF(C33="自定义",IF(D32="楼面单价",C34,D118*10000/B118),I118-G118),0)</f>
        <v>1274</v>
      </c>
      <c r="F118" s="1917">
        <f ca="1">ROUND(IF(D32="总价",C35,G118*B118/10000),0)</f>
        <v>27793</v>
      </c>
      <c r="G118" s="1917">
        <f ca="1">ROUND(IF(D32="楼面单价",C35,F118*10000/B118),0)</f>
        <v>1569</v>
      </c>
      <c r="H118" s="1917">
        <f ca="1">ROUND(IF(D32="总价",C32,I118*B118/10000),0)</f>
        <v>50349</v>
      </c>
      <c r="I118" s="1917">
        <f ca="1">ROUND(IF(D32="楼面单价",C32,H118*10000/B118),0)</f>
        <v>2843</v>
      </c>
    </row>
    <row r="119" spans="1:11" ht="18.75" customHeight="1">
      <c r="A119" s="3433" t="s">
        <v>9</v>
      </c>
      <c r="B119" s="3433"/>
      <c r="C119" s="3433"/>
      <c r="D119" s="3537" t="str">
        <f ca="1">NUMBERSTRING(INT(D118*10000),2)&amp;"元整"</f>
        <v>贰亿贰仟伍佰伍拾陆万元整</v>
      </c>
      <c r="E119" s="3539"/>
      <c r="F119" s="3537" t="str">
        <f ca="1">NUMBERSTRING(INT(F118*10000),2)&amp;"元整"</f>
        <v>贰亿柒仟柒佰玖拾叁万元整</v>
      </c>
      <c r="G119" s="3539"/>
      <c r="H119" s="3537" t="str">
        <f ca="1">NUMBERSTRING(INT(H118*10000),2)&amp;"元整"</f>
        <v>伍亿零叁佰肆拾玖万元整</v>
      </c>
      <c r="I119" s="3539"/>
    </row>
    <row r="120" spans="1:11" ht="18.75" customHeight="1">
      <c r="A120" s="3569" t="str">
        <f>IF(项目基本情况!B9="房地产市场价值","",MID(E103,3,LEN(E103)-2))</f>
        <v>估价师知悉的法定优先受偿款</v>
      </c>
      <c r="B120" s="3570"/>
      <c r="C120" s="3571"/>
      <c r="D120" s="3566">
        <f>H103</f>
        <v>0</v>
      </c>
      <c r="E120" s="3567"/>
      <c r="F120" s="3567"/>
      <c r="G120" s="3567"/>
      <c r="H120" s="3567"/>
      <c r="I120" s="3568"/>
      <c r="K120" s="1431" t="str">
        <f>IF(D120=0,"故，本次评估不存在"&amp;A120,"故，本次评估"&amp;A120&amp;"为人民币"&amp;D120&amp;"万元整。")</f>
        <v>故，本次评估不存在估价师知悉的法定优先受偿款</v>
      </c>
    </row>
    <row r="121" spans="1:11" ht="18.75" customHeight="1">
      <c r="A121" s="3541" t="s">
        <v>9</v>
      </c>
      <c r="B121" s="3542"/>
      <c r="C121" s="3543"/>
      <c r="D121" s="3537" t="str">
        <f>IF(D120=0,"零元整",NUMBERSTRING(INT(D120*10000),2)&amp;"元整")</f>
        <v>零元整</v>
      </c>
      <c r="E121" s="3538"/>
      <c r="F121" s="3538"/>
      <c r="G121" s="3538"/>
      <c r="H121" s="3538"/>
      <c r="I121" s="3539"/>
    </row>
    <row r="122" spans="1:11" ht="18.75" customHeight="1">
      <c r="A122" s="3527" t="str">
        <f>IF(项目基本情况!B9="房地产市场价值","",MID(E107,3,LEN(E107)-2))</f>
        <v>房地产抵押价值</v>
      </c>
      <c r="B122" s="3527"/>
      <c r="C122" s="3527"/>
      <c r="D122" s="3566">
        <f ca="1">H107</f>
        <v>50349</v>
      </c>
      <c r="E122" s="3567"/>
      <c r="F122" s="3567"/>
      <c r="G122" s="3567"/>
      <c r="H122" s="3567"/>
      <c r="I122" s="3568"/>
    </row>
    <row r="123" spans="1:11" ht="18.75" customHeight="1">
      <c r="A123" s="3433" t="s">
        <v>9</v>
      </c>
      <c r="B123" s="3433"/>
      <c r="C123" s="3433"/>
      <c r="D123" s="3537" t="str">
        <f ca="1">NUMBERSTRING(INT(D122*10000),2)&amp;"元整"</f>
        <v>伍亿零叁佰肆拾玖万元整</v>
      </c>
      <c r="E123" s="3538"/>
      <c r="F123" s="3538"/>
      <c r="G123" s="3538"/>
      <c r="H123" s="3538"/>
      <c r="I123" s="3539"/>
    </row>
    <row r="124" spans="1:11" ht="18.75" hidden="1" customHeight="1">
      <c r="A124" s="3527" t="str">
        <f>IF(项目基本情况!B9="房地产市场价值","",MID(E109,3,LEN(E109)-2))</f>
        <v/>
      </c>
      <c r="B124" s="3527"/>
      <c r="C124" s="3527"/>
      <c r="D124" s="3566" t="str">
        <f>H109</f>
        <v>——</v>
      </c>
      <c r="E124" s="3567"/>
      <c r="F124" s="3567"/>
      <c r="G124" s="3567"/>
      <c r="H124" s="3567"/>
      <c r="I124" s="3568"/>
    </row>
    <row r="125" spans="1:11" ht="18.75" hidden="1" customHeight="1">
      <c r="A125" s="3433" t="s">
        <v>9</v>
      </c>
      <c r="B125" s="3433"/>
      <c r="C125" s="3433"/>
      <c r="D125" s="3537" t="e">
        <f>NUMBERSTRING(INT(D124*10000),2)&amp;"元整"</f>
        <v>#VALUE!</v>
      </c>
      <c r="E125" s="3538"/>
      <c r="F125" s="3538"/>
      <c r="G125" s="3538"/>
      <c r="H125" s="3538"/>
      <c r="I125" s="3539"/>
    </row>
    <row r="126" spans="1:11" ht="18.75" hidden="1" customHeight="1">
      <c r="A126" s="3527" t="str">
        <f>IF(项目基本情况!B9="房地产市场价值","",MID(E111,3,LEN(E111)-2))</f>
        <v/>
      </c>
      <c r="B126" s="3527"/>
      <c r="C126" s="3527"/>
      <c r="D126" s="3566" t="str">
        <f>H111</f>
        <v>——</v>
      </c>
      <c r="E126" s="3567"/>
      <c r="F126" s="3567"/>
      <c r="G126" s="3567"/>
      <c r="H126" s="3567"/>
      <c r="I126" s="3568"/>
    </row>
    <row r="127" spans="1:11" ht="18.75" hidden="1" customHeight="1">
      <c r="A127" s="3433" t="s">
        <v>9</v>
      </c>
      <c r="B127" s="3433"/>
      <c r="C127" s="3433"/>
      <c r="D127" s="3537" t="e">
        <f>NUMBERSTRING(INT(D126*10000),2)&amp;"元整"</f>
        <v>#VALUE!</v>
      </c>
      <c r="E127" s="3538"/>
      <c r="F127" s="3538"/>
      <c r="G127" s="3538"/>
      <c r="H127" s="3538"/>
      <c r="I127" s="3539"/>
    </row>
    <row r="128" spans="1:11" ht="21.75" customHeight="1">
      <c r="A128" s="3547" t="s">
        <v>2000</v>
      </c>
      <c r="B128" s="3547"/>
      <c r="C128" s="3547"/>
      <c r="D128" s="3547"/>
      <c r="E128" s="3547"/>
      <c r="F128" s="3547"/>
      <c r="G128" s="3547"/>
      <c r="H128" s="3547"/>
      <c r="I128" s="3547"/>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3194</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3195</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3195</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C25" sqref="C25"/>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47092</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2659</v>
      </c>
      <c r="C3" s="85" t="s">
        <v>865</v>
      </c>
      <c r="D3" s="574"/>
      <c r="E3" s="574"/>
      <c r="F3" s="574"/>
      <c r="G3" s="574"/>
    </row>
    <row r="4" spans="1:9" s="583" customFormat="1" ht="15.75">
      <c r="A4" s="580" t="s">
        <v>817</v>
      </c>
      <c r="B4" s="581"/>
      <c r="C4" s="581"/>
      <c r="D4" s="581"/>
      <c r="E4" s="581"/>
      <c r="F4" s="581"/>
      <c r="G4" s="582"/>
    </row>
    <row r="5" spans="1:9" s="589" customFormat="1" ht="13.5" customHeight="1">
      <c r="A5" s="630" t="s">
        <v>2500</v>
      </c>
      <c r="B5" s="585" t="s">
        <v>818</v>
      </c>
      <c r="C5" s="586">
        <f>C6+C7+C8</f>
        <v>18001</v>
      </c>
      <c r="D5" s="586" t="s">
        <v>819</v>
      </c>
      <c r="E5" s="587" t="s">
        <v>820</v>
      </c>
      <c r="F5" s="587" t="s">
        <v>821</v>
      </c>
      <c r="G5" s="588"/>
    </row>
    <row r="6" spans="1:9" s="589" customFormat="1" ht="13.5" customHeight="1">
      <c r="A6" s="1801" t="s">
        <v>1920</v>
      </c>
      <c r="B6" s="590" t="s">
        <v>822</v>
      </c>
      <c r="C6" s="591">
        <f>'土地比较法-工业'!B2</f>
        <v>17468</v>
      </c>
      <c r="D6" s="592"/>
      <c r="E6" s="593"/>
      <c r="F6" s="593"/>
      <c r="G6" s="594"/>
    </row>
    <row r="7" spans="1:9" s="589" customFormat="1" ht="13.5" customHeight="1">
      <c r="A7" s="1801" t="s">
        <v>1921</v>
      </c>
      <c r="B7" s="590" t="s">
        <v>345</v>
      </c>
      <c r="C7" s="595">
        <f>ROUND(C6*F7,0)</f>
        <v>533</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3189</v>
      </c>
      <c r="H9" s="2799"/>
      <c r="I9" s="2800" t="s">
        <v>2681</v>
      </c>
    </row>
    <row r="10" spans="1:9" s="589" customFormat="1" ht="13.5" customHeight="1">
      <c r="A10" s="1802" t="s">
        <v>1930</v>
      </c>
      <c r="B10" s="599" t="s">
        <v>825</v>
      </c>
      <c r="C10" s="600">
        <f ca="1">ROUND(D10*E10/10000,0)</f>
        <v>3365</v>
      </c>
      <c r="D10" s="1906">
        <f ca="1">IF(B1="",'数据-汇总表'!E6,IF(INDIRECT("'数据-取费表'!c"&amp;$G$1)="住宅",INDIRECT("'数据-取费表'!s"&amp;$G$1),INDIRECT("'数据-取费表'!k"&amp;$G$1)+INDIRECT("'数据-取费表'!s"&amp;$G$1)))</f>
        <v>177117.85000000003</v>
      </c>
      <c r="E10" s="600">
        <f>'数据-取费表'!B28</f>
        <v>190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3181</v>
      </c>
    </row>
    <row r="20" spans="1:7" s="589" customFormat="1" ht="13.5" customHeight="1">
      <c r="A20" s="1800" t="s">
        <v>2503</v>
      </c>
      <c r="B20" s="585" t="s">
        <v>835</v>
      </c>
      <c r="C20" s="607">
        <f>ROUND((C5+C19)*F20,0)</f>
        <v>360</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688</v>
      </c>
      <c r="D22" s="610">
        <f ca="1">C26</f>
        <v>2.0000000000000001E-4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681</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7</v>
      </c>
      <c r="D25" s="613"/>
      <c r="E25" s="616"/>
      <c r="F25" s="614"/>
      <c r="G25" s="617" t="s">
        <v>841</v>
      </c>
    </row>
    <row r="26" spans="1:7" s="589" customFormat="1">
      <c r="A26" s="1803" t="s">
        <v>1924</v>
      </c>
      <c r="B26" s="590" t="s">
        <v>2506</v>
      </c>
      <c r="C26" s="613">
        <f ca="1">ROUND(IF('数据-取费表'!B22&lt;=1,F21*F22*'数据-取费表'!B23/2,F21*(POWER((1+F22),'数据-取费表'!B23/2)-1)),4)</f>
        <v>2.0000000000000001E-4</v>
      </c>
      <c r="D26" s="613"/>
      <c r="E26" s="616"/>
      <c r="F26" s="614"/>
      <c r="G26" s="618"/>
    </row>
    <row r="27" spans="1:7" s="589" customFormat="1" ht="24.75">
      <c r="A27" s="1800" t="s">
        <v>1916</v>
      </c>
      <c r="B27" s="619" t="s">
        <v>843</v>
      </c>
      <c r="C27" s="620">
        <f ca="1">C28</f>
        <v>734</v>
      </c>
      <c r="D27" s="610">
        <f ca="1">C29</f>
        <v>4.0000000000000002E-4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734</v>
      </c>
      <c r="D28" s="610"/>
      <c r="E28" s="611"/>
      <c r="F28" s="621"/>
      <c r="G28" s="622"/>
    </row>
    <row r="29" spans="1:7" s="589" customFormat="1" ht="13.5" customHeight="1">
      <c r="A29" s="1803" t="s">
        <v>1921</v>
      </c>
      <c r="B29" s="623" t="s">
        <v>2509</v>
      </c>
      <c r="C29" s="613">
        <f ca="1">ROUND(C21*F27*'数据-取费表'!B21/'数据-取费表'!B20,4)</f>
        <v>4.0000000000000002E-4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21113</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21319</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19051</v>
      </c>
      <c r="D34" s="592"/>
      <c r="E34" s="595"/>
      <c r="F34" s="632">
        <f ca="1">IF('数据-取费表'!B24=0,1,IF(B1="",'数据-取费表'!N16,INDIRECT("'数据-取费表'!n"&amp;$G$1)))</f>
        <v>0.39800000000000002</v>
      </c>
      <c r="G34" s="594" t="s">
        <v>847</v>
      </c>
    </row>
    <row r="35" spans="1:7" ht="13.5" customHeight="1">
      <c r="A35" s="1803" t="s">
        <v>1925</v>
      </c>
      <c r="B35" s="590" t="s">
        <v>348</v>
      </c>
      <c r="C35" s="595">
        <f ca="1">ROUND(C34*F35,0)</f>
        <v>572</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1410</v>
      </c>
      <c r="D37" s="592">
        <f ca="1">D19</f>
        <v>177117.85000000003</v>
      </c>
      <c r="E37" s="624">
        <f>'数据-取费表'!B35</f>
        <v>200</v>
      </c>
      <c r="F37" s="634"/>
      <c r="G37" s="636" t="s">
        <v>850</v>
      </c>
    </row>
    <row r="38" spans="1:7" ht="13.5" customHeight="1">
      <c r="A38" s="1803" t="s">
        <v>1928</v>
      </c>
      <c r="B38" s="590" t="s">
        <v>351</v>
      </c>
      <c r="C38" s="595">
        <f ca="1">ROUND(C34*F38,0)</f>
        <v>286</v>
      </c>
      <c r="D38" s="595"/>
      <c r="E38" s="595"/>
      <c r="F38" s="634">
        <f>'数据-取费表'!B36</f>
        <v>1.4999999999999999E-2</v>
      </c>
      <c r="G38" s="594" t="s">
        <v>848</v>
      </c>
    </row>
    <row r="39" spans="1:7" s="589" customFormat="1" ht="13.5" customHeight="1">
      <c r="A39" s="1800" t="s">
        <v>1912</v>
      </c>
      <c r="B39" s="585" t="s">
        <v>835</v>
      </c>
      <c r="C39" s="607">
        <f ca="1">ROUND(C33*F20,0)</f>
        <v>426</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407</v>
      </c>
      <c r="D41" s="610">
        <f ca="1">C44</f>
        <v>2.0000000000000001E-4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399</v>
      </c>
      <c r="D42" s="613"/>
      <c r="E42" s="613"/>
      <c r="F42" s="614"/>
      <c r="G42" s="3583" t="s">
        <v>852</v>
      </c>
    </row>
    <row r="43" spans="1:7" ht="13.5" customHeight="1">
      <c r="A43" s="1803" t="s">
        <v>1921</v>
      </c>
      <c r="B43" s="590" t="s">
        <v>2510</v>
      </c>
      <c r="C43" s="613">
        <f ca="1">ROUND(IF('数据-取费表'!B22&lt;=1,C39*F22*'数据-取费表'!B21/2,C39*(POWER((1+F22),'数据-取费表'!B21/2)-1)),0)</f>
        <v>8</v>
      </c>
      <c r="D43" s="613"/>
      <c r="E43" s="613"/>
      <c r="F43" s="614"/>
      <c r="G43" s="3584"/>
    </row>
    <row r="44" spans="1:7" ht="13.5" customHeight="1">
      <c r="A44" s="1803" t="s">
        <v>1922</v>
      </c>
      <c r="B44" s="590" t="s">
        <v>2512</v>
      </c>
      <c r="C44" s="613">
        <f ca="1">ROUND(IF('数据-取费表'!B22&lt;=1,C40*F22*'数据-取费表'!B21/2,C40*(POWER((1+F22),'数据-取费表'!B21/2)-1)),4)</f>
        <v>2.0000000000000001E-4</v>
      </c>
      <c r="D44" s="613"/>
      <c r="E44" s="613"/>
      <c r="F44" s="614"/>
      <c r="G44" s="3585"/>
    </row>
    <row r="45" spans="1:7" s="589" customFormat="1" ht="13.5" customHeight="1">
      <c r="A45" s="1800" t="s">
        <v>1915</v>
      </c>
      <c r="B45" s="619" t="s">
        <v>843</v>
      </c>
      <c r="C45" s="620">
        <f ca="1">C46</f>
        <v>2175</v>
      </c>
      <c r="D45" s="610">
        <f ca="1">C47</f>
        <v>1E-3</v>
      </c>
      <c r="E45" s="611" t="s">
        <v>860</v>
      </c>
      <c r="F45" s="621"/>
      <c r="G45" s="622" t="s">
        <v>2518</v>
      </c>
    </row>
    <row r="46" spans="1:7" s="589" customFormat="1" ht="13.5" customHeight="1">
      <c r="A46" s="1803" t="s">
        <v>1920</v>
      </c>
      <c r="B46" s="623" t="s">
        <v>2511</v>
      </c>
      <c r="C46" s="624">
        <f ca="1">ROUND((C33+C39)*F27,0)</f>
        <v>2175</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25979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25979</v>
      </c>
      <c r="D51" s="607"/>
      <c r="E51" s="607"/>
      <c r="F51" s="639"/>
      <c r="G51" s="609" t="s">
        <v>352</v>
      </c>
    </row>
    <row r="52" spans="1:7" s="583" customFormat="1" ht="16.5" thickBot="1">
      <c r="A52" s="640" t="s">
        <v>353</v>
      </c>
      <c r="B52" s="641"/>
      <c r="C52" s="642">
        <f ca="1">C31+C51</f>
        <v>47092</v>
      </c>
      <c r="D52" s="641"/>
      <c r="E52" s="641"/>
      <c r="F52" s="641"/>
      <c r="G52" s="643"/>
    </row>
    <row r="54" spans="1:7">
      <c r="E54" s="647">
        <f ca="1">1-C40-C44-C47-C48</f>
        <v>0.93640000000000001</v>
      </c>
    </row>
    <row r="55" spans="1:7" ht="15">
      <c r="B55" s="645" t="s">
        <v>354</v>
      </c>
      <c r="C55" s="646"/>
      <c r="E55" s="3386">
        <f ca="1">C33+C39+C41+C45</f>
        <v>24327</v>
      </c>
    </row>
    <row r="56" spans="1:7">
      <c r="B56" s="2870" t="s">
        <v>2693</v>
      </c>
      <c r="C56" s="650">
        <f ca="1">1-C57</f>
        <v>0.44799999999999995</v>
      </c>
      <c r="E56" s="647">
        <f ca="1">E55/E54</f>
        <v>25979.28235796668</v>
      </c>
    </row>
    <row r="57" spans="1:7">
      <c r="B57" s="2870" t="s">
        <v>2692</v>
      </c>
      <c r="C57" s="649">
        <f ca="1">ROUND(C51/C52,3)</f>
        <v>0.55200000000000005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90" t="str">
        <f>项目基本情况!B1</f>
        <v>北京市北京市经济开发区路东区E6街区EM6-1地块出让国有建设用地使用权及在建建筑物房地产抵押价值预评估</v>
      </c>
      <c r="C37" s="3390"/>
      <c r="D37" s="3390"/>
      <c r="E37" s="3390"/>
      <c r="F37" s="3390"/>
      <c r="G37" s="3390"/>
      <c r="H37" s="3390"/>
      <c r="I37" s="3390"/>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76049</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4294</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33652392</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33652392</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33652392</v>
      </c>
      <c r="D10" s="1906">
        <f ca="1">IF(B1="",'数据-汇总表'!E6,IF(INDIRECT("'数据-取费表'!c"&amp;$G$1)="住宅",INDIRECT("'数据-取费表'!s"&amp;$G$1),INDIRECT("'数据-取费表'!k"&amp;$G$1)+INDIRECT("'数据-取费表'!s"&amp;$G$1)))</f>
        <v>177117.85000000003</v>
      </c>
      <c r="E10" s="600">
        <f>'数据-取费表'!B28</f>
        <v>190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1381519</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6783691</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3272905</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65622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7045748</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7045748</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90040508</v>
      </c>
      <c r="D31" s="605"/>
      <c r="E31" s="586"/>
      <c r="F31" s="625"/>
      <c r="G31" s="609" t="s">
        <v>2516</v>
      </c>
    </row>
    <row r="32" spans="1:7" s="583" customFormat="1" ht="15.75">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6" t="s">
        <v>2622</v>
      </c>
    </row>
    <row r="43" spans="1:7" ht="13.5" customHeight="1">
      <c r="A43" s="1803" t="s">
        <v>1921</v>
      </c>
      <c r="B43" s="590" t="s">
        <v>2502</v>
      </c>
      <c r="C43" s="613">
        <f ca="1">ROUND(IF('数据-取费表'!B22&lt;=1,C39*F22*'数据-取费表'!B20/2,C39*(POWER((1+F22),'数据-取费表'!B20/2)-1)),0)</f>
        <v>509404</v>
      </c>
      <c r="D43" s="613"/>
      <c r="E43" s="613"/>
      <c r="F43" s="614"/>
      <c r="G43" s="3584"/>
    </row>
    <row r="44" spans="1:7" ht="13.5" customHeight="1">
      <c r="A44" s="1803" t="s">
        <v>1922</v>
      </c>
      <c r="B44" s="590" t="s">
        <v>2504</v>
      </c>
      <c r="C44" s="613">
        <f ca="1">ROUND(IF('数据-取费表'!B22&lt;=1,C40*F22*'数据-取费表'!B20/2,C40*(POWER((1+F22),'数据-取费表'!B20/2)-1)),4)</f>
        <v>5.0000000000000001E-4</v>
      </c>
      <c r="D44" s="613"/>
      <c r="E44" s="613"/>
      <c r="F44" s="614"/>
      <c r="G44" s="3585"/>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5" thickBot="1">
      <c r="A52" s="640" t="s">
        <v>353</v>
      </c>
      <c r="B52" s="641"/>
      <c r="C52" s="642">
        <f ca="1">C31+C51</f>
        <v>760494987</v>
      </c>
      <c r="D52" s="641"/>
      <c r="E52" s="641"/>
      <c r="F52" s="641"/>
      <c r="G52" s="643"/>
    </row>
    <row r="55" spans="1:7" ht="15">
      <c r="B55" s="645" t="s">
        <v>354</v>
      </c>
      <c r="C55" s="646"/>
    </row>
    <row r="56" spans="1:7">
      <c r="B56" s="2870" t="s">
        <v>2693</v>
      </c>
      <c r="C56" s="650">
        <f ca="1">1-C57</f>
        <v>0.11799999999999999</v>
      </c>
    </row>
    <row r="57" spans="1:7">
      <c r="B57" s="2870" t="s">
        <v>2692</v>
      </c>
      <c r="C57" s="649">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topLeftCell="A16" workbookViewId="0">
      <selection activeCell="C19" sqref="C19"/>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53606</v>
      </c>
      <c r="C2" s="88" t="s">
        <v>1098</v>
      </c>
      <c r="D2" s="651"/>
      <c r="E2" s="651"/>
      <c r="F2" s="651"/>
      <c r="G2" s="651"/>
      <c r="H2" s="651"/>
      <c r="I2" s="651"/>
      <c r="J2" s="651"/>
      <c r="K2" s="651"/>
    </row>
    <row r="3" spans="1:33" ht="18" customHeight="1" thickBot="1">
      <c r="A3" s="578" t="s">
        <v>816</v>
      </c>
      <c r="B3" s="579">
        <f ca="1">ROUND(B2*10000/IF(C1="",'数据-汇总表'!E3,INDIRECT("'数据-取费表'!K"&amp;$K$1)),0)</f>
        <v>3027</v>
      </c>
      <c r="C3" s="88" t="s">
        <v>865</v>
      </c>
      <c r="D3" s="651"/>
      <c r="E3" s="651"/>
      <c r="F3" s="651"/>
      <c r="G3" s="651"/>
      <c r="H3" s="651"/>
      <c r="I3" s="651"/>
      <c r="J3" s="651"/>
      <c r="K3" s="651"/>
    </row>
    <row r="4" spans="1:33" s="1808" customFormat="1" ht="16.5" customHeight="1">
      <c r="A4" s="1805" t="s">
        <v>867</v>
      </c>
      <c r="B4" s="1806"/>
      <c r="C4" s="1849">
        <f ca="1">SUM(C8:K8)</f>
        <v>109129</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7223</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109129</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28872</v>
      </c>
      <c r="D11" s="1826"/>
      <c r="E11" s="713"/>
      <c r="F11" s="1827">
        <f ca="1">1-IF('数据-取费表'!B24=0,1,IF(C1="",'数据-取费表'!N16,INDIRECT("'数据-取费表'!n"&amp;$K$1)))</f>
        <v>0.60199999999999998</v>
      </c>
      <c r="G11" s="294"/>
      <c r="H11" s="1821"/>
      <c r="I11" s="1821"/>
      <c r="J11" s="1821"/>
      <c r="K11" s="1822"/>
    </row>
    <row r="12" spans="1:33" s="1828" customFormat="1" ht="13.5" customHeight="1">
      <c r="A12" s="1824" t="s">
        <v>2941</v>
      </c>
      <c r="B12" s="1825" t="s">
        <v>879</v>
      </c>
      <c r="C12" s="312">
        <f ca="1">ROUND(C11*F12,0)</f>
        <v>866</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2132</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433</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32303</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3365</v>
      </c>
      <c r="D18" s="1907"/>
      <c r="E18" s="312"/>
      <c r="F18" s="1829"/>
      <c r="G18" s="3044" t="s">
        <v>3133</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3365</v>
      </c>
      <c r="D20" s="1907">
        <f ca="1">IF(C1="",'数据-汇总表'!E6,IF(INDIRECT("'数据-取费表'!c"&amp;$K$1)="住宅",INDIRECT("'数据-取费表'!s"&amp;$K$1),INDIRECT("'数据-取费表'!k"&amp;$K$1)+INDIRECT("'数据-取费表'!s"&amp;$K$1)))</f>
        <v>177117.85000000003</v>
      </c>
      <c r="E20" s="312">
        <f>'数据-取费表'!B28</f>
        <v>190</v>
      </c>
      <c r="F20" s="1829"/>
      <c r="G20" s="302"/>
      <c r="H20" s="1834"/>
      <c r="I20" s="1834"/>
      <c r="J20" s="1834"/>
      <c r="K20" s="1835"/>
    </row>
    <row r="21" spans="1:33" s="1828" customFormat="1" ht="13.5" customHeight="1">
      <c r="A21" s="1813" t="s">
        <v>1931</v>
      </c>
      <c r="B21" s="1838" t="s">
        <v>892</v>
      </c>
      <c r="C21" s="1839">
        <f ca="1">C16+C17+C18</f>
        <v>35668</v>
      </c>
      <c r="D21" s="1840"/>
      <c r="E21" s="656"/>
      <c r="F21" s="656"/>
      <c r="G21" s="470" t="s">
        <v>2520</v>
      </c>
      <c r="H21" s="1832"/>
      <c r="I21" s="1832"/>
      <c r="J21" s="1832"/>
      <c r="K21" s="1833"/>
    </row>
    <row r="22" spans="1:33" s="1828" customFormat="1" ht="13.5" customHeight="1">
      <c r="A22" s="1818" t="s">
        <v>1912</v>
      </c>
      <c r="B22" s="1838" t="s">
        <v>893</v>
      </c>
      <c r="C22" s="1839">
        <f ca="1">ROUND(C21*F22,0)</f>
        <v>713</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657</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1046</v>
      </c>
      <c r="D25" s="655">
        <f ca="1">C26</f>
        <v>5.8900000000000001E-2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5.8900000000000001E-2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1046</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3704</v>
      </c>
      <c r="D28" s="655">
        <f ca="1">C29</f>
        <v>6.1699999999999998E-2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6.1699999999999998E-2</v>
      </c>
      <c r="D29" s="659"/>
      <c r="E29" s="660"/>
      <c r="F29" s="665"/>
      <c r="G29" s="470" t="s">
        <v>901</v>
      </c>
      <c r="H29" s="1832"/>
      <c r="I29" s="1832"/>
      <c r="J29" s="1832"/>
      <c r="K29" s="1833"/>
    </row>
    <row r="30" spans="1:33" s="666" customFormat="1" ht="13.5" customHeight="1">
      <c r="A30" s="1824" t="s">
        <v>1933</v>
      </c>
      <c r="B30" s="2707" t="s">
        <v>2611</v>
      </c>
      <c r="C30" s="667">
        <f ca="1">ROUND((C21+C22+C23)*F28,0)</f>
        <v>3704</v>
      </c>
      <c r="D30" s="659"/>
      <c r="E30" s="660"/>
      <c r="F30" s="665"/>
      <c r="G30" s="470"/>
      <c r="H30" s="1832"/>
      <c r="I30" s="1832"/>
      <c r="J30" s="1832"/>
      <c r="K30" s="1833"/>
    </row>
    <row r="31" spans="1:33" s="1828" customFormat="1" ht="13.5" customHeight="1" thickBot="1">
      <c r="A31" s="1859" t="s">
        <v>1917</v>
      </c>
      <c r="B31" s="1860" t="s">
        <v>902</v>
      </c>
      <c r="C31" s="1861">
        <f ca="1">ROUND(C4*F31/(1+'数据-取费表'!C42),0)</f>
        <v>5716</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53606</v>
      </c>
      <c r="D32" s="1855"/>
      <c r="E32" s="1855"/>
      <c r="F32" s="1855"/>
      <c r="G32" s="1857" t="s">
        <v>904</v>
      </c>
      <c r="H32" s="1855"/>
      <c r="I32" s="1855"/>
      <c r="J32" s="1855"/>
      <c r="K32" s="1858"/>
    </row>
    <row r="34" spans="5:5" ht="12.75" customHeight="1">
      <c r="E34" s="3387">
        <f ca="1">C8-C21-C22-C23-C25-C28-C31</f>
        <v>61625</v>
      </c>
    </row>
    <row r="35" spans="5:5">
      <c r="E35" s="3388">
        <f ca="1">1+C24+C26+C29</f>
        <v>1.1496</v>
      </c>
    </row>
    <row r="36" spans="5:5">
      <c r="E36" s="1463">
        <f ca="1">E34/E35</f>
        <v>53605.601948503827</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C40" sqref="C40"/>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48.16</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109129</v>
      </c>
      <c r="C2" s="1298" t="s">
        <v>1099</v>
      </c>
      <c r="D2" s="1274"/>
      <c r="E2" s="2573"/>
      <c r="F2" s="1275"/>
      <c r="G2" s="2285"/>
      <c r="H2" s="1273"/>
      <c r="I2" s="1273"/>
      <c r="J2" s="1273"/>
      <c r="K2" s="1297"/>
      <c r="L2" s="1273"/>
      <c r="M2" s="1273"/>
    </row>
    <row r="3" spans="1:37" ht="18" customHeight="1" thickBot="1">
      <c r="A3" s="674" t="s">
        <v>816</v>
      </c>
      <c r="B3" s="1406">
        <f ca="1">IF(ISERROR(B2*10000/F43),0,ROUND(B2*10000/F43,0))</f>
        <v>7223</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89" t="s">
        <v>2529</v>
      </c>
      <c r="C6" s="2629">
        <f ca="1">ROUND(F6*F8*F7*(1-F9)/10000,0)</f>
        <v>6949</v>
      </c>
      <c r="D6" s="2623" t="s">
        <v>2531</v>
      </c>
      <c r="E6" s="683" t="s">
        <v>912</v>
      </c>
      <c r="F6" s="684">
        <f ca="1">INDIRECT("'数据-取费表'!u"&amp;$G$1)</f>
        <v>1.4</v>
      </c>
      <c r="G6" s="2286"/>
      <c r="H6" s="2620" t="s">
        <v>2538</v>
      </c>
      <c r="I6" s="3589" t="s">
        <v>2529</v>
      </c>
      <c r="J6" s="682">
        <f ca="1">ROUND(M6*M8*M7*(1-M9)/10000,0)</f>
        <v>0</v>
      </c>
      <c r="K6" s="2623" t="s">
        <v>2531</v>
      </c>
      <c r="L6" s="683" t="s">
        <v>912</v>
      </c>
      <c r="M6" s="684">
        <f ca="1">INDIRECT("'数据-取费表'!z"&amp;$G$1)</f>
        <v>0</v>
      </c>
    </row>
    <row r="7" spans="1:37" ht="18" customHeight="1">
      <c r="A7" s="2628"/>
      <c r="B7" s="3590"/>
      <c r="C7" s="2630"/>
      <c r="D7" s="2059"/>
      <c r="E7" s="2631" t="s">
        <v>913</v>
      </c>
      <c r="F7" s="684">
        <f ca="1">IF(INDIRECT("'数据-取费表'!ah"&amp;$G$1)="",INDIRECT("'数据-取费表'!k"&amp;$G$1),INDIRECT("'数据-取费表'!ah"&amp;$G$1))</f>
        <v>151095.50000000003</v>
      </c>
      <c r="G7" s="2286"/>
      <c r="H7" s="685"/>
      <c r="I7" s="3590"/>
      <c r="J7" s="687"/>
      <c r="K7" s="688"/>
      <c r="L7" s="683" t="s">
        <v>913</v>
      </c>
      <c r="M7" s="684">
        <f ca="1">F7</f>
        <v>151095.50000000003</v>
      </c>
    </row>
    <row r="8" spans="1:37" ht="18" customHeight="1">
      <c r="A8" s="685"/>
      <c r="B8" s="3590"/>
      <c r="C8" s="687"/>
      <c r="D8" s="688"/>
      <c r="E8" s="683" t="s">
        <v>914</v>
      </c>
      <c r="F8" s="684">
        <f ca="1">INDIRECT("'数据-取费表'!ai"&amp;$G$1)</f>
        <v>365</v>
      </c>
      <c r="G8" s="2286"/>
      <c r="H8" s="685"/>
      <c r="I8" s="3590"/>
      <c r="J8" s="687"/>
      <c r="K8" s="688"/>
      <c r="L8" s="683" t="s">
        <v>914</v>
      </c>
      <c r="M8" s="684">
        <f ca="1">INDIRECT("'数据-取费表'!ai"&amp;$G$1)</f>
        <v>365</v>
      </c>
    </row>
    <row r="9" spans="1:37" ht="18" customHeight="1">
      <c r="A9" s="685"/>
      <c r="B9" s="3591"/>
      <c r="C9" s="687"/>
      <c r="D9" s="688"/>
      <c r="E9" s="683" t="s">
        <v>915</v>
      </c>
      <c r="F9" s="693">
        <f ca="1">INDIRECT("'数据-取费表'!w"&amp;$G$1)</f>
        <v>0.1</v>
      </c>
      <c r="G9" s="2286"/>
      <c r="H9" s="685"/>
      <c r="I9" s="3591"/>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3130</v>
      </c>
      <c r="G10" s="2286"/>
      <c r="H10" s="2620" t="s">
        <v>2539</v>
      </c>
      <c r="I10" s="2621" t="s">
        <v>2524</v>
      </c>
      <c r="J10" s="682">
        <f ca="1">ROUND(IF(M10="押一",M6*M8*M7/12*M11,IF(M10="押二",M6*M8*M7/12*2*M11,IF(M10="押三",M6*M8*M7/12*3*M11,J11*M11)))/10000,0)</f>
        <v>0</v>
      </c>
      <c r="K10" s="2632" t="s">
        <v>2532</v>
      </c>
      <c r="L10" s="2095" t="s">
        <v>2526</v>
      </c>
      <c r="M10" s="2727" t="s">
        <v>3130</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1264</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670.5</v>
      </c>
      <c r="K22" s="2211" t="s">
        <v>943</v>
      </c>
      <c r="L22" s="683" t="s">
        <v>922</v>
      </c>
      <c r="M22" s="712">
        <f ca="1">INDIRECT("'数据-取费表'!Ak"&amp;$G$1)</f>
        <v>0.01</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-1264</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1799</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ROUND(IF(项目基本情况!B11="自然人",C5*F31,C32+C33+C34),1)</f>
        <v>958</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IF(项目基本情况!B11="自然人","——",IF(D33="按租金收入计税",ROUND(C5*F33,2),IF(D33="按房产原值计税",ROUND(C29*F33*0.7,2),INDIRECT("'数据-取费表'!Aj"&amp;$G$1))))</f>
        <v>563.17999999999995</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670.5</v>
      </c>
      <c r="D36" s="2211" t="s">
        <v>972</v>
      </c>
      <c r="E36" s="683" t="s">
        <v>973</v>
      </c>
      <c r="F36" s="712">
        <f ca="1">INDIRECT("'数据-取费表'!Ak"&amp;$G$1)</f>
        <v>0.01</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5160</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109129</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48.16</v>
      </c>
      <c r="G41" s="2286"/>
      <c r="H41" s="1190"/>
      <c r="I41" s="2879"/>
      <c r="J41" s="2880"/>
      <c r="K41" s="1292"/>
      <c r="L41" s="1190"/>
      <c r="M41" s="1190"/>
    </row>
    <row r="42" spans="1:18" ht="18" customHeight="1">
      <c r="A42" s="689"/>
      <c r="B42" s="690"/>
      <c r="C42" s="691"/>
      <c r="D42" s="711"/>
      <c r="E42" s="683" t="s">
        <v>380</v>
      </c>
      <c r="F42" s="693">
        <f ca="1">INDIRECT("'数据-取费表'!v"&amp;$G$1)</f>
        <v>0.01</v>
      </c>
      <c r="G42" s="2286"/>
      <c r="H42" s="1190"/>
      <c r="I42" s="2879"/>
      <c r="J42" s="2880"/>
      <c r="K42" s="1292"/>
      <c r="L42" s="1190"/>
      <c r="M42" s="1190"/>
    </row>
    <row r="43" spans="1:18" ht="18" customHeight="1" thickBot="1">
      <c r="A43" s="718" t="s">
        <v>2359</v>
      </c>
      <c r="B43" s="719" t="s">
        <v>381</v>
      </c>
      <c r="C43" s="720">
        <f ca="1">ROUND(C40*10000/F43,0)</f>
        <v>7223</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-133825</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3131</v>
      </c>
      <c r="K47" s="2561" t="s">
        <v>2433</v>
      </c>
      <c r="L47" s="2562">
        <f ca="1">INDIRECT("'数据-取费表'!d"&amp;$G$1)</f>
        <v>50</v>
      </c>
      <c r="M47" s="2582" t="str">
        <f>IF(ISNUMBER(FIND("住宅",C1)),"住宅","非住宅")</f>
        <v>非住宅</v>
      </c>
      <c r="O47" s="2585" t="s">
        <v>2445</v>
      </c>
      <c r="P47" s="2595" t="s">
        <v>2463</v>
      </c>
      <c r="Q47" s="2586">
        <f ca="1">C40+J29</f>
        <v>109129</v>
      </c>
      <c r="R47" s="2586" t="s">
        <v>2464</v>
      </c>
    </row>
    <row r="48" spans="1:18" s="1452" customFormat="1" ht="47.25"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48.16</v>
      </c>
      <c r="O48" s="2585" t="s">
        <v>2446</v>
      </c>
      <c r="P48" s="2595" t="s">
        <v>2465</v>
      </c>
      <c r="Q48" s="2586" t="str">
        <f ca="1">J60</f>
        <v>0</v>
      </c>
      <c r="R48" s="2586" t="s">
        <v>2473</v>
      </c>
    </row>
    <row r="49" spans="1:18" s="1452" customFormat="1" ht="15.75"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62</v>
      </c>
      <c r="K51" s="2566" t="s">
        <v>2438</v>
      </c>
      <c r="L51" s="2579">
        <f ca="1">ROUND(-PV(INDIRECT("'数据-取费表'!h"&amp;$G$1),L48,(C39-C13*C76),0),0)</f>
        <v>-3981</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48.16</v>
      </c>
      <c r="R52" s="2586" t="s">
        <v>2468</v>
      </c>
    </row>
    <row r="53" spans="1:18" s="1452" customFormat="1" ht="43.5"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48.16</v>
      </c>
      <c r="K53" s="3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8"/>
      <c r="O53" s="2585" t="s">
        <v>2451</v>
      </c>
      <c r="P53" s="2595" t="s">
        <v>2469</v>
      </c>
      <c r="Q53" s="2586">
        <f ca="1">Q47+Q48</f>
        <v>109129</v>
      </c>
      <c r="R53" s="2586" t="s">
        <v>2452</v>
      </c>
    </row>
    <row r="54" spans="1:18" s="1452" customFormat="1" ht="16.5" thickBot="1">
      <c r="A54" s="2825"/>
      <c r="B54" s="2622" t="s">
        <v>2690</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08"/>
      <c r="F55" s="2538"/>
      <c r="I55" s="3314" t="s">
        <v>2419</v>
      </c>
      <c r="J55" s="3313" t="e">
        <f ca="1">ROUND(IF(J47="钢混",J57/J50,1-(1-2%)*(J50-J57)/J50),3)</f>
        <v>#VALUE!</v>
      </c>
      <c r="K55" s="2549" t="s">
        <v>2420</v>
      </c>
      <c r="L55" s="2571" t="s">
        <v>3132</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109129</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1365</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593.5</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563.17999999999995</v>
      </c>
      <c r="D61" s="1299" t="s">
        <v>2409</v>
      </c>
      <c r="E61" s="2400" t="s">
        <v>2339</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109129</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670.5</v>
      </c>
      <c r="D64" s="2418" t="s">
        <v>2346</v>
      </c>
      <c r="E64" s="2400" t="s">
        <v>2339</v>
      </c>
      <c r="F64" s="712">
        <f t="shared" ca="1" si="0"/>
        <v>0.01</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109129</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-1365</v>
      </c>
      <c r="D67" s="2417" t="s">
        <v>2351</v>
      </c>
      <c r="E67" s="2422"/>
      <c r="F67" s="2423"/>
      <c r="O67" s="2587" t="s">
        <v>2447</v>
      </c>
      <c r="P67" s="2595" t="s">
        <v>2477</v>
      </c>
      <c r="Q67" s="2590">
        <f ca="1">L51</f>
        <v>-3981</v>
      </c>
      <c r="R67" s="2591" t="s">
        <v>2487</v>
      </c>
    </row>
    <row r="68" spans="1:18" s="1452" customFormat="1" ht="20.25" thickBot="1">
      <c r="A68" s="2397" t="s">
        <v>2352</v>
      </c>
      <c r="B68" s="2398" t="s">
        <v>2353</v>
      </c>
      <c r="C68" s="682">
        <f ca="1">ROUND(C67*(1-((1+F70)/(1+F68))^F69)/(F68-F70),0)</f>
        <v>-24696</v>
      </c>
      <c r="D68" s="2419" t="s">
        <v>2354</v>
      </c>
      <c r="E68" s="2400" t="s">
        <v>2355</v>
      </c>
      <c r="F68" s="693">
        <f ca="1">F40</f>
        <v>0.05</v>
      </c>
      <c r="O68" s="2587" t="s">
        <v>2448</v>
      </c>
      <c r="P68" s="2596" t="s">
        <v>2481</v>
      </c>
      <c r="Q68" s="2586">
        <f ca="1">ROUND(Q69-Q70*Q71,0)</f>
        <v>-204</v>
      </c>
      <c r="R68" s="2586" t="s">
        <v>2486</v>
      </c>
    </row>
    <row r="69" spans="1:18" s="1452" customFormat="1" ht="15.75" thickBot="1">
      <c r="A69" s="2401"/>
      <c r="B69" s="2402"/>
      <c r="C69" s="687"/>
      <c r="D69" s="2424" t="s">
        <v>2356</v>
      </c>
      <c r="E69" s="2400" t="s">
        <v>2357</v>
      </c>
      <c r="F69" s="717">
        <f ca="1">F41</f>
        <v>48.16</v>
      </c>
      <c r="O69" s="2587" t="s">
        <v>2456</v>
      </c>
      <c r="P69" s="2596" t="s">
        <v>2471</v>
      </c>
      <c r="Q69" s="2586">
        <f ca="1">C39</f>
        <v>5160</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-1634</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109129</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-4.0000000000000036E-2</v>
      </c>
    </row>
    <row r="80" spans="1:18">
      <c r="B80" s="2871" t="s">
        <v>2694</v>
      </c>
      <c r="C80" s="649">
        <f ca="1">ROUND(C75/C39,3)</f>
        <v>1.04</v>
      </c>
    </row>
    <row r="81" spans="2:3">
      <c r="B81" s="645" t="s">
        <v>385</v>
      </c>
      <c r="C81" s="646"/>
    </row>
    <row r="82" spans="2:3">
      <c r="B82" s="2870" t="s">
        <v>2693</v>
      </c>
      <c r="C82" s="650">
        <f ca="1">1-C83</f>
        <v>0.38600000000000001</v>
      </c>
    </row>
    <row r="83" spans="2:3">
      <c r="B83" s="2870" t="s">
        <v>2692</v>
      </c>
      <c r="C83" s="649">
        <f ca="1">ROUND(C13/C40,3)</f>
        <v>0.61399999999999999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89" t="s">
        <v>2529</v>
      </c>
      <c r="C6" s="2629">
        <f ca="1">ROUND(F6*F8*F7*(1-F9),0)</f>
        <v>0</v>
      </c>
      <c r="D6" s="2623" t="s">
        <v>2531</v>
      </c>
      <c r="E6" s="683" t="s">
        <v>912</v>
      </c>
      <c r="F6" s="684">
        <f ca="1">INDIRECT("'数据-取费表'!u"&amp;$G$1)</f>
        <v>0</v>
      </c>
      <c r="G6" s="2286"/>
      <c r="H6" s="2620" t="s">
        <v>2369</v>
      </c>
      <c r="I6" s="3589" t="s">
        <v>2529</v>
      </c>
      <c r="J6" s="682">
        <f ca="1">ROUND(M6*M8*M7*(1-M9),0)</f>
        <v>0</v>
      </c>
      <c r="K6" s="2623" t="s">
        <v>2531</v>
      </c>
      <c r="L6" s="683" t="s">
        <v>912</v>
      </c>
      <c r="M6" s="684">
        <f ca="1">INDIRECT("'数据-取费表'!z"&amp;$G$1)</f>
        <v>0</v>
      </c>
    </row>
    <row r="7" spans="1:37" ht="18" customHeight="1">
      <c r="A7" s="2628"/>
      <c r="B7" s="3590"/>
      <c r="C7" s="2630"/>
      <c r="D7" s="2059"/>
      <c r="E7" s="2631" t="s">
        <v>913</v>
      </c>
      <c r="F7" s="684">
        <f ca="1">IF(INDIRECT("'数据-取费表'!ah"&amp;$G$1)="",INDIRECT("'数据-取费表'!k"&amp;$G$1),INDIRECT("'数据-取费表'!ah"&amp;$G$1))</f>
        <v>0</v>
      </c>
      <c r="G7" s="2286"/>
      <c r="H7" s="685"/>
      <c r="I7" s="3590"/>
      <c r="J7" s="687"/>
      <c r="K7" s="688"/>
      <c r="L7" s="683" t="s">
        <v>913</v>
      </c>
      <c r="M7" s="684">
        <f ca="1">F7</f>
        <v>0</v>
      </c>
    </row>
    <row r="8" spans="1:37" ht="18" customHeight="1">
      <c r="A8" s="685"/>
      <c r="B8" s="3590"/>
      <c r="C8" s="687"/>
      <c r="D8" s="688"/>
      <c r="E8" s="683" t="s">
        <v>914</v>
      </c>
      <c r="F8" s="684">
        <f ca="1">INDIRECT("'数据-取费表'!ai"&amp;$G$1)</f>
        <v>0</v>
      </c>
      <c r="G8" s="2286"/>
      <c r="H8" s="685"/>
      <c r="I8" s="3590"/>
      <c r="J8" s="687"/>
      <c r="K8" s="688"/>
      <c r="L8" s="683" t="s">
        <v>914</v>
      </c>
      <c r="M8" s="684">
        <f ca="1">INDIRECT("'数据-取费表'!ai"&amp;$G$1)</f>
        <v>0</v>
      </c>
    </row>
    <row r="9" spans="1:37" ht="18" customHeight="1">
      <c r="A9" s="685"/>
      <c r="B9" s="3591"/>
      <c r="C9" s="687"/>
      <c r="D9" s="688"/>
      <c r="E9" s="683" t="s">
        <v>915</v>
      </c>
      <c r="F9" s="693">
        <f ca="1">INDIRECT("'数据-取费表'!w"&amp;$G$1)</f>
        <v>0</v>
      </c>
      <c r="G9" s="2286"/>
      <c r="H9" s="685"/>
      <c r="I9" s="3591"/>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8"/>
      <c r="O53" s="2585" t="s">
        <v>2451</v>
      </c>
      <c r="P53" s="2595" t="s">
        <v>2469</v>
      </c>
      <c r="Q53" s="2586" t="e">
        <f ca="1">Q47+Q48</f>
        <v>#DIV/0!</v>
      </c>
      <c r="R53" s="2586" t="s">
        <v>2452</v>
      </c>
    </row>
    <row r="54" spans="1:18" s="1452" customFormat="1" ht="16.5" thickBot="1">
      <c r="A54" s="2429"/>
      <c r="B54" s="2823" t="s">
        <v>2688</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2666</v>
      </c>
      <c r="B1" s="2782"/>
      <c r="C1" s="2782"/>
      <c r="D1" s="2782"/>
      <c r="E1" s="2783"/>
    </row>
    <row r="2" spans="1:6" ht="14.25">
      <c r="A2" s="2784" t="s">
        <v>2667</v>
      </c>
      <c r="B2" s="2778">
        <f ca="1">SUMIF(B6:B13,"&lt;&gt;#ref!",B6:B13)</f>
        <v>109129</v>
      </c>
      <c r="C2" s="2779" t="s">
        <v>2664</v>
      </c>
      <c r="D2" s="2780" t="s">
        <v>2669</v>
      </c>
      <c r="E2" s="2788">
        <f>SUM(E6:E13)</f>
        <v>177117.85000000003</v>
      </c>
    </row>
    <row r="3" spans="1:6" ht="14.25">
      <c r="A3" s="2784" t="s">
        <v>2668</v>
      </c>
      <c r="B3" s="2778">
        <f ca="1">ROUND(B2*10000/E2,0)</f>
        <v>6161</v>
      </c>
      <c r="C3" s="2779" t="s">
        <v>2665</v>
      </c>
      <c r="D3" s="2785"/>
      <c r="E3" s="2789"/>
    </row>
    <row r="4" spans="1:6" ht="14.25">
      <c r="A4" s="2790"/>
      <c r="B4" s="2785"/>
      <c r="C4" s="2785"/>
      <c r="D4" s="2785"/>
      <c r="E4" s="2789"/>
    </row>
    <row r="5" spans="1:6">
      <c r="A5" s="2794" t="s">
        <v>2671</v>
      </c>
      <c r="B5" s="3592" t="s">
        <v>2673</v>
      </c>
      <c r="C5" s="3592"/>
      <c r="D5" s="2793"/>
      <c r="E5" s="3333" t="s">
        <v>2672</v>
      </c>
      <c r="F5" s="3334" t="s">
        <v>3041</v>
      </c>
    </row>
    <row r="6" spans="1:6">
      <c r="A6" s="2791" t="str">
        <f>'数据-取费表'!AN6</f>
        <v>收益法</v>
      </c>
      <c r="B6" s="2787">
        <f ca="1">IF(F6="是",'数据-取费表'!AO6,0)</f>
        <v>109129</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4.2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9" t="s">
        <v>2541</v>
      </c>
      <c r="B1" s="3610"/>
      <c r="C1" s="3611"/>
      <c r="D1" s="3612">
        <f>SUM(I10,I15,I20,I21,I23)</f>
        <v>0</v>
      </c>
      <c r="E1" s="3612"/>
      <c r="F1" s="3612"/>
      <c r="G1" s="3612"/>
      <c r="H1" s="3612"/>
      <c r="I1" s="3613"/>
    </row>
    <row r="2" spans="1:9">
      <c r="A2" s="3599" t="s">
        <v>2542</v>
      </c>
      <c r="B2" s="3600" t="s">
        <v>2543</v>
      </c>
      <c r="C2" s="3600"/>
      <c r="D2" s="2636" t="s">
        <v>2544</v>
      </c>
      <c r="E2" s="2636" t="s">
        <v>2545</v>
      </c>
      <c r="F2" s="2636" t="s">
        <v>2546</v>
      </c>
      <c r="G2" s="2636" t="s">
        <v>2547</v>
      </c>
      <c r="H2" s="2636" t="s">
        <v>2548</v>
      </c>
      <c r="I2" s="2637" t="s">
        <v>2549</v>
      </c>
    </row>
    <row r="3" spans="1:9">
      <c r="A3" s="3599"/>
      <c r="B3" s="3600" t="s">
        <v>2550</v>
      </c>
      <c r="C3" s="3600"/>
      <c r="D3" s="2638"/>
      <c r="E3" s="2636"/>
      <c r="F3" s="2639"/>
      <c r="G3" s="2639"/>
      <c r="H3" s="2640"/>
      <c r="I3" s="2641">
        <f>ROUND(D3*E3*F3*G3*H3/10000,0)</f>
        <v>0</v>
      </c>
    </row>
    <row r="4" spans="1:9">
      <c r="A4" s="3599"/>
      <c r="B4" s="3600" t="s">
        <v>2551</v>
      </c>
      <c r="C4" s="3600"/>
      <c r="D4" s="2638"/>
      <c r="E4" s="2636"/>
      <c r="F4" s="2639"/>
      <c r="G4" s="2639"/>
      <c r="H4" s="2640"/>
      <c r="I4" s="2641">
        <f t="shared" ref="I4:I9" si="0">ROUND(D4*E4*F4*G4*H4/10000,0)</f>
        <v>0</v>
      </c>
    </row>
    <row r="5" spans="1:9">
      <c r="A5" s="3599"/>
      <c r="B5" s="3600" t="s">
        <v>2552</v>
      </c>
      <c r="C5" s="3600"/>
      <c r="D5" s="2638"/>
      <c r="E5" s="2636"/>
      <c r="F5" s="2639"/>
      <c r="G5" s="2639"/>
      <c r="H5" s="2640"/>
      <c r="I5" s="2641">
        <f t="shared" si="0"/>
        <v>0</v>
      </c>
    </row>
    <row r="6" spans="1:9">
      <c r="A6" s="3599"/>
      <c r="B6" s="3600" t="s">
        <v>2553</v>
      </c>
      <c r="C6" s="3600"/>
      <c r="D6" s="2638"/>
      <c r="E6" s="2636"/>
      <c r="F6" s="2639"/>
      <c r="G6" s="2639"/>
      <c r="H6" s="2640"/>
      <c r="I6" s="2641">
        <f t="shared" si="0"/>
        <v>0</v>
      </c>
    </row>
    <row r="7" spans="1:9">
      <c r="A7" s="3599"/>
      <c r="B7" s="3600" t="s">
        <v>2554</v>
      </c>
      <c r="C7" s="3600"/>
      <c r="D7" s="2638"/>
      <c r="E7" s="2636"/>
      <c r="F7" s="2639"/>
      <c r="G7" s="2639"/>
      <c r="H7" s="2640"/>
      <c r="I7" s="2641">
        <f t="shared" si="0"/>
        <v>0</v>
      </c>
    </row>
    <row r="8" spans="1:9">
      <c r="A8" s="3599"/>
      <c r="B8" s="3600" t="s">
        <v>2555</v>
      </c>
      <c r="C8" s="3600"/>
      <c r="D8" s="2638"/>
      <c r="E8" s="2636"/>
      <c r="F8" s="2639"/>
      <c r="G8" s="2639"/>
      <c r="H8" s="2640"/>
      <c r="I8" s="2641">
        <f t="shared" si="0"/>
        <v>0</v>
      </c>
    </row>
    <row r="9" spans="1:9">
      <c r="A9" s="3599"/>
      <c r="B9" s="3600" t="s">
        <v>2556</v>
      </c>
      <c r="C9" s="3600"/>
      <c r="D9" s="2638"/>
      <c r="E9" s="2636"/>
      <c r="F9" s="2639"/>
      <c r="G9" s="2639"/>
      <c r="H9" s="2640"/>
      <c r="I9" s="2641">
        <f t="shared" si="0"/>
        <v>0</v>
      </c>
    </row>
    <row r="10" spans="1:9">
      <c r="A10" s="3599"/>
      <c r="B10" s="3601" t="s">
        <v>2557</v>
      </c>
      <c r="C10" s="3601"/>
      <c r="D10" s="2642"/>
      <c r="E10" s="2642" t="e">
        <f>ROUND(D1*10000/D10/H9,0)</f>
        <v>#DIV/0!</v>
      </c>
      <c r="F10" s="2643"/>
      <c r="G10" s="2643"/>
      <c r="H10" s="2644"/>
      <c r="I10" s="2645">
        <f>SUM(I3:I9)</f>
        <v>0</v>
      </c>
    </row>
    <row r="11" spans="1:9" ht="14.25">
      <c r="A11" s="3599" t="s">
        <v>2558</v>
      </c>
      <c r="B11" s="3600" t="s">
        <v>2559</v>
      </c>
      <c r="C11" s="3600"/>
      <c r="D11" s="2638" t="s">
        <v>2560</v>
      </c>
      <c r="E11" s="2638" t="s">
        <v>2561</v>
      </c>
      <c r="F11" s="2639" t="s">
        <v>2562</v>
      </c>
      <c r="G11" s="2639" t="s">
        <v>2548</v>
      </c>
      <c r="H11" s="2646" t="s">
        <v>2563</v>
      </c>
      <c r="I11" s="2637" t="s">
        <v>2549</v>
      </c>
    </row>
    <row r="12" spans="1:9">
      <c r="A12" s="3599"/>
      <c r="B12" s="3600" t="s">
        <v>2564</v>
      </c>
      <c r="C12" s="3600"/>
      <c r="D12" s="2638"/>
      <c r="E12" s="2638"/>
      <c r="F12" s="2639"/>
      <c r="G12" s="2640"/>
      <c r="H12" s="2647"/>
      <c r="I12" s="2637">
        <f>ROUND(D12*E12*F12*G12/10000,0)</f>
        <v>0</v>
      </c>
    </row>
    <row r="13" spans="1:9">
      <c r="A13" s="3599"/>
      <c r="B13" s="3600" t="s">
        <v>2565</v>
      </c>
      <c r="C13" s="3600"/>
      <c r="D13" s="2638"/>
      <c r="E13" s="2638"/>
      <c r="F13" s="2639"/>
      <c r="G13" s="2640"/>
      <c r="H13" s="2647"/>
      <c r="I13" s="2637">
        <f>ROUND(D13*E13*F13*G13/10000,0)</f>
        <v>0</v>
      </c>
    </row>
    <row r="14" spans="1:9">
      <c r="A14" s="3599"/>
      <c r="B14" s="3600" t="s">
        <v>2566</v>
      </c>
      <c r="C14" s="3600"/>
      <c r="D14" s="2638"/>
      <c r="E14" s="2638"/>
      <c r="F14" s="2639"/>
      <c r="G14" s="2640"/>
      <c r="H14" s="2647"/>
      <c r="I14" s="2637">
        <f>ROUND(D14*E14*F14*G14/10000,0)</f>
        <v>0</v>
      </c>
    </row>
    <row r="15" spans="1:9">
      <c r="A15" s="3599"/>
      <c r="B15" s="3601" t="s">
        <v>2557</v>
      </c>
      <c r="C15" s="3601"/>
      <c r="D15" s="2642"/>
      <c r="E15" s="2642">
        <f>SUM(E12:E14)</f>
        <v>0</v>
      </c>
      <c r="F15" s="2643"/>
      <c r="G15" s="2640"/>
      <c r="H15" s="2647"/>
      <c r="I15" s="2648">
        <f>SUM(I12:I14)</f>
        <v>0</v>
      </c>
    </row>
    <row r="16" spans="1:9" ht="24">
      <c r="A16" s="3599" t="s">
        <v>2567</v>
      </c>
      <c r="B16" s="3600" t="s">
        <v>2568</v>
      </c>
      <c r="C16" s="3600"/>
      <c r="D16" s="2638" t="s">
        <v>2544</v>
      </c>
      <c r="E16" s="2649" t="s">
        <v>2569</v>
      </c>
      <c r="F16" s="2639" t="s">
        <v>2570</v>
      </c>
      <c r="G16" s="2640" t="s">
        <v>2548</v>
      </c>
      <c r="H16" s="2646" t="s">
        <v>2563</v>
      </c>
      <c r="I16" s="2637" t="s">
        <v>2549</v>
      </c>
    </row>
    <row r="17" spans="1:9" ht="14.25">
      <c r="A17" s="3599"/>
      <c r="B17" s="3600" t="s">
        <v>2571</v>
      </c>
      <c r="C17" s="3600"/>
      <c r="D17" s="2638"/>
      <c r="E17" s="2638"/>
      <c r="F17" s="2639"/>
      <c r="G17" s="2640"/>
      <c r="H17" s="2650"/>
      <c r="I17" s="2651">
        <f>ROUND(D17*E17*F17*G17/10000,0)</f>
        <v>0</v>
      </c>
    </row>
    <row r="18" spans="1:9" ht="14.25">
      <c r="A18" s="3599"/>
      <c r="B18" s="3600" t="s">
        <v>2572</v>
      </c>
      <c r="C18" s="3600"/>
      <c r="D18" s="2638"/>
      <c r="E18" s="2638"/>
      <c r="F18" s="2639"/>
      <c r="G18" s="2640"/>
      <c r="H18" s="2650"/>
      <c r="I18" s="2651">
        <f>ROUND(D18*E18*F18*G18/10000,0)</f>
        <v>0</v>
      </c>
    </row>
    <row r="19" spans="1:9" ht="14.25">
      <c r="A19" s="3599"/>
      <c r="B19" s="3600" t="s">
        <v>2573</v>
      </c>
      <c r="C19" s="3600"/>
      <c r="D19" s="2638"/>
      <c r="E19" s="2638"/>
      <c r="F19" s="2639"/>
      <c r="G19" s="2640"/>
      <c r="H19" s="2650"/>
      <c r="I19" s="2651">
        <f>ROUND(D19*E19*F19*G19/10000,0)</f>
        <v>0</v>
      </c>
    </row>
    <row r="20" spans="1:9">
      <c r="A20" s="3599"/>
      <c r="B20" s="3601" t="s">
        <v>2557</v>
      </c>
      <c r="C20" s="3601"/>
      <c r="D20" s="2642">
        <f>SUM(D17:D19)</f>
        <v>0</v>
      </c>
      <c r="E20" s="2642"/>
      <c r="F20" s="2643"/>
      <c r="G20" s="2640"/>
      <c r="H20" s="2647"/>
      <c r="I20" s="2648">
        <f>SUM(I17:I19)</f>
        <v>0</v>
      </c>
    </row>
    <row r="21" spans="1:9">
      <c r="A21" s="3599" t="s">
        <v>2574</v>
      </c>
      <c r="B21" s="3602"/>
      <c r="C21" s="3602"/>
      <c r="D21" s="3602"/>
      <c r="E21" s="3602"/>
      <c r="F21" s="3602"/>
      <c r="G21" s="3602"/>
      <c r="H21" s="3294">
        <v>0.1</v>
      </c>
      <c r="I21" s="2645">
        <f>ROUND(I10*H21,0)</f>
        <v>0</v>
      </c>
    </row>
    <row r="22" spans="1:9" ht="14.25">
      <c r="A22" s="3603" t="s">
        <v>2575</v>
      </c>
      <c r="B22" s="3604"/>
      <c r="C22" s="3605"/>
      <c r="D22" s="2652" t="s">
        <v>2576</v>
      </c>
      <c r="E22" s="2652" t="s">
        <v>2577</v>
      </c>
      <c r="F22" s="2653" t="s">
        <v>2578</v>
      </c>
      <c r="G22" s="2653" t="s">
        <v>2579</v>
      </c>
      <c r="H22" s="2646" t="s">
        <v>2580</v>
      </c>
      <c r="I22" s="2637" t="s">
        <v>2581</v>
      </c>
    </row>
    <row r="23" spans="1:9" ht="14.25" thickBot="1">
      <c r="A23" s="3606"/>
      <c r="B23" s="3607"/>
      <c r="C23" s="3608"/>
      <c r="D23" s="2654"/>
      <c r="E23" s="2654"/>
      <c r="F23" s="2654"/>
      <c r="G23" s="2655"/>
      <c r="H23" s="2656"/>
      <c r="I23" s="2657">
        <f>ROUND(E23*D23*F23*(1-G23)/10000,0)</f>
        <v>0</v>
      </c>
    </row>
    <row r="26" spans="1:9">
      <c r="A26" s="2658" t="s">
        <v>2582</v>
      </c>
      <c r="B26" s="2658"/>
      <c r="C26" s="2658"/>
      <c r="D26" s="2658"/>
      <c r="E26" s="3596">
        <f>C27-C30-C31-C32</f>
        <v>0</v>
      </c>
      <c r="F26" s="3596"/>
      <c r="G26" s="3596"/>
      <c r="H26" s="3248" t="s">
        <v>2950</v>
      </c>
    </row>
    <row r="27" spans="1:9">
      <c r="A27" s="2659">
        <v>1</v>
      </c>
      <c r="B27" s="2660" t="s">
        <v>2583</v>
      </c>
      <c r="C27" s="2660">
        <f>C28+C29</f>
        <v>0</v>
      </c>
      <c r="D27" s="2660"/>
      <c r="E27" s="3597"/>
      <c r="F27" s="3597"/>
      <c r="G27" s="3597"/>
    </row>
    <row r="28" spans="1:9">
      <c r="A28" s="2661" t="s">
        <v>2584</v>
      </c>
      <c r="B28" s="2660" t="s">
        <v>2585</v>
      </c>
      <c r="C28" s="2660"/>
      <c r="D28" s="2660"/>
      <c r="E28" s="3597"/>
      <c r="F28" s="3597"/>
      <c r="G28" s="3597"/>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598"/>
      <c r="F32" s="3598"/>
      <c r="G32" s="3598"/>
    </row>
    <row r="33" spans="1:7" hidden="1">
      <c r="A33" s="3593" t="s">
        <v>2594</v>
      </c>
      <c r="B33" s="3594"/>
      <c r="C33" s="3594"/>
      <c r="D33" s="3595"/>
      <c r="E33" s="3596"/>
      <c r="F33" s="3596"/>
      <c r="G33" s="3596"/>
    </row>
    <row r="34" spans="1:7" hidden="1">
      <c r="A34" s="2663">
        <v>1</v>
      </c>
      <c r="B34" s="2660" t="s">
        <v>2595</v>
      </c>
      <c r="C34" s="2660"/>
      <c r="D34" s="2660"/>
      <c r="E34" s="3597"/>
      <c r="F34" s="3597"/>
      <c r="G34" s="3597"/>
    </row>
    <row r="35" spans="1:7" hidden="1">
      <c r="A35" s="2663">
        <v>2</v>
      </c>
      <c r="B35" s="2660" t="s">
        <v>2596</v>
      </c>
      <c r="C35" s="2660"/>
      <c r="D35" s="2660"/>
      <c r="E35" s="3597"/>
      <c r="F35" s="3597"/>
      <c r="G35" s="3597"/>
    </row>
    <row r="36" spans="1:7" hidden="1">
      <c r="A36" s="2663">
        <v>3</v>
      </c>
      <c r="B36" s="2660" t="s">
        <v>2597</v>
      </c>
      <c r="C36" s="2660"/>
      <c r="D36" s="2660"/>
      <c r="E36" s="3597"/>
      <c r="F36" s="3597"/>
      <c r="G36" s="3597"/>
    </row>
    <row r="37" spans="1:7" hidden="1">
      <c r="A37" s="2663">
        <v>4</v>
      </c>
      <c r="B37" s="2660" t="s">
        <v>2598</v>
      </c>
      <c r="C37" s="2660"/>
      <c r="D37" s="2660"/>
      <c r="E37" s="3597"/>
      <c r="F37" s="3597"/>
      <c r="G37" s="3597"/>
    </row>
    <row r="38" spans="1:7" hidden="1">
      <c r="A38" s="3593" t="s">
        <v>2599</v>
      </c>
      <c r="B38" s="3594"/>
      <c r="C38" s="3594"/>
      <c r="D38" s="3595"/>
      <c r="E38" s="3596"/>
      <c r="F38" s="3596"/>
      <c r="G38" s="35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2" t="s">
        <v>983</v>
      </c>
      <c r="D4" s="3633"/>
      <c r="E4" s="3634" t="s">
        <v>984</v>
      </c>
      <c r="F4" s="3635"/>
      <c r="G4" s="3632" t="s">
        <v>985</v>
      </c>
      <c r="H4" s="3633"/>
      <c r="I4" s="3632" t="s">
        <v>986</v>
      </c>
      <c r="J4" s="3633"/>
      <c r="K4" s="145" t="s">
        <v>987</v>
      </c>
      <c r="L4" s="2293"/>
      <c r="M4" s="2294"/>
      <c r="N4" s="2294"/>
      <c r="O4" s="2294"/>
      <c r="P4" s="3636" t="s">
        <v>982</v>
      </c>
      <c r="Q4" s="3637"/>
      <c r="R4" s="3642" t="s">
        <v>984</v>
      </c>
      <c r="S4" s="3643"/>
      <c r="T4" s="3642" t="s">
        <v>985</v>
      </c>
      <c r="U4" s="3643"/>
      <c r="V4" s="3648" t="s">
        <v>986</v>
      </c>
      <c r="W4" s="3648"/>
      <c r="X4" s="1338"/>
      <c r="Y4" s="3642" t="s">
        <v>982</v>
      </c>
      <c r="Z4" s="3643"/>
      <c r="AA4" s="3629" t="s">
        <v>984</v>
      </c>
      <c r="AB4" s="3629" t="s">
        <v>985</v>
      </c>
      <c r="AC4" s="3629" t="s">
        <v>986</v>
      </c>
    </row>
    <row r="5" spans="1:29">
      <c r="A5" s="146"/>
      <c r="B5" s="147"/>
      <c r="C5" s="3651" t="s">
        <v>988</v>
      </c>
      <c r="D5" s="3652"/>
      <c r="E5" s="3658" t="s">
        <v>989</v>
      </c>
      <c r="F5" s="3659"/>
      <c r="G5" s="3651" t="s">
        <v>990</v>
      </c>
      <c r="H5" s="3652"/>
      <c r="I5" s="3651" t="s">
        <v>991</v>
      </c>
      <c r="J5" s="3652"/>
      <c r="K5" s="152"/>
      <c r="L5" s="2293"/>
      <c r="M5" s="2294"/>
      <c r="N5" s="2294"/>
      <c r="O5" s="2294"/>
      <c r="P5" s="3638"/>
      <c r="Q5" s="3639"/>
      <c r="R5" s="3644"/>
      <c r="S5" s="3645"/>
      <c r="T5" s="3644"/>
      <c r="U5" s="3645"/>
      <c r="V5" s="3648"/>
      <c r="W5" s="3648"/>
      <c r="X5" s="1338"/>
      <c r="Y5" s="3644"/>
      <c r="Z5" s="3645"/>
      <c r="AA5" s="3630"/>
      <c r="AB5" s="3630"/>
      <c r="AC5" s="3630"/>
    </row>
    <row r="6" spans="1:29" ht="14.25" thickBot="1">
      <c r="A6" s="148"/>
      <c r="B6" s="149"/>
      <c r="C6" s="3649" t="s">
        <v>992</v>
      </c>
      <c r="D6" s="3650"/>
      <c r="E6" s="3656" t="s">
        <v>992</v>
      </c>
      <c r="F6" s="3657"/>
      <c r="G6" s="3649" t="s">
        <v>992</v>
      </c>
      <c r="H6" s="3650"/>
      <c r="I6" s="3649" t="s">
        <v>992</v>
      </c>
      <c r="J6" s="3650"/>
      <c r="K6" s="152" t="s">
        <v>993</v>
      </c>
      <c r="L6" s="2293"/>
      <c r="M6" s="2294"/>
      <c r="N6" s="2294"/>
      <c r="O6" s="2294"/>
      <c r="P6" s="3640"/>
      <c r="Q6" s="3641"/>
      <c r="R6" s="3644"/>
      <c r="S6" s="3645"/>
      <c r="T6" s="3646"/>
      <c r="U6" s="3647"/>
      <c r="V6" s="3648"/>
      <c r="W6" s="3648"/>
      <c r="X6" s="1338"/>
      <c r="Y6" s="3646"/>
      <c r="Z6" s="3647"/>
      <c r="AA6" s="3631"/>
      <c r="AB6" s="3631"/>
      <c r="AC6" s="3631"/>
    </row>
    <row r="7" spans="1:29" s="40" customFormat="1" ht="15" thickBot="1">
      <c r="A7" s="1012" t="s">
        <v>994</v>
      </c>
      <c r="B7" s="1013"/>
      <c r="C7" s="1014">
        <f>'数据-取费表'!B2</f>
        <v>42993</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53" t="s">
        <v>994</v>
      </c>
      <c r="Q7" s="3655"/>
      <c r="R7" s="1340" t="s">
        <v>115</v>
      </c>
      <c r="S7" s="1341">
        <f t="shared" ref="S7:S15" si="0">F7</f>
        <v>0</v>
      </c>
      <c r="T7" s="1340" t="s">
        <v>115</v>
      </c>
      <c r="U7" s="1341">
        <f t="shared" ref="U7:U15" si="1">H7</f>
        <v>0</v>
      </c>
      <c r="V7" s="1340" t="s">
        <v>115</v>
      </c>
      <c r="W7" s="1341">
        <f t="shared" ref="W7:W15" si="2">J7</f>
        <v>0</v>
      </c>
      <c r="X7" s="286"/>
      <c r="Y7" s="3653" t="s">
        <v>994</v>
      </c>
      <c r="Z7" s="3654"/>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53" t="s">
        <v>995</v>
      </c>
      <c r="Q8" s="3654"/>
      <c r="R8" s="1340" t="s">
        <v>115</v>
      </c>
      <c r="S8" s="1341">
        <f t="shared" si="0"/>
        <v>0</v>
      </c>
      <c r="T8" s="1340" t="s">
        <v>115</v>
      </c>
      <c r="U8" s="1341">
        <f t="shared" si="1"/>
        <v>0</v>
      </c>
      <c r="V8" s="1340" t="s">
        <v>115</v>
      </c>
      <c r="W8" s="1341">
        <f t="shared" si="2"/>
        <v>0</v>
      </c>
      <c r="X8" s="286"/>
      <c r="Y8" s="3653" t="s">
        <v>995</v>
      </c>
      <c r="Z8" s="3654"/>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28" t="s">
        <v>67</v>
      </c>
      <c r="Q9" s="7" t="str">
        <f t="shared" ref="Q9:Q15" si="6">B9</f>
        <v>用途</v>
      </c>
      <c r="R9" s="1340" t="s">
        <v>65</v>
      </c>
      <c r="S9" s="1341">
        <f t="shared" si="0"/>
        <v>100</v>
      </c>
      <c r="T9" s="1340" t="s">
        <v>65</v>
      </c>
      <c r="U9" s="1341">
        <f t="shared" si="1"/>
        <v>100</v>
      </c>
      <c r="V9" s="1340" t="s">
        <v>65</v>
      </c>
      <c r="W9" s="1341">
        <f t="shared" si="2"/>
        <v>100</v>
      </c>
      <c r="X9" s="286"/>
      <c r="Y9" s="3433"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28"/>
      <c r="Q10" s="7" t="str">
        <f t="shared" si="6"/>
        <v>土地使用年限（年）</v>
      </c>
      <c r="R10" s="1340" t="s">
        <v>65</v>
      </c>
      <c r="S10" s="1341">
        <f t="shared" si="0"/>
        <v>100</v>
      </c>
      <c r="T10" s="1340" t="s">
        <v>65</v>
      </c>
      <c r="U10" s="1341">
        <f t="shared" si="1"/>
        <v>100</v>
      </c>
      <c r="V10" s="1340" t="s">
        <v>65</v>
      </c>
      <c r="W10" s="1341">
        <f t="shared" si="2"/>
        <v>100</v>
      </c>
      <c r="X10" s="286"/>
      <c r="Y10" s="3433"/>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28"/>
      <c r="Q11" s="7" t="str">
        <f t="shared" si="6"/>
        <v>容积率</v>
      </c>
      <c r="R11" s="1340" t="s">
        <v>104</v>
      </c>
      <c r="S11" s="1341" t="e">
        <f t="shared" si="0"/>
        <v>#N/A</v>
      </c>
      <c r="T11" s="1340" t="s">
        <v>104</v>
      </c>
      <c r="U11" s="1341" t="e">
        <f t="shared" si="1"/>
        <v>#N/A</v>
      </c>
      <c r="V11" s="1340" t="s">
        <v>104</v>
      </c>
      <c r="W11" s="1341" t="e">
        <f t="shared" si="2"/>
        <v>#N/A</v>
      </c>
      <c r="X11" s="286"/>
      <c r="Y11" s="3433"/>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28"/>
      <c r="Q12" s="7">
        <f t="shared" si="6"/>
        <v>111</v>
      </c>
      <c r="R12" s="1340" t="s">
        <v>104</v>
      </c>
      <c r="S12" s="1341">
        <f t="shared" si="0"/>
        <v>100</v>
      </c>
      <c r="T12" s="1340" t="s">
        <v>104</v>
      </c>
      <c r="U12" s="1341">
        <f t="shared" si="1"/>
        <v>100</v>
      </c>
      <c r="V12" s="1340" t="s">
        <v>104</v>
      </c>
      <c r="W12" s="1341">
        <f t="shared" si="2"/>
        <v>100</v>
      </c>
      <c r="X12" s="286"/>
      <c r="Y12" s="3433"/>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28"/>
      <c r="Q13" s="7">
        <f t="shared" si="6"/>
        <v>111</v>
      </c>
      <c r="R13" s="1340" t="s">
        <v>104</v>
      </c>
      <c r="S13" s="1341">
        <f t="shared" si="0"/>
        <v>100</v>
      </c>
      <c r="T13" s="1340" t="s">
        <v>104</v>
      </c>
      <c r="U13" s="1341">
        <f t="shared" si="1"/>
        <v>100</v>
      </c>
      <c r="V13" s="1340" t="s">
        <v>104</v>
      </c>
      <c r="W13" s="1341">
        <f t="shared" si="2"/>
        <v>100</v>
      </c>
      <c r="X13" s="286"/>
      <c r="Y13" s="3433"/>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28"/>
      <c r="Q14" s="7">
        <f t="shared" si="6"/>
        <v>111</v>
      </c>
      <c r="R14" s="1340" t="s">
        <v>104</v>
      </c>
      <c r="S14" s="1341">
        <f t="shared" si="0"/>
        <v>100</v>
      </c>
      <c r="T14" s="1340" t="s">
        <v>104</v>
      </c>
      <c r="U14" s="1341">
        <f t="shared" si="1"/>
        <v>100</v>
      </c>
      <c r="V14" s="1340" t="s">
        <v>104</v>
      </c>
      <c r="W14" s="1341">
        <f t="shared" si="2"/>
        <v>100</v>
      </c>
      <c r="X14" s="286"/>
      <c r="Y14" s="3433"/>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26" t="s">
        <v>69</v>
      </c>
      <c r="Q15" s="1349" t="str">
        <f t="shared" si="6"/>
        <v>居住社区成熟度</v>
      </c>
      <c r="R15" s="1350" t="s">
        <v>104</v>
      </c>
      <c r="S15" s="1351">
        <f t="shared" si="0"/>
        <v>100</v>
      </c>
      <c r="T15" s="1350" t="s">
        <v>104</v>
      </c>
      <c r="U15" s="1351">
        <f t="shared" si="1"/>
        <v>100</v>
      </c>
      <c r="V15" s="1350" t="s">
        <v>104</v>
      </c>
      <c r="W15" s="1351">
        <f t="shared" si="2"/>
        <v>100</v>
      </c>
      <c r="X15" s="1338"/>
      <c r="Y15" s="3619"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27"/>
      <c r="Q16" s="1349"/>
      <c r="R16" s="1350"/>
      <c r="S16" s="1351"/>
      <c r="T16" s="1350"/>
      <c r="U16" s="1351"/>
      <c r="V16" s="1350"/>
      <c r="W16" s="1351"/>
      <c r="X16" s="1338"/>
      <c r="Y16" s="3620"/>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27"/>
      <c r="Q17" s="1349" t="str">
        <f>B17</f>
        <v>交通便捷度</v>
      </c>
      <c r="R17" s="1350" t="s">
        <v>104</v>
      </c>
      <c r="S17" s="1351">
        <f>F17</f>
        <v>100</v>
      </c>
      <c r="T17" s="1350" t="s">
        <v>104</v>
      </c>
      <c r="U17" s="1351">
        <f>H17</f>
        <v>100</v>
      </c>
      <c r="V17" s="1350" t="s">
        <v>104</v>
      </c>
      <c r="W17" s="1351">
        <f>J17</f>
        <v>100</v>
      </c>
      <c r="X17" s="1338"/>
      <c r="Y17" s="3620"/>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27"/>
      <c r="Q18" s="1349"/>
      <c r="R18" s="1350"/>
      <c r="S18" s="1351"/>
      <c r="T18" s="1350"/>
      <c r="U18" s="1351"/>
      <c r="V18" s="1350"/>
      <c r="W18" s="1351"/>
      <c r="X18" s="1338"/>
      <c r="Y18" s="3620"/>
      <c r="Z18" s="1352"/>
      <c r="AA18" s="1353">
        <v>1</v>
      </c>
      <c r="AB18" s="1353">
        <v>1</v>
      </c>
      <c r="AC18" s="1353">
        <v>1</v>
      </c>
    </row>
    <row r="19" spans="1:29" ht="40.5">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27"/>
      <c r="Q19" s="1349" t="str">
        <f>B19</f>
        <v>公共配套设施</v>
      </c>
      <c r="R19" s="1350" t="s">
        <v>104</v>
      </c>
      <c r="S19" s="1351">
        <f>F19</f>
        <v>100</v>
      </c>
      <c r="T19" s="1350" t="s">
        <v>104</v>
      </c>
      <c r="U19" s="1351">
        <f>H19</f>
        <v>100</v>
      </c>
      <c r="V19" s="1350" t="s">
        <v>104</v>
      </c>
      <c r="W19" s="1351">
        <f>J19</f>
        <v>100</v>
      </c>
      <c r="X19" s="1338"/>
      <c r="Y19" s="3620"/>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27"/>
      <c r="Q20" s="1349"/>
      <c r="R20" s="1350"/>
      <c r="S20" s="1351"/>
      <c r="T20" s="1350"/>
      <c r="U20" s="1351"/>
      <c r="V20" s="1350"/>
      <c r="W20" s="1351"/>
      <c r="X20" s="1338"/>
      <c r="Y20" s="3620"/>
      <c r="Z20" s="1352"/>
      <c r="AA20" s="1353">
        <v>1</v>
      </c>
      <c r="AB20" s="1353">
        <v>1</v>
      </c>
      <c r="AC20" s="1353">
        <v>1</v>
      </c>
    </row>
    <row r="21" spans="1:29" ht="27">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27"/>
      <c r="Q21" s="2744" t="str">
        <f>B21</f>
        <v>基础设施水平</v>
      </c>
      <c r="R21" s="1350" t="s">
        <v>65</v>
      </c>
      <c r="S21" s="1351">
        <f>F21</f>
        <v>100</v>
      </c>
      <c r="T21" s="1350" t="s">
        <v>65</v>
      </c>
      <c r="U21" s="1351">
        <f>H21</f>
        <v>100</v>
      </c>
      <c r="V21" s="1350" t="s">
        <v>65</v>
      </c>
      <c r="W21" s="1351">
        <f>J21</f>
        <v>100</v>
      </c>
      <c r="X21" s="2746"/>
      <c r="Y21" s="3620"/>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27"/>
      <c r="Q22" s="2744"/>
      <c r="R22" s="1350"/>
      <c r="S22" s="1351"/>
      <c r="T22" s="1350"/>
      <c r="U22" s="1351"/>
      <c r="V22" s="1350"/>
      <c r="W22" s="1351"/>
      <c r="X22" s="2746"/>
      <c r="Y22" s="3620"/>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27"/>
      <c r="Q23" s="1349" t="str">
        <f>B23</f>
        <v>自然及人文环境</v>
      </c>
      <c r="R23" s="1350" t="s">
        <v>104</v>
      </c>
      <c r="S23" s="1351">
        <f>F23</f>
        <v>100</v>
      </c>
      <c r="T23" s="1350" t="s">
        <v>104</v>
      </c>
      <c r="U23" s="1351">
        <f>H23</f>
        <v>100</v>
      </c>
      <c r="V23" s="1350" t="s">
        <v>104</v>
      </c>
      <c r="W23" s="1351">
        <f>J23</f>
        <v>100</v>
      </c>
      <c r="X23" s="1338"/>
      <c r="Y23" s="3620"/>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27"/>
      <c r="Q24" s="1349"/>
      <c r="R24" s="1350"/>
      <c r="S24" s="1351"/>
      <c r="T24" s="1350"/>
      <c r="U24" s="1351"/>
      <c r="V24" s="1350"/>
      <c r="W24" s="1351"/>
      <c r="X24" s="1338"/>
      <c r="Y24" s="3620"/>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2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2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27"/>
      <c r="Q26" s="1349" t="str">
        <f t="shared" si="11"/>
        <v>朝向</v>
      </c>
      <c r="R26" s="1350" t="s">
        <v>104</v>
      </c>
      <c r="S26" s="1351">
        <f t="shared" si="12"/>
        <v>100</v>
      </c>
      <c r="T26" s="1350" t="s">
        <v>104</v>
      </c>
      <c r="U26" s="1351">
        <f t="shared" si="13"/>
        <v>100</v>
      </c>
      <c r="V26" s="1350" t="s">
        <v>104</v>
      </c>
      <c r="W26" s="1351">
        <f t="shared" si="14"/>
        <v>100</v>
      </c>
      <c r="X26" s="1338"/>
      <c r="Y26" s="3620"/>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27"/>
      <c r="Q27" s="7">
        <f t="shared" si="11"/>
        <v>111</v>
      </c>
      <c r="R27" s="1340" t="s">
        <v>104</v>
      </c>
      <c r="S27" s="1341">
        <f t="shared" si="12"/>
        <v>100</v>
      </c>
      <c r="T27" s="1340" t="s">
        <v>104</v>
      </c>
      <c r="U27" s="1341">
        <f t="shared" si="13"/>
        <v>100</v>
      </c>
      <c r="V27" s="1340" t="s">
        <v>104</v>
      </c>
      <c r="W27" s="1341">
        <f t="shared" si="14"/>
        <v>100</v>
      </c>
      <c r="X27" s="286"/>
      <c r="Y27" s="3620"/>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27"/>
      <c r="Q28" s="1349">
        <f t="shared" si="11"/>
        <v>111</v>
      </c>
      <c r="R28" s="1350" t="s">
        <v>104</v>
      </c>
      <c r="S28" s="1351">
        <f t="shared" si="12"/>
        <v>100</v>
      </c>
      <c r="T28" s="1350" t="s">
        <v>104</v>
      </c>
      <c r="U28" s="1351">
        <f t="shared" si="13"/>
        <v>100</v>
      </c>
      <c r="V28" s="1350" t="s">
        <v>104</v>
      </c>
      <c r="W28" s="1351">
        <f t="shared" si="14"/>
        <v>100</v>
      </c>
      <c r="X28" s="1338"/>
      <c r="Y28" s="3620"/>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27"/>
      <c r="Q29" s="1349">
        <f t="shared" si="11"/>
        <v>111</v>
      </c>
      <c r="R29" s="1350" t="s">
        <v>104</v>
      </c>
      <c r="S29" s="1351">
        <f t="shared" si="12"/>
        <v>100</v>
      </c>
      <c r="T29" s="1350" t="s">
        <v>104</v>
      </c>
      <c r="U29" s="1351">
        <f t="shared" si="13"/>
        <v>100</v>
      </c>
      <c r="V29" s="1350" t="s">
        <v>104</v>
      </c>
      <c r="W29" s="1351">
        <f t="shared" si="14"/>
        <v>100</v>
      </c>
      <c r="X29" s="1338"/>
      <c r="Y29" s="3620"/>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27"/>
      <c r="Q30" s="1349">
        <f t="shared" si="11"/>
        <v>111</v>
      </c>
      <c r="R30" s="1350" t="s">
        <v>104</v>
      </c>
      <c r="S30" s="1351">
        <f t="shared" si="12"/>
        <v>100</v>
      </c>
      <c r="T30" s="1350" t="s">
        <v>104</v>
      </c>
      <c r="U30" s="1351">
        <f t="shared" si="13"/>
        <v>100</v>
      </c>
      <c r="V30" s="1350" t="s">
        <v>104</v>
      </c>
      <c r="W30" s="1351">
        <f t="shared" si="14"/>
        <v>100</v>
      </c>
      <c r="X30" s="1338"/>
      <c r="Y30" s="3620"/>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27"/>
      <c r="Q31" s="1349">
        <f t="shared" si="11"/>
        <v>111</v>
      </c>
      <c r="R31" s="1350" t="s">
        <v>104</v>
      </c>
      <c r="S31" s="1351">
        <f t="shared" si="12"/>
        <v>100</v>
      </c>
      <c r="T31" s="1350" t="s">
        <v>104</v>
      </c>
      <c r="U31" s="1351">
        <f t="shared" si="13"/>
        <v>100</v>
      </c>
      <c r="V31" s="1350" t="s">
        <v>104</v>
      </c>
      <c r="W31" s="1351">
        <f t="shared" si="14"/>
        <v>100</v>
      </c>
      <c r="X31" s="1338"/>
      <c r="Y31" s="3620"/>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21" t="s">
        <v>70</v>
      </c>
      <c r="Q32" s="1349" t="str">
        <f t="shared" si="11"/>
        <v>建筑类型</v>
      </c>
      <c r="R32" s="1350" t="s">
        <v>104</v>
      </c>
      <c r="S32" s="1351">
        <f t="shared" si="12"/>
        <v>100</v>
      </c>
      <c r="T32" s="1350" t="s">
        <v>104</v>
      </c>
      <c r="U32" s="1351">
        <f t="shared" si="13"/>
        <v>100</v>
      </c>
      <c r="V32" s="1350" t="s">
        <v>104</v>
      </c>
      <c r="W32" s="1351">
        <f t="shared" si="14"/>
        <v>100</v>
      </c>
      <c r="X32" s="1338"/>
      <c r="Y32" s="3624"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22"/>
      <c r="Q33" s="1357" t="str">
        <f t="shared" si="11"/>
        <v>项目建筑规模</v>
      </c>
      <c r="R33" s="1358" t="s">
        <v>104</v>
      </c>
      <c r="S33" s="1359" t="e">
        <f t="shared" si="12"/>
        <v>#N/A</v>
      </c>
      <c r="T33" s="1358" t="s">
        <v>104</v>
      </c>
      <c r="U33" s="1359" t="e">
        <f t="shared" si="13"/>
        <v>#N/A</v>
      </c>
      <c r="V33" s="1358" t="s">
        <v>104</v>
      </c>
      <c r="W33" s="1359" t="e">
        <f t="shared" si="14"/>
        <v>#N/A</v>
      </c>
      <c r="X33" s="1360"/>
      <c r="Y33" s="3624"/>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22"/>
      <c r="Q34" s="1349" t="str">
        <f t="shared" si="11"/>
        <v>建筑结构</v>
      </c>
      <c r="R34" s="1350" t="s">
        <v>104</v>
      </c>
      <c r="S34" s="1351">
        <f t="shared" si="12"/>
        <v>100</v>
      </c>
      <c r="T34" s="1350" t="s">
        <v>104</v>
      </c>
      <c r="U34" s="1351">
        <f t="shared" si="13"/>
        <v>100</v>
      </c>
      <c r="V34" s="1350" t="s">
        <v>104</v>
      </c>
      <c r="W34" s="1351">
        <f t="shared" si="14"/>
        <v>100</v>
      </c>
      <c r="X34" s="1338"/>
      <c r="Y34" s="3624"/>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22"/>
      <c r="Q35" s="1349" t="str">
        <f t="shared" si="11"/>
        <v>建筑品质</v>
      </c>
      <c r="R35" s="1350" t="s">
        <v>104</v>
      </c>
      <c r="S35" s="1351">
        <f t="shared" si="12"/>
        <v>100</v>
      </c>
      <c r="T35" s="1350" t="s">
        <v>104</v>
      </c>
      <c r="U35" s="1351">
        <f t="shared" si="13"/>
        <v>100</v>
      </c>
      <c r="V35" s="1350" t="s">
        <v>104</v>
      </c>
      <c r="W35" s="1351">
        <f t="shared" si="14"/>
        <v>100</v>
      </c>
      <c r="X35" s="1338"/>
      <c r="Y35" s="3624"/>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22"/>
      <c r="Q36" s="1349" t="str">
        <f t="shared" si="11"/>
        <v>公共部分装修</v>
      </c>
      <c r="R36" s="1350" t="s">
        <v>104</v>
      </c>
      <c r="S36" s="1351">
        <f t="shared" si="12"/>
        <v>100</v>
      </c>
      <c r="T36" s="1350" t="s">
        <v>104</v>
      </c>
      <c r="U36" s="1351">
        <f t="shared" si="13"/>
        <v>100</v>
      </c>
      <c r="V36" s="1350" t="s">
        <v>104</v>
      </c>
      <c r="W36" s="1351">
        <f t="shared" si="14"/>
        <v>100</v>
      </c>
      <c r="X36" s="1338"/>
      <c r="Y36" s="3624"/>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22"/>
      <c r="Q37" s="7" t="str">
        <f t="shared" si="11"/>
        <v>成新度</v>
      </c>
      <c r="R37" s="1340" t="s">
        <v>104</v>
      </c>
      <c r="S37" s="1341" t="e">
        <f t="shared" si="12"/>
        <v>#N/A</v>
      </c>
      <c r="T37" s="1340" t="s">
        <v>104</v>
      </c>
      <c r="U37" s="1341" t="e">
        <f t="shared" si="13"/>
        <v>#N/A</v>
      </c>
      <c r="V37" s="1340" t="s">
        <v>104</v>
      </c>
      <c r="W37" s="1341" t="e">
        <f t="shared" si="14"/>
        <v>#N/A</v>
      </c>
      <c r="X37" s="286"/>
      <c r="Y37" s="3624"/>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22" t="s">
        <v>70</v>
      </c>
      <c r="Q38" s="1349" t="str">
        <f t="shared" si="11"/>
        <v>物业管理</v>
      </c>
      <c r="R38" s="1350" t="s">
        <v>104</v>
      </c>
      <c r="S38" s="1351">
        <f t="shared" si="12"/>
        <v>100</v>
      </c>
      <c r="T38" s="1350" t="s">
        <v>104</v>
      </c>
      <c r="U38" s="1351">
        <f t="shared" si="13"/>
        <v>100</v>
      </c>
      <c r="V38" s="1350" t="s">
        <v>104</v>
      </c>
      <c r="W38" s="1351">
        <f t="shared" si="14"/>
        <v>100</v>
      </c>
      <c r="X38" s="1338"/>
      <c r="Y38" s="3624"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22"/>
      <c r="Q39" s="1349" t="str">
        <f t="shared" si="11"/>
        <v>市政基础设施</v>
      </c>
      <c r="R39" s="1350" t="s">
        <v>104</v>
      </c>
      <c r="S39" s="1351">
        <f t="shared" si="12"/>
        <v>100</v>
      </c>
      <c r="T39" s="1350" t="s">
        <v>104</v>
      </c>
      <c r="U39" s="1351">
        <f t="shared" si="13"/>
        <v>100</v>
      </c>
      <c r="V39" s="1350" t="s">
        <v>104</v>
      </c>
      <c r="W39" s="1351">
        <f t="shared" si="14"/>
        <v>100</v>
      </c>
      <c r="X39" s="1338"/>
      <c r="Y39" s="3624"/>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22"/>
      <c r="Q40" s="1349" t="str">
        <f t="shared" si="11"/>
        <v>房型</v>
      </c>
      <c r="R40" s="1350" t="s">
        <v>104</v>
      </c>
      <c r="S40" s="1351">
        <f t="shared" si="12"/>
        <v>100</v>
      </c>
      <c r="T40" s="1350" t="s">
        <v>104</v>
      </c>
      <c r="U40" s="1351">
        <f t="shared" si="13"/>
        <v>100</v>
      </c>
      <c r="V40" s="1350" t="s">
        <v>104</v>
      </c>
      <c r="W40" s="1351">
        <f t="shared" si="14"/>
        <v>100</v>
      </c>
      <c r="X40" s="1338"/>
      <c r="Y40" s="3624"/>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22"/>
      <c r="Q41" s="1357" t="str">
        <f t="shared" si="11"/>
        <v>单套/主力户型建筑面积</v>
      </c>
      <c r="R41" s="1358" t="s">
        <v>104</v>
      </c>
      <c r="S41" s="1359">
        <f t="shared" si="12"/>
        <v>100</v>
      </c>
      <c r="T41" s="1358" t="s">
        <v>104</v>
      </c>
      <c r="U41" s="1359">
        <f t="shared" si="13"/>
        <v>100</v>
      </c>
      <c r="V41" s="1358" t="s">
        <v>104</v>
      </c>
      <c r="W41" s="1359">
        <f t="shared" si="14"/>
        <v>100</v>
      </c>
      <c r="X41" s="1360"/>
      <c r="Y41" s="3624"/>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22"/>
      <c r="Q42" s="1349" t="str">
        <f t="shared" si="11"/>
        <v>内部装修</v>
      </c>
      <c r="R42" s="1350" t="s">
        <v>104</v>
      </c>
      <c r="S42" s="1351">
        <f t="shared" si="12"/>
        <v>100</v>
      </c>
      <c r="T42" s="1350" t="s">
        <v>104</v>
      </c>
      <c r="U42" s="1351">
        <f t="shared" si="13"/>
        <v>100</v>
      </c>
      <c r="V42" s="1350" t="s">
        <v>104</v>
      </c>
      <c r="W42" s="1351">
        <f t="shared" si="14"/>
        <v>100</v>
      </c>
      <c r="X42" s="1338"/>
      <c r="Y42" s="3624"/>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22"/>
      <c r="Q43" s="1349" t="str">
        <f t="shared" si="11"/>
        <v>内部装修维护情况</v>
      </c>
      <c r="R43" s="1350" t="s">
        <v>104</v>
      </c>
      <c r="S43" s="1351">
        <f t="shared" si="12"/>
        <v>100</v>
      </c>
      <c r="T43" s="1350" t="s">
        <v>104</v>
      </c>
      <c r="U43" s="1351">
        <f t="shared" si="13"/>
        <v>100</v>
      </c>
      <c r="V43" s="1350" t="s">
        <v>104</v>
      </c>
      <c r="W43" s="1351">
        <f t="shared" si="14"/>
        <v>100</v>
      </c>
      <c r="X43" s="1338"/>
      <c r="Y43" s="3624"/>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22"/>
      <c r="Q44" s="7">
        <f t="shared" si="11"/>
        <v>111</v>
      </c>
      <c r="R44" s="1340" t="s">
        <v>104</v>
      </c>
      <c r="S44" s="1341">
        <f t="shared" si="12"/>
        <v>100</v>
      </c>
      <c r="T44" s="1340" t="s">
        <v>104</v>
      </c>
      <c r="U44" s="1341">
        <f t="shared" si="13"/>
        <v>100</v>
      </c>
      <c r="V44" s="1340" t="s">
        <v>104</v>
      </c>
      <c r="W44" s="1341">
        <f t="shared" si="14"/>
        <v>100</v>
      </c>
      <c r="X44" s="286"/>
      <c r="Y44" s="3624"/>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22"/>
      <c r="Q45" s="1349">
        <f t="shared" si="11"/>
        <v>111</v>
      </c>
      <c r="R45" s="1350" t="s">
        <v>104</v>
      </c>
      <c r="S45" s="1351">
        <f t="shared" si="12"/>
        <v>100</v>
      </c>
      <c r="T45" s="1350" t="s">
        <v>104</v>
      </c>
      <c r="U45" s="1351">
        <f t="shared" si="13"/>
        <v>100</v>
      </c>
      <c r="V45" s="1350" t="s">
        <v>104</v>
      </c>
      <c r="W45" s="1351">
        <f t="shared" si="14"/>
        <v>100</v>
      </c>
      <c r="X45" s="1338"/>
      <c r="Y45" s="3624"/>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23"/>
      <c r="Q46" s="1349">
        <f t="shared" si="11"/>
        <v>111</v>
      </c>
      <c r="R46" s="1350" t="s">
        <v>103</v>
      </c>
      <c r="S46" s="1351">
        <f t="shared" si="12"/>
        <v>100</v>
      </c>
      <c r="T46" s="1350" t="s">
        <v>103</v>
      </c>
      <c r="U46" s="1351">
        <f t="shared" si="13"/>
        <v>100</v>
      </c>
      <c r="V46" s="1350" t="s">
        <v>103</v>
      </c>
      <c r="W46" s="1351">
        <f t="shared" si="14"/>
        <v>100</v>
      </c>
      <c r="X46" s="1338"/>
      <c r="Y46" s="3625"/>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17" t="str">
        <f>A47</f>
        <v>成交单价（元/平方米）</v>
      </c>
      <c r="Q47" s="3617"/>
      <c r="R47" s="3618">
        <f>E47</f>
        <v>0</v>
      </c>
      <c r="S47" s="3618"/>
      <c r="T47" s="3618">
        <f>G47</f>
        <v>0</v>
      </c>
      <c r="U47" s="3618"/>
      <c r="V47" s="3618">
        <f>I47</f>
        <v>0</v>
      </c>
      <c r="W47" s="3618"/>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63"/>
      <c r="Y48" s="1363"/>
      <c r="Z48" s="1363"/>
      <c r="AA48" s="1363"/>
      <c r="AB48" s="1363"/>
      <c r="AC48" s="1363"/>
    </row>
    <row r="49" spans="1:29" ht="15.75" thickBot="1">
      <c r="A49" s="115" t="s">
        <v>3005</v>
      </c>
      <c r="B49" s="116"/>
      <c r="C49" s="2840" t="e">
        <f>R49</f>
        <v>#DIV/0!</v>
      </c>
      <c r="D49" s="2841"/>
      <c r="E49" s="2841"/>
      <c r="F49" s="2841"/>
      <c r="G49" s="2841"/>
      <c r="H49" s="2841"/>
      <c r="I49" s="2841"/>
      <c r="J49" s="2841"/>
      <c r="K49" s="1366"/>
      <c r="L49" s="2301"/>
      <c r="M49" s="2302"/>
      <c r="N49" s="2302"/>
      <c r="O49" s="2302"/>
      <c r="P49" s="3614" t="str">
        <f>A49</f>
        <v>估价对象XX用房的比较价值（楼面单价，元/平方米）</v>
      </c>
      <c r="Q49" s="3615"/>
      <c r="R49" s="3616" t="e">
        <f>IF(F1="售价",ROUND(AVERAGE(R48:V48),0),ROUND(AVERAGE(R48:V48),1))</f>
        <v>#DIV/0!</v>
      </c>
      <c r="S49" s="3616"/>
      <c r="T49" s="3616"/>
      <c r="U49" s="3616"/>
      <c r="V49" s="3616"/>
      <c r="W49" s="3616"/>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2788</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2" t="s">
        <v>54</v>
      </c>
      <c r="D4" s="3633"/>
      <c r="E4" s="3634" t="s">
        <v>55</v>
      </c>
      <c r="F4" s="3635"/>
      <c r="G4" s="3632" t="s">
        <v>56</v>
      </c>
      <c r="H4" s="3633"/>
      <c r="I4" s="3632" t="s">
        <v>57</v>
      </c>
      <c r="J4" s="3633"/>
      <c r="K4" s="187" t="s">
        <v>58</v>
      </c>
      <c r="L4" s="2293"/>
      <c r="M4" s="2294"/>
      <c r="N4" s="2294"/>
      <c r="O4" s="2294"/>
      <c r="P4" s="3636" t="s">
        <v>53</v>
      </c>
      <c r="Q4" s="3637"/>
      <c r="R4" s="3642" t="s">
        <v>55</v>
      </c>
      <c r="S4" s="3643"/>
      <c r="T4" s="3642" t="s">
        <v>56</v>
      </c>
      <c r="U4" s="3643"/>
      <c r="V4" s="3648" t="s">
        <v>57</v>
      </c>
      <c r="W4" s="3648"/>
      <c r="X4" s="1338"/>
      <c r="Y4" s="3642" t="s">
        <v>53</v>
      </c>
      <c r="Z4" s="3643"/>
      <c r="AA4" s="3629" t="s">
        <v>55</v>
      </c>
      <c r="AB4" s="3648" t="s">
        <v>56</v>
      </c>
      <c r="AC4" s="3629" t="s">
        <v>57</v>
      </c>
    </row>
    <row r="5" spans="1:29">
      <c r="A5" s="146"/>
      <c r="B5" s="147"/>
      <c r="C5" s="3651" t="s">
        <v>59</v>
      </c>
      <c r="D5" s="3652"/>
      <c r="E5" s="3658" t="s">
        <v>60</v>
      </c>
      <c r="F5" s="3659"/>
      <c r="G5" s="3651" t="s">
        <v>61</v>
      </c>
      <c r="H5" s="3652"/>
      <c r="I5" s="3651" t="s">
        <v>62</v>
      </c>
      <c r="J5" s="3652"/>
      <c r="K5" s="187"/>
      <c r="L5" s="2293"/>
      <c r="M5" s="2294"/>
      <c r="N5" s="2294"/>
      <c r="O5" s="2294"/>
      <c r="P5" s="3638"/>
      <c r="Q5" s="3639"/>
      <c r="R5" s="3644"/>
      <c r="S5" s="3645"/>
      <c r="T5" s="3644"/>
      <c r="U5" s="3645"/>
      <c r="V5" s="3648"/>
      <c r="W5" s="3648"/>
      <c r="X5" s="1338"/>
      <c r="Y5" s="3644"/>
      <c r="Z5" s="3645"/>
      <c r="AA5" s="3630"/>
      <c r="AB5" s="3648"/>
      <c r="AC5" s="3630"/>
    </row>
    <row r="6" spans="1:29" ht="14.25" thickBot="1">
      <c r="A6" s="148"/>
      <c r="B6" s="149"/>
      <c r="C6" s="3649" t="s">
        <v>63</v>
      </c>
      <c r="D6" s="3650"/>
      <c r="E6" s="3656" t="s">
        <v>63</v>
      </c>
      <c r="F6" s="3657"/>
      <c r="G6" s="3649" t="s">
        <v>63</v>
      </c>
      <c r="H6" s="3650"/>
      <c r="I6" s="3649" t="s">
        <v>63</v>
      </c>
      <c r="J6" s="3650"/>
      <c r="K6" s="187" t="s">
        <v>117</v>
      </c>
      <c r="L6" s="2293"/>
      <c r="M6" s="2294"/>
      <c r="N6" s="2294"/>
      <c r="O6" s="2294"/>
      <c r="P6" s="3640"/>
      <c r="Q6" s="3641"/>
      <c r="R6" s="3644"/>
      <c r="S6" s="3645"/>
      <c r="T6" s="3646"/>
      <c r="U6" s="3647"/>
      <c r="V6" s="3648"/>
      <c r="W6" s="3648"/>
      <c r="X6" s="1338"/>
      <c r="Y6" s="3646"/>
      <c r="Z6" s="3647"/>
      <c r="AA6" s="3631"/>
      <c r="AB6" s="3648"/>
      <c r="AC6" s="3631"/>
    </row>
    <row r="7" spans="1:29" s="40" customFormat="1" ht="15" thickBot="1">
      <c r="A7" s="1012" t="s">
        <v>64</v>
      </c>
      <c r="B7" s="1013"/>
      <c r="C7" s="1014">
        <f>'数据-取费表'!B2</f>
        <v>42993</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53" t="s">
        <v>64</v>
      </c>
      <c r="Q7" s="3655"/>
      <c r="R7" s="1340" t="s">
        <v>65</v>
      </c>
      <c r="S7" s="1341">
        <f t="shared" ref="S7:S15" si="0">F7</f>
        <v>0</v>
      </c>
      <c r="T7" s="1340" t="s">
        <v>65</v>
      </c>
      <c r="U7" s="1341">
        <f t="shared" ref="U7:U15" si="1">H7</f>
        <v>0</v>
      </c>
      <c r="V7" s="1340" t="s">
        <v>65</v>
      </c>
      <c r="W7" s="1341">
        <f t="shared" ref="W7:W15" si="2">J7</f>
        <v>0</v>
      </c>
      <c r="X7" s="286"/>
      <c r="Y7" s="3653" t="s">
        <v>64</v>
      </c>
      <c r="Z7" s="3654"/>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53" t="s">
        <v>1017</v>
      </c>
      <c r="Q8" s="3654"/>
      <c r="R8" s="1340" t="s">
        <v>65</v>
      </c>
      <c r="S8" s="1341">
        <f t="shared" si="0"/>
        <v>0</v>
      </c>
      <c r="T8" s="1340" t="s">
        <v>65</v>
      </c>
      <c r="U8" s="1341">
        <f t="shared" si="1"/>
        <v>0</v>
      </c>
      <c r="V8" s="1340" t="s">
        <v>65</v>
      </c>
      <c r="W8" s="1341">
        <f t="shared" si="2"/>
        <v>0</v>
      </c>
      <c r="X8" s="286"/>
      <c r="Y8" s="3653" t="s">
        <v>1017</v>
      </c>
      <c r="Z8" s="3654"/>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28" t="s">
        <v>67</v>
      </c>
      <c r="Q9" s="7" t="str">
        <f t="shared" ref="Q9:Q15" si="6">B9</f>
        <v>用途</v>
      </c>
      <c r="R9" s="1340" t="s">
        <v>65</v>
      </c>
      <c r="S9" s="1341">
        <f t="shared" si="0"/>
        <v>100</v>
      </c>
      <c r="T9" s="1340" t="s">
        <v>65</v>
      </c>
      <c r="U9" s="1341">
        <f t="shared" si="1"/>
        <v>100</v>
      </c>
      <c r="V9" s="1340" t="s">
        <v>65</v>
      </c>
      <c r="W9" s="1341">
        <f t="shared" si="2"/>
        <v>100</v>
      </c>
      <c r="X9" s="286"/>
      <c r="Y9" s="3433"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28"/>
      <c r="Q10" s="7" t="str">
        <f t="shared" si="6"/>
        <v>土地使用年限（年）</v>
      </c>
      <c r="R10" s="1340" t="s">
        <v>65</v>
      </c>
      <c r="S10" s="1341">
        <f t="shared" si="0"/>
        <v>100</v>
      </c>
      <c r="T10" s="1340" t="s">
        <v>65</v>
      </c>
      <c r="U10" s="1341">
        <f t="shared" si="1"/>
        <v>100</v>
      </c>
      <c r="V10" s="1340" t="s">
        <v>65</v>
      </c>
      <c r="W10" s="1341">
        <f t="shared" si="2"/>
        <v>100</v>
      </c>
      <c r="X10" s="286"/>
      <c r="Y10" s="3433"/>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28"/>
      <c r="Q11" s="7" t="str">
        <f t="shared" si="6"/>
        <v>容积率</v>
      </c>
      <c r="R11" s="1340" t="s">
        <v>65</v>
      </c>
      <c r="S11" s="1341" t="e">
        <f t="shared" si="0"/>
        <v>#N/A</v>
      </c>
      <c r="T11" s="1340" t="s">
        <v>65</v>
      </c>
      <c r="U11" s="1341" t="e">
        <f t="shared" si="1"/>
        <v>#N/A</v>
      </c>
      <c r="V11" s="1340" t="s">
        <v>65</v>
      </c>
      <c r="W11" s="1341" t="e">
        <f t="shared" si="2"/>
        <v>#N/A</v>
      </c>
      <c r="X11" s="286"/>
      <c r="Y11" s="3433"/>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28"/>
      <c r="Q12" s="7">
        <f t="shared" si="6"/>
        <v>111</v>
      </c>
      <c r="R12" s="1340" t="s">
        <v>65</v>
      </c>
      <c r="S12" s="1341">
        <f t="shared" si="0"/>
        <v>100</v>
      </c>
      <c r="T12" s="1340" t="s">
        <v>65</v>
      </c>
      <c r="U12" s="1341">
        <f t="shared" si="1"/>
        <v>100</v>
      </c>
      <c r="V12" s="1340" t="s">
        <v>65</v>
      </c>
      <c r="W12" s="1341">
        <f t="shared" si="2"/>
        <v>100</v>
      </c>
      <c r="X12" s="286"/>
      <c r="Y12" s="3433"/>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28"/>
      <c r="Q13" s="7">
        <f t="shared" si="6"/>
        <v>111</v>
      </c>
      <c r="R13" s="1340" t="s">
        <v>65</v>
      </c>
      <c r="S13" s="1341">
        <f t="shared" si="0"/>
        <v>100</v>
      </c>
      <c r="T13" s="1340" t="s">
        <v>65</v>
      </c>
      <c r="U13" s="1341">
        <f t="shared" si="1"/>
        <v>100</v>
      </c>
      <c r="V13" s="1340" t="s">
        <v>65</v>
      </c>
      <c r="W13" s="1341">
        <f t="shared" si="2"/>
        <v>100</v>
      </c>
      <c r="X13" s="286"/>
      <c r="Y13" s="3433"/>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28"/>
      <c r="Q14" s="7">
        <f t="shared" si="6"/>
        <v>111</v>
      </c>
      <c r="R14" s="1340" t="s">
        <v>65</v>
      </c>
      <c r="S14" s="1341">
        <f t="shared" si="0"/>
        <v>100</v>
      </c>
      <c r="T14" s="1340" t="s">
        <v>65</v>
      </c>
      <c r="U14" s="1341">
        <f t="shared" si="1"/>
        <v>100</v>
      </c>
      <c r="V14" s="1340" t="s">
        <v>65</v>
      </c>
      <c r="W14" s="1341">
        <f t="shared" si="2"/>
        <v>100</v>
      </c>
      <c r="X14" s="286"/>
      <c r="Y14" s="3433"/>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26" t="s">
        <v>69</v>
      </c>
      <c r="Q15" s="1349" t="str">
        <f t="shared" si="6"/>
        <v>商业繁华度</v>
      </c>
      <c r="R15" s="1350" t="s">
        <v>65</v>
      </c>
      <c r="S15" s="1351">
        <f t="shared" si="0"/>
        <v>100</v>
      </c>
      <c r="T15" s="1350" t="s">
        <v>65</v>
      </c>
      <c r="U15" s="1351">
        <f t="shared" si="1"/>
        <v>100</v>
      </c>
      <c r="V15" s="1350" t="s">
        <v>65</v>
      </c>
      <c r="W15" s="1351">
        <f t="shared" si="2"/>
        <v>100</v>
      </c>
      <c r="X15" s="1338"/>
      <c r="Y15" s="3619"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27"/>
      <c r="Q16" s="1349"/>
      <c r="R16" s="1350"/>
      <c r="S16" s="1351"/>
      <c r="T16" s="1350"/>
      <c r="U16" s="1351"/>
      <c r="V16" s="1350"/>
      <c r="W16" s="1351"/>
      <c r="X16" s="1338"/>
      <c r="Y16" s="3620"/>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27"/>
      <c r="Q17" s="1349" t="str">
        <f>B17</f>
        <v>交通便捷度</v>
      </c>
      <c r="R17" s="1350" t="s">
        <v>65</v>
      </c>
      <c r="S17" s="1351">
        <f>F17</f>
        <v>100</v>
      </c>
      <c r="T17" s="1350" t="s">
        <v>65</v>
      </c>
      <c r="U17" s="1351">
        <f>H17</f>
        <v>100</v>
      </c>
      <c r="V17" s="1350" t="s">
        <v>65</v>
      </c>
      <c r="W17" s="1351">
        <f>J17</f>
        <v>100</v>
      </c>
      <c r="X17" s="1338"/>
      <c r="Y17" s="362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27"/>
      <c r="Q18" s="1349"/>
      <c r="R18" s="1350"/>
      <c r="S18" s="1351"/>
      <c r="T18" s="1350"/>
      <c r="U18" s="1351"/>
      <c r="V18" s="1350"/>
      <c r="W18" s="1351"/>
      <c r="X18" s="1338"/>
      <c r="Y18" s="3620"/>
      <c r="Z18" s="1352"/>
      <c r="AA18" s="1353">
        <v>1</v>
      </c>
      <c r="AB18" s="1353">
        <v>1</v>
      </c>
      <c r="AC18" s="1353">
        <v>1</v>
      </c>
    </row>
    <row r="19" spans="1:29" ht="40.5">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27"/>
      <c r="Q19" s="1349" t="str">
        <f>B19</f>
        <v>公共配套设施</v>
      </c>
      <c r="R19" s="1350" t="s">
        <v>65</v>
      </c>
      <c r="S19" s="1351">
        <f>F19</f>
        <v>100</v>
      </c>
      <c r="T19" s="1350" t="s">
        <v>65</v>
      </c>
      <c r="U19" s="1351">
        <f>H19</f>
        <v>100</v>
      </c>
      <c r="V19" s="1350" t="s">
        <v>65</v>
      </c>
      <c r="W19" s="1351">
        <f>J19</f>
        <v>100</v>
      </c>
      <c r="X19" s="1338"/>
      <c r="Y19" s="362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27"/>
      <c r="Q20" s="1349"/>
      <c r="R20" s="1350"/>
      <c r="S20" s="1351"/>
      <c r="T20" s="1350"/>
      <c r="U20" s="1351"/>
      <c r="V20" s="1350"/>
      <c r="W20" s="1351"/>
      <c r="X20" s="1338"/>
      <c r="Y20" s="3620"/>
      <c r="Z20" s="1352"/>
      <c r="AA20" s="1353">
        <v>1</v>
      </c>
      <c r="AB20" s="1353">
        <v>1</v>
      </c>
      <c r="AC20" s="1353">
        <v>1</v>
      </c>
    </row>
    <row r="21" spans="1:29" ht="27">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27"/>
      <c r="Q21" s="2744" t="str">
        <f>B21</f>
        <v>基础设施水平</v>
      </c>
      <c r="R21" s="1350" t="s">
        <v>65</v>
      </c>
      <c r="S21" s="1351">
        <f>F21</f>
        <v>100</v>
      </c>
      <c r="T21" s="1350" t="s">
        <v>65</v>
      </c>
      <c r="U21" s="1351">
        <f>H21</f>
        <v>100</v>
      </c>
      <c r="V21" s="1350" t="s">
        <v>65</v>
      </c>
      <c r="W21" s="1351">
        <f>J21</f>
        <v>100</v>
      </c>
      <c r="X21" s="2746"/>
      <c r="Y21" s="3620"/>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27"/>
      <c r="Q22" s="2744"/>
      <c r="R22" s="1350"/>
      <c r="S22" s="1351"/>
      <c r="T22" s="1350"/>
      <c r="U22" s="1351"/>
      <c r="V22" s="1350"/>
      <c r="W22" s="1351"/>
      <c r="X22" s="2746"/>
      <c r="Y22" s="3620"/>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27"/>
      <c r="Q23" s="1349" t="str">
        <f>B23</f>
        <v>自然及人文环境</v>
      </c>
      <c r="R23" s="1350" t="s">
        <v>65</v>
      </c>
      <c r="S23" s="1351">
        <f>F23</f>
        <v>100</v>
      </c>
      <c r="T23" s="1350" t="s">
        <v>65</v>
      </c>
      <c r="U23" s="1351">
        <f>H23</f>
        <v>100</v>
      </c>
      <c r="V23" s="1350" t="s">
        <v>65</v>
      </c>
      <c r="W23" s="1351">
        <f>J23</f>
        <v>100</v>
      </c>
      <c r="X23" s="1338"/>
      <c r="Y23" s="3620"/>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27"/>
      <c r="Q24" s="1349"/>
      <c r="R24" s="1350"/>
      <c r="S24" s="1351"/>
      <c r="T24" s="1350"/>
      <c r="U24" s="1351"/>
      <c r="V24" s="1350"/>
      <c r="W24" s="1351"/>
      <c r="X24" s="1338"/>
      <c r="Y24" s="3620"/>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27"/>
      <c r="Q25" s="1349" t="str">
        <f t="shared" ref="Q25:Q46" si="11">B25</f>
        <v>临街状况</v>
      </c>
      <c r="R25" s="1350" t="s">
        <v>65</v>
      </c>
      <c r="S25" s="1351">
        <f>F25</f>
        <v>100</v>
      </c>
      <c r="T25" s="1350" t="s">
        <v>65</v>
      </c>
      <c r="U25" s="1351">
        <f>H25</f>
        <v>100</v>
      </c>
      <c r="V25" s="1350" t="s">
        <v>65</v>
      </c>
      <c r="W25" s="1351">
        <f>J25</f>
        <v>100</v>
      </c>
      <c r="X25" s="1338"/>
      <c r="Y25" s="3620"/>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27"/>
      <c r="Q26" s="1349" t="str">
        <f t="shared" si="11"/>
        <v>平面位置/可视性</v>
      </c>
      <c r="R26" s="1350" t="s">
        <v>65</v>
      </c>
      <c r="S26" s="1351">
        <f>F26</f>
        <v>100</v>
      </c>
      <c r="T26" s="1350" t="s">
        <v>65</v>
      </c>
      <c r="U26" s="1351">
        <f>H26</f>
        <v>100</v>
      </c>
      <c r="V26" s="1350" t="s">
        <v>65</v>
      </c>
      <c r="W26" s="1351">
        <f>J26</f>
        <v>100</v>
      </c>
      <c r="X26" s="1338"/>
      <c r="Y26" s="3620"/>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27"/>
      <c r="Q27" s="7" t="str">
        <f t="shared" si="11"/>
        <v>人流量</v>
      </c>
      <c r="R27" s="1340" t="s">
        <v>65</v>
      </c>
      <c r="S27" s="1341">
        <f>F27</f>
        <v>100</v>
      </c>
      <c r="T27" s="1340" t="s">
        <v>65</v>
      </c>
      <c r="U27" s="1341">
        <f>H27</f>
        <v>100</v>
      </c>
      <c r="V27" s="1340" t="s">
        <v>65</v>
      </c>
      <c r="W27" s="1341">
        <f>J27</f>
        <v>100</v>
      </c>
      <c r="X27" s="286"/>
      <c r="Y27" s="3620"/>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2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20"/>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27"/>
      <c r="Q29" s="1349">
        <f t="shared" si="11"/>
        <v>111</v>
      </c>
      <c r="R29" s="1350" t="s">
        <v>65</v>
      </c>
      <c r="S29" s="1351">
        <f t="shared" si="12"/>
        <v>100</v>
      </c>
      <c r="T29" s="1350" t="s">
        <v>65</v>
      </c>
      <c r="U29" s="1351">
        <f t="shared" si="13"/>
        <v>100</v>
      </c>
      <c r="V29" s="1350" t="s">
        <v>65</v>
      </c>
      <c r="W29" s="1351">
        <f t="shared" si="14"/>
        <v>100</v>
      </c>
      <c r="X29" s="1338"/>
      <c r="Y29" s="3620"/>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27"/>
      <c r="Q30" s="1349">
        <f t="shared" si="11"/>
        <v>111</v>
      </c>
      <c r="R30" s="1350" t="s">
        <v>65</v>
      </c>
      <c r="S30" s="1351">
        <f t="shared" si="12"/>
        <v>100</v>
      </c>
      <c r="T30" s="1350" t="s">
        <v>65</v>
      </c>
      <c r="U30" s="1351">
        <f t="shared" si="13"/>
        <v>100</v>
      </c>
      <c r="V30" s="1350" t="s">
        <v>65</v>
      </c>
      <c r="W30" s="1351">
        <f t="shared" si="14"/>
        <v>100</v>
      </c>
      <c r="X30" s="1338"/>
      <c r="Y30" s="3620"/>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27"/>
      <c r="Q31" s="1349">
        <f t="shared" si="11"/>
        <v>111</v>
      </c>
      <c r="R31" s="1350" t="s">
        <v>65</v>
      </c>
      <c r="S31" s="1351">
        <f t="shared" si="12"/>
        <v>100</v>
      </c>
      <c r="T31" s="1350" t="s">
        <v>65</v>
      </c>
      <c r="U31" s="1351">
        <f t="shared" si="13"/>
        <v>100</v>
      </c>
      <c r="V31" s="1350" t="s">
        <v>65</v>
      </c>
      <c r="W31" s="1351">
        <f t="shared" si="14"/>
        <v>100</v>
      </c>
      <c r="X31" s="1338"/>
      <c r="Y31" s="3620"/>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21" t="s">
        <v>1024</v>
      </c>
      <c r="Q32" s="1349" t="str">
        <f t="shared" si="11"/>
        <v>商业类型</v>
      </c>
      <c r="R32" s="1350" t="s">
        <v>65</v>
      </c>
      <c r="S32" s="1351">
        <f t="shared" si="12"/>
        <v>100</v>
      </c>
      <c r="T32" s="1350" t="s">
        <v>65</v>
      </c>
      <c r="U32" s="1351">
        <f t="shared" si="13"/>
        <v>100</v>
      </c>
      <c r="V32" s="1350" t="s">
        <v>65</v>
      </c>
      <c r="W32" s="1351">
        <f t="shared" si="14"/>
        <v>100</v>
      </c>
      <c r="X32" s="1338"/>
      <c r="Y32" s="3624"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22"/>
      <c r="Q33" s="1357" t="str">
        <f t="shared" si="11"/>
        <v>项目建筑规模</v>
      </c>
      <c r="R33" s="1358" t="s">
        <v>65</v>
      </c>
      <c r="S33" s="1359" t="e">
        <f t="shared" si="12"/>
        <v>#N/A</v>
      </c>
      <c r="T33" s="1358" t="s">
        <v>65</v>
      </c>
      <c r="U33" s="1359" t="e">
        <f t="shared" si="13"/>
        <v>#N/A</v>
      </c>
      <c r="V33" s="1358" t="s">
        <v>65</v>
      </c>
      <c r="W33" s="1359" t="e">
        <f t="shared" si="14"/>
        <v>#N/A</v>
      </c>
      <c r="X33" s="1360"/>
      <c r="Y33" s="3624"/>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22"/>
      <c r="Q34" s="1349" t="str">
        <f t="shared" si="11"/>
        <v>建筑结构</v>
      </c>
      <c r="R34" s="1350" t="s">
        <v>65</v>
      </c>
      <c r="S34" s="1351">
        <f t="shared" si="12"/>
        <v>100</v>
      </c>
      <c r="T34" s="1350" t="s">
        <v>65</v>
      </c>
      <c r="U34" s="1351">
        <f t="shared" si="13"/>
        <v>100</v>
      </c>
      <c r="V34" s="1350" t="s">
        <v>65</v>
      </c>
      <c r="W34" s="1351">
        <f t="shared" si="14"/>
        <v>100</v>
      </c>
      <c r="X34" s="1338"/>
      <c r="Y34" s="3624"/>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22"/>
      <c r="Q35" s="1349" t="str">
        <f t="shared" si="11"/>
        <v>公共部分装修</v>
      </c>
      <c r="R35" s="1350" t="s">
        <v>65</v>
      </c>
      <c r="S35" s="1351">
        <f t="shared" si="12"/>
        <v>100</v>
      </c>
      <c r="T35" s="1350" t="s">
        <v>65</v>
      </c>
      <c r="U35" s="1351">
        <f t="shared" si="13"/>
        <v>100</v>
      </c>
      <c r="V35" s="1350" t="s">
        <v>65</v>
      </c>
      <c r="W35" s="1351">
        <f t="shared" si="14"/>
        <v>100</v>
      </c>
      <c r="X35" s="1338"/>
      <c r="Y35" s="3624"/>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22"/>
      <c r="Q36" s="1349" t="str">
        <f t="shared" si="11"/>
        <v>成新度</v>
      </c>
      <c r="R36" s="1350" t="s">
        <v>65</v>
      </c>
      <c r="S36" s="1351" t="e">
        <f t="shared" si="12"/>
        <v>#N/A</v>
      </c>
      <c r="T36" s="1350" t="s">
        <v>65</v>
      </c>
      <c r="U36" s="1351" t="e">
        <f t="shared" si="13"/>
        <v>#N/A</v>
      </c>
      <c r="V36" s="1350" t="s">
        <v>65</v>
      </c>
      <c r="W36" s="1351" t="e">
        <f t="shared" si="14"/>
        <v>#N/A</v>
      </c>
      <c r="X36" s="1338"/>
      <c r="Y36" s="3624"/>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22"/>
      <c r="Q37" s="7" t="str">
        <f t="shared" si="11"/>
        <v>市政基础设施</v>
      </c>
      <c r="R37" s="1340" t="s">
        <v>65</v>
      </c>
      <c r="S37" s="1341">
        <f t="shared" si="12"/>
        <v>100</v>
      </c>
      <c r="T37" s="1340" t="s">
        <v>65</v>
      </c>
      <c r="U37" s="1341">
        <f t="shared" si="13"/>
        <v>100</v>
      </c>
      <c r="V37" s="1340" t="s">
        <v>65</v>
      </c>
      <c r="W37" s="1341">
        <f t="shared" si="14"/>
        <v>100</v>
      </c>
      <c r="X37" s="286"/>
      <c r="Y37" s="3624"/>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22" t="s">
        <v>1027</v>
      </c>
      <c r="Q38" s="1349" t="str">
        <f t="shared" si="11"/>
        <v>业态</v>
      </c>
      <c r="R38" s="1350" t="s">
        <v>65</v>
      </c>
      <c r="S38" s="1351">
        <f t="shared" si="12"/>
        <v>100</v>
      </c>
      <c r="T38" s="1350" t="s">
        <v>65</v>
      </c>
      <c r="U38" s="1351">
        <f t="shared" si="13"/>
        <v>100</v>
      </c>
      <c r="V38" s="1350" t="s">
        <v>65</v>
      </c>
      <c r="W38" s="1351">
        <f t="shared" si="14"/>
        <v>100</v>
      </c>
      <c r="X38" s="1338"/>
      <c r="Y38" s="3624"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22"/>
      <c r="Q39" s="1349" t="str">
        <f t="shared" si="11"/>
        <v>层高</v>
      </c>
      <c r="R39" s="1350" t="s">
        <v>65</v>
      </c>
      <c r="S39" s="1351">
        <f t="shared" si="12"/>
        <v>100</v>
      </c>
      <c r="T39" s="1350" t="s">
        <v>65</v>
      </c>
      <c r="U39" s="1351">
        <f t="shared" si="13"/>
        <v>100</v>
      </c>
      <c r="V39" s="1350" t="s">
        <v>65</v>
      </c>
      <c r="W39" s="1351">
        <f t="shared" si="14"/>
        <v>100</v>
      </c>
      <c r="X39" s="1338"/>
      <c r="Y39" s="3624"/>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22"/>
      <c r="Q40" s="1349" t="str">
        <f t="shared" si="11"/>
        <v>单套建筑面积</v>
      </c>
      <c r="R40" s="1350" t="s">
        <v>65</v>
      </c>
      <c r="S40" s="1351">
        <f t="shared" si="12"/>
        <v>100</v>
      </c>
      <c r="T40" s="1350" t="s">
        <v>65</v>
      </c>
      <c r="U40" s="1351">
        <f t="shared" si="13"/>
        <v>100</v>
      </c>
      <c r="V40" s="1350" t="s">
        <v>65</v>
      </c>
      <c r="W40" s="1351">
        <f t="shared" si="14"/>
        <v>100</v>
      </c>
      <c r="X40" s="1338"/>
      <c r="Y40" s="3624"/>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22"/>
      <c r="Q41" s="1357" t="str">
        <f t="shared" si="11"/>
        <v>进深比</v>
      </c>
      <c r="R41" s="1358" t="s">
        <v>65</v>
      </c>
      <c r="S41" s="1359">
        <f t="shared" si="12"/>
        <v>100</v>
      </c>
      <c r="T41" s="1358" t="s">
        <v>65</v>
      </c>
      <c r="U41" s="1359">
        <f t="shared" si="13"/>
        <v>100</v>
      </c>
      <c r="V41" s="1358" t="s">
        <v>65</v>
      </c>
      <c r="W41" s="1359">
        <f t="shared" si="14"/>
        <v>100</v>
      </c>
      <c r="X41" s="1360"/>
      <c r="Y41" s="3624"/>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22"/>
      <c r="Q42" s="1349" t="str">
        <f t="shared" si="11"/>
        <v>内部装修</v>
      </c>
      <c r="R42" s="1350" t="s">
        <v>65</v>
      </c>
      <c r="S42" s="1351">
        <f t="shared" si="12"/>
        <v>100</v>
      </c>
      <c r="T42" s="1350" t="s">
        <v>65</v>
      </c>
      <c r="U42" s="1351">
        <f t="shared" si="13"/>
        <v>100</v>
      </c>
      <c r="V42" s="1350" t="s">
        <v>65</v>
      </c>
      <c r="W42" s="1351">
        <f t="shared" si="14"/>
        <v>100</v>
      </c>
      <c r="X42" s="1338"/>
      <c r="Y42" s="3624"/>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22"/>
      <c r="Q43" s="1349" t="str">
        <f t="shared" si="11"/>
        <v>内部装修维护情况</v>
      </c>
      <c r="R43" s="1350" t="s">
        <v>65</v>
      </c>
      <c r="S43" s="1351">
        <f t="shared" si="12"/>
        <v>100</v>
      </c>
      <c r="T43" s="1350" t="s">
        <v>65</v>
      </c>
      <c r="U43" s="1351">
        <f t="shared" si="13"/>
        <v>100</v>
      </c>
      <c r="V43" s="1350" t="s">
        <v>65</v>
      </c>
      <c r="W43" s="1351">
        <f t="shared" si="14"/>
        <v>100</v>
      </c>
      <c r="X43" s="1338"/>
      <c r="Y43" s="3624"/>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22"/>
      <c r="Q44" s="7">
        <f t="shared" si="11"/>
        <v>111</v>
      </c>
      <c r="R44" s="1340" t="s">
        <v>65</v>
      </c>
      <c r="S44" s="1341">
        <f t="shared" si="12"/>
        <v>100</v>
      </c>
      <c r="T44" s="1340" t="s">
        <v>65</v>
      </c>
      <c r="U44" s="1341">
        <f t="shared" si="13"/>
        <v>100</v>
      </c>
      <c r="V44" s="1340" t="s">
        <v>65</v>
      </c>
      <c r="W44" s="1341">
        <f t="shared" si="14"/>
        <v>100</v>
      </c>
      <c r="X44" s="286"/>
      <c r="Y44" s="3624"/>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22"/>
      <c r="Q45" s="1349">
        <f t="shared" si="11"/>
        <v>111</v>
      </c>
      <c r="R45" s="1350" t="s">
        <v>65</v>
      </c>
      <c r="S45" s="1351">
        <f t="shared" si="12"/>
        <v>100</v>
      </c>
      <c r="T45" s="1350" t="s">
        <v>65</v>
      </c>
      <c r="U45" s="1351">
        <f t="shared" si="13"/>
        <v>100</v>
      </c>
      <c r="V45" s="1350" t="s">
        <v>65</v>
      </c>
      <c r="W45" s="1351">
        <f t="shared" si="14"/>
        <v>100</v>
      </c>
      <c r="X45" s="1338"/>
      <c r="Y45" s="3624"/>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23"/>
      <c r="Q46" s="1349">
        <f t="shared" si="11"/>
        <v>111</v>
      </c>
      <c r="R46" s="1350" t="s">
        <v>65</v>
      </c>
      <c r="S46" s="1351">
        <f t="shared" si="12"/>
        <v>100</v>
      </c>
      <c r="T46" s="1350" t="s">
        <v>65</v>
      </c>
      <c r="U46" s="1351">
        <f t="shared" si="13"/>
        <v>100</v>
      </c>
      <c r="V46" s="1350" t="s">
        <v>65</v>
      </c>
      <c r="W46" s="1351">
        <f t="shared" si="14"/>
        <v>100</v>
      </c>
      <c r="X46" s="1338"/>
      <c r="Y46" s="3625"/>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17" t="str">
        <f>A47</f>
        <v>成交单价（元/平方米）</v>
      </c>
      <c r="Q47" s="3617"/>
      <c r="R47" s="3648">
        <f>E47</f>
        <v>0</v>
      </c>
      <c r="S47" s="3648"/>
      <c r="T47" s="3648">
        <f>G47</f>
        <v>0</v>
      </c>
      <c r="U47" s="3648"/>
      <c r="V47" s="3648">
        <f>I47</f>
        <v>0</v>
      </c>
      <c r="W47" s="3648"/>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63"/>
      <c r="Y48" s="1363"/>
      <c r="Z48" s="1363"/>
      <c r="AA48" s="1363"/>
      <c r="AB48" s="1363"/>
      <c r="AC48" s="1363"/>
    </row>
    <row r="49" spans="1:29" ht="15.75" thickBot="1">
      <c r="A49" s="115" t="s">
        <v>3005</v>
      </c>
      <c r="B49" s="116"/>
      <c r="C49" s="2841" t="e">
        <f>R49</f>
        <v>#DIV/0!</v>
      </c>
      <c r="D49" s="2841"/>
      <c r="E49" s="2841"/>
      <c r="F49" s="2841"/>
      <c r="G49" s="2841"/>
      <c r="H49" s="2841"/>
      <c r="I49" s="2841"/>
      <c r="J49" s="2841"/>
      <c r="K49" s="1393"/>
      <c r="L49" s="2301"/>
      <c r="M49" s="2302"/>
      <c r="N49" s="2294"/>
      <c r="O49" s="2302"/>
      <c r="P49" s="3614" t="str">
        <f>A49</f>
        <v>估价对象XX用房的比较价值（楼面单价，元/平方米）</v>
      </c>
      <c r="Q49" s="3615"/>
      <c r="R49" s="3616" t="e">
        <f>IF(F1="售价",ROUND(AVERAGE(R48:V48),0),ROUND(AVERAGE(R48:V48),1))</f>
        <v>#DIV/0!</v>
      </c>
      <c r="S49" s="3616"/>
      <c r="T49" s="3616"/>
      <c r="U49" s="3616"/>
      <c r="V49" s="3616"/>
      <c r="W49" s="3616"/>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2784</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2" t="s">
        <v>1072</v>
      </c>
      <c r="D4" s="3633"/>
      <c r="E4" s="3634" t="s">
        <v>1073</v>
      </c>
      <c r="F4" s="3635"/>
      <c r="G4" s="3632" t="s">
        <v>1074</v>
      </c>
      <c r="H4" s="3633"/>
      <c r="I4" s="3632" t="s">
        <v>1075</v>
      </c>
      <c r="J4" s="3633"/>
      <c r="K4" s="187" t="s">
        <v>1076</v>
      </c>
      <c r="L4" s="2293"/>
      <c r="M4" s="2294"/>
      <c r="N4" s="2294"/>
      <c r="O4" s="2294"/>
      <c r="P4" s="3666" t="s">
        <v>1071</v>
      </c>
      <c r="Q4" s="3667"/>
      <c r="R4" s="3670" t="s">
        <v>1073</v>
      </c>
      <c r="S4" s="3671"/>
      <c r="T4" s="3670" t="s">
        <v>1074</v>
      </c>
      <c r="U4" s="3671"/>
      <c r="V4" s="3672" t="s">
        <v>1075</v>
      </c>
      <c r="W4" s="3672"/>
      <c r="X4" s="2333"/>
      <c r="Y4" s="3670" t="s">
        <v>1071</v>
      </c>
      <c r="Z4" s="3671"/>
      <c r="AA4" s="3674" t="s">
        <v>1073</v>
      </c>
      <c r="AB4" s="3674" t="s">
        <v>1074</v>
      </c>
      <c r="AC4" s="3663" t="s">
        <v>1075</v>
      </c>
    </row>
    <row r="5" spans="1:29">
      <c r="A5" s="146"/>
      <c r="B5" s="147"/>
      <c r="C5" s="3651" t="s">
        <v>1077</v>
      </c>
      <c r="D5" s="3652"/>
      <c r="E5" s="3658" t="s">
        <v>1078</v>
      </c>
      <c r="F5" s="3659"/>
      <c r="G5" s="3651" t="s">
        <v>1079</v>
      </c>
      <c r="H5" s="3652"/>
      <c r="I5" s="3651" t="s">
        <v>1080</v>
      </c>
      <c r="J5" s="3652"/>
      <c r="K5" s="187"/>
      <c r="L5" s="2293"/>
      <c r="M5" s="2294"/>
      <c r="N5" s="2294"/>
      <c r="O5" s="2294"/>
      <c r="P5" s="3668"/>
      <c r="Q5" s="3639"/>
      <c r="R5" s="3644"/>
      <c r="S5" s="3645"/>
      <c r="T5" s="3644"/>
      <c r="U5" s="3645"/>
      <c r="V5" s="3648"/>
      <c r="W5" s="3648"/>
      <c r="X5" s="2219"/>
      <c r="Y5" s="3644"/>
      <c r="Z5" s="3645"/>
      <c r="AA5" s="3630"/>
      <c r="AB5" s="3630"/>
      <c r="AC5" s="3664"/>
    </row>
    <row r="6" spans="1:29" ht="14.25" thickBot="1">
      <c r="A6" s="148"/>
      <c r="B6" s="149"/>
      <c r="C6" s="3649" t="s">
        <v>1081</v>
      </c>
      <c r="D6" s="3650"/>
      <c r="E6" s="3656" t="s">
        <v>1081</v>
      </c>
      <c r="F6" s="3657"/>
      <c r="G6" s="3649" t="s">
        <v>1081</v>
      </c>
      <c r="H6" s="3650"/>
      <c r="I6" s="3649" t="s">
        <v>1081</v>
      </c>
      <c r="J6" s="3650"/>
      <c r="K6" s="187" t="s">
        <v>1082</v>
      </c>
      <c r="L6" s="2293"/>
      <c r="M6" s="2294"/>
      <c r="N6" s="2294"/>
      <c r="O6" s="2294"/>
      <c r="P6" s="3669"/>
      <c r="Q6" s="3641"/>
      <c r="R6" s="3644"/>
      <c r="S6" s="3645"/>
      <c r="T6" s="3646"/>
      <c r="U6" s="3647"/>
      <c r="V6" s="3648"/>
      <c r="W6" s="3648"/>
      <c r="X6" s="2219"/>
      <c r="Y6" s="3646"/>
      <c r="Z6" s="3647"/>
      <c r="AA6" s="3631"/>
      <c r="AB6" s="3631"/>
      <c r="AC6" s="3665"/>
    </row>
    <row r="7" spans="1:29" s="40" customFormat="1" ht="15" thickBot="1">
      <c r="A7" s="1012" t="s">
        <v>1083</v>
      </c>
      <c r="B7" s="1013"/>
      <c r="C7" s="751">
        <f>'数据-取费表'!B2</f>
        <v>42993</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3" t="s">
        <v>1083</v>
      </c>
      <c r="Q7" s="3655"/>
      <c r="R7" s="1340" t="s">
        <v>65</v>
      </c>
      <c r="S7" s="1341">
        <f t="shared" ref="S7:S15" si="0">F7</f>
        <v>0</v>
      </c>
      <c r="T7" s="1340" t="s">
        <v>65</v>
      </c>
      <c r="U7" s="1341">
        <f t="shared" ref="U7:U15" si="1">H7</f>
        <v>0</v>
      </c>
      <c r="V7" s="1340" t="s">
        <v>65</v>
      </c>
      <c r="W7" s="1341">
        <f t="shared" ref="W7:W15" si="2">J7</f>
        <v>0</v>
      </c>
      <c r="X7" s="286"/>
      <c r="Y7" s="3653" t="s">
        <v>1083</v>
      </c>
      <c r="Z7" s="3654"/>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3" t="s">
        <v>1017</v>
      </c>
      <c r="Q8" s="3654"/>
      <c r="R8" s="1340" t="s">
        <v>65</v>
      </c>
      <c r="S8" s="1341">
        <f t="shared" si="0"/>
        <v>0</v>
      </c>
      <c r="T8" s="1340" t="s">
        <v>65</v>
      </c>
      <c r="U8" s="1341">
        <f t="shared" si="1"/>
        <v>0</v>
      </c>
      <c r="V8" s="1340" t="s">
        <v>65</v>
      </c>
      <c r="W8" s="1341">
        <f t="shared" si="2"/>
        <v>0</v>
      </c>
      <c r="X8" s="286"/>
      <c r="Y8" s="3653" t="s">
        <v>1017</v>
      </c>
      <c r="Z8" s="3654"/>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28" t="s">
        <v>67</v>
      </c>
      <c r="Q9" s="2210" t="str">
        <f t="shared" ref="Q9:Q15" si="6">B9</f>
        <v>用途</v>
      </c>
      <c r="R9" s="1340" t="s">
        <v>65</v>
      </c>
      <c r="S9" s="1341">
        <f t="shared" si="0"/>
        <v>100</v>
      </c>
      <c r="T9" s="1340" t="s">
        <v>65</v>
      </c>
      <c r="U9" s="1341">
        <f t="shared" si="1"/>
        <v>100</v>
      </c>
      <c r="V9" s="1340" t="s">
        <v>65</v>
      </c>
      <c r="W9" s="1341">
        <f t="shared" si="2"/>
        <v>100</v>
      </c>
      <c r="X9" s="286"/>
      <c r="Y9" s="3433"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28"/>
      <c r="Q10" s="2210" t="str">
        <f t="shared" si="6"/>
        <v>土地使用年限（年）</v>
      </c>
      <c r="R10" s="1340" t="s">
        <v>65</v>
      </c>
      <c r="S10" s="1341">
        <f t="shared" si="0"/>
        <v>100</v>
      </c>
      <c r="T10" s="1340" t="s">
        <v>65</v>
      </c>
      <c r="U10" s="1341">
        <f t="shared" si="1"/>
        <v>100</v>
      </c>
      <c r="V10" s="1340" t="s">
        <v>65</v>
      </c>
      <c r="W10" s="1341">
        <f t="shared" si="2"/>
        <v>100</v>
      </c>
      <c r="X10" s="286"/>
      <c r="Y10" s="3433"/>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28"/>
      <c r="Q11" s="2210" t="str">
        <f t="shared" si="6"/>
        <v>容积率</v>
      </c>
      <c r="R11" s="1340" t="s">
        <v>65</v>
      </c>
      <c r="S11" s="1341" t="e">
        <f t="shared" si="0"/>
        <v>#N/A</v>
      </c>
      <c r="T11" s="1340" t="s">
        <v>65</v>
      </c>
      <c r="U11" s="1341" t="e">
        <f t="shared" si="1"/>
        <v>#N/A</v>
      </c>
      <c r="V11" s="1340" t="s">
        <v>65</v>
      </c>
      <c r="W11" s="1341" t="e">
        <f t="shared" si="2"/>
        <v>#N/A</v>
      </c>
      <c r="X11" s="286"/>
      <c r="Y11" s="3433"/>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28"/>
      <c r="Q12" s="2210">
        <f t="shared" si="6"/>
        <v>111</v>
      </c>
      <c r="R12" s="1340" t="s">
        <v>65</v>
      </c>
      <c r="S12" s="1341">
        <f t="shared" si="0"/>
        <v>100</v>
      </c>
      <c r="T12" s="1340" t="s">
        <v>65</v>
      </c>
      <c r="U12" s="1341">
        <f t="shared" si="1"/>
        <v>100</v>
      </c>
      <c r="V12" s="1340" t="s">
        <v>65</v>
      </c>
      <c r="W12" s="1341">
        <f t="shared" si="2"/>
        <v>100</v>
      </c>
      <c r="X12" s="286"/>
      <c r="Y12" s="3433"/>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28"/>
      <c r="Q13" s="2210">
        <f t="shared" si="6"/>
        <v>111</v>
      </c>
      <c r="R13" s="1340" t="s">
        <v>65</v>
      </c>
      <c r="S13" s="1341">
        <f t="shared" si="0"/>
        <v>100</v>
      </c>
      <c r="T13" s="1340" t="s">
        <v>65</v>
      </c>
      <c r="U13" s="1341">
        <f t="shared" si="1"/>
        <v>100</v>
      </c>
      <c r="V13" s="1340" t="s">
        <v>65</v>
      </c>
      <c r="W13" s="1341">
        <f t="shared" si="2"/>
        <v>100</v>
      </c>
      <c r="X13" s="286"/>
      <c r="Y13" s="3433"/>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28"/>
      <c r="Q14" s="2210">
        <f t="shared" si="6"/>
        <v>111</v>
      </c>
      <c r="R14" s="1340" t="s">
        <v>65</v>
      </c>
      <c r="S14" s="1341">
        <f t="shared" si="0"/>
        <v>100</v>
      </c>
      <c r="T14" s="1340" t="s">
        <v>65</v>
      </c>
      <c r="U14" s="1341">
        <f t="shared" si="1"/>
        <v>100</v>
      </c>
      <c r="V14" s="1340" t="s">
        <v>65</v>
      </c>
      <c r="W14" s="1341">
        <f t="shared" si="2"/>
        <v>100</v>
      </c>
      <c r="X14" s="286"/>
      <c r="Y14" s="3433"/>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26" t="s">
        <v>69</v>
      </c>
      <c r="Q15" s="2217" t="str">
        <f t="shared" si="6"/>
        <v>办公集聚程度</v>
      </c>
      <c r="R15" s="1350" t="s">
        <v>65</v>
      </c>
      <c r="S15" s="1351">
        <f t="shared" si="0"/>
        <v>100</v>
      </c>
      <c r="T15" s="1350" t="s">
        <v>65</v>
      </c>
      <c r="U15" s="1351">
        <f t="shared" si="1"/>
        <v>100</v>
      </c>
      <c r="V15" s="1350" t="s">
        <v>65</v>
      </c>
      <c r="W15" s="1351">
        <f t="shared" si="2"/>
        <v>100</v>
      </c>
      <c r="X15" s="2219"/>
      <c r="Y15" s="3619"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27"/>
      <c r="Q16" s="2217"/>
      <c r="R16" s="1350"/>
      <c r="S16" s="1351"/>
      <c r="T16" s="1350"/>
      <c r="U16" s="1351"/>
      <c r="V16" s="1350"/>
      <c r="W16" s="1351"/>
      <c r="X16" s="2219"/>
      <c r="Y16" s="3620"/>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27"/>
      <c r="Q17" s="2217" t="str">
        <f>B17</f>
        <v>交通便捷度</v>
      </c>
      <c r="R17" s="1350" t="s">
        <v>65</v>
      </c>
      <c r="S17" s="1351">
        <f>F17</f>
        <v>100</v>
      </c>
      <c r="T17" s="1350" t="s">
        <v>65</v>
      </c>
      <c r="U17" s="1351">
        <f>H17</f>
        <v>100</v>
      </c>
      <c r="V17" s="1350" t="s">
        <v>65</v>
      </c>
      <c r="W17" s="1351">
        <f>J17</f>
        <v>100</v>
      </c>
      <c r="X17" s="2219"/>
      <c r="Y17" s="3620"/>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27"/>
      <c r="Q18" s="2217"/>
      <c r="R18" s="1350"/>
      <c r="S18" s="1351"/>
      <c r="T18" s="1350"/>
      <c r="U18" s="1351"/>
      <c r="V18" s="1350"/>
      <c r="W18" s="1351"/>
      <c r="X18" s="2219"/>
      <c r="Y18" s="3620"/>
      <c r="Z18" s="2218"/>
      <c r="AA18" s="1353">
        <v>1</v>
      </c>
      <c r="AB18" s="1353">
        <v>1</v>
      </c>
      <c r="AC18" s="2335">
        <v>1</v>
      </c>
    </row>
    <row r="19" spans="1:29" ht="40.5">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27"/>
      <c r="Q19" s="2217" t="str">
        <f>B19</f>
        <v>公共配套设施</v>
      </c>
      <c r="R19" s="1350" t="s">
        <v>65</v>
      </c>
      <c r="S19" s="1351">
        <f>F19</f>
        <v>100</v>
      </c>
      <c r="T19" s="1350" t="s">
        <v>65</v>
      </c>
      <c r="U19" s="1351">
        <f>H19</f>
        <v>100</v>
      </c>
      <c r="V19" s="1350" t="s">
        <v>65</v>
      </c>
      <c r="W19" s="1351">
        <f>J19</f>
        <v>100</v>
      </c>
      <c r="X19" s="2219"/>
      <c r="Y19" s="3620"/>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27"/>
      <c r="Q20" s="2217"/>
      <c r="R20" s="1350"/>
      <c r="S20" s="1351"/>
      <c r="T20" s="1350"/>
      <c r="U20" s="1351"/>
      <c r="V20" s="1350"/>
      <c r="W20" s="1351"/>
      <c r="X20" s="2219"/>
      <c r="Y20" s="3620"/>
      <c r="Z20" s="2218"/>
      <c r="AA20" s="1353">
        <v>1</v>
      </c>
      <c r="AB20" s="1353">
        <v>1</v>
      </c>
      <c r="AC20" s="2335">
        <v>1</v>
      </c>
    </row>
    <row r="21" spans="1:29" ht="27">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27"/>
      <c r="Q21" s="2744" t="str">
        <f>B21</f>
        <v>基础设施水平</v>
      </c>
      <c r="R21" s="1350" t="s">
        <v>65</v>
      </c>
      <c r="S21" s="1351">
        <f>F21</f>
        <v>100</v>
      </c>
      <c r="T21" s="1350" t="s">
        <v>65</v>
      </c>
      <c r="U21" s="1351">
        <f>H21</f>
        <v>100</v>
      </c>
      <c r="V21" s="1350" t="s">
        <v>65</v>
      </c>
      <c r="W21" s="1351">
        <f>J21</f>
        <v>100</v>
      </c>
      <c r="X21" s="2746"/>
      <c r="Y21" s="3620"/>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27"/>
      <c r="Q22" s="2744"/>
      <c r="R22" s="1350"/>
      <c r="S22" s="1351"/>
      <c r="T22" s="1350"/>
      <c r="U22" s="1351"/>
      <c r="V22" s="1350"/>
      <c r="W22" s="1351"/>
      <c r="X22" s="2746"/>
      <c r="Y22" s="3620"/>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27"/>
      <c r="Q23" s="2217" t="str">
        <f>B23</f>
        <v>环境质量</v>
      </c>
      <c r="R23" s="1350" t="s">
        <v>65</v>
      </c>
      <c r="S23" s="1351">
        <f>F23</f>
        <v>100</v>
      </c>
      <c r="T23" s="1350" t="s">
        <v>65</v>
      </c>
      <c r="U23" s="1351">
        <f>H23</f>
        <v>100</v>
      </c>
      <c r="V23" s="1350" t="s">
        <v>65</v>
      </c>
      <c r="W23" s="1351">
        <f>J23</f>
        <v>100</v>
      </c>
      <c r="X23" s="2219"/>
      <c r="Y23" s="3620"/>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27"/>
      <c r="Q24" s="2217"/>
      <c r="R24" s="1350"/>
      <c r="S24" s="1351"/>
      <c r="T24" s="1350"/>
      <c r="U24" s="1351"/>
      <c r="V24" s="1350"/>
      <c r="W24" s="1351"/>
      <c r="X24" s="2219"/>
      <c r="Y24" s="3620"/>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27"/>
      <c r="Q25" s="2217" t="str">
        <f>B25</f>
        <v>毗邻道路的类型与等级</v>
      </c>
      <c r="R25" s="1350" t="s">
        <v>65</v>
      </c>
      <c r="S25" s="1351">
        <f>F25</f>
        <v>100</v>
      </c>
      <c r="T25" s="1350" t="s">
        <v>65</v>
      </c>
      <c r="U25" s="1351">
        <f>H25</f>
        <v>100</v>
      </c>
      <c r="V25" s="1350" t="s">
        <v>65</v>
      </c>
      <c r="W25" s="1351">
        <f>J25</f>
        <v>100</v>
      </c>
      <c r="X25" s="2219"/>
      <c r="Y25" s="3620"/>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27"/>
      <c r="Q26" s="2217"/>
      <c r="R26" s="1350"/>
      <c r="S26" s="1351"/>
      <c r="T26" s="1350"/>
      <c r="U26" s="1351"/>
      <c r="V26" s="1350"/>
      <c r="W26" s="1351"/>
      <c r="X26" s="2219"/>
      <c r="Y26" s="3620"/>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27"/>
      <c r="Q27" s="2217" t="str">
        <f t="shared" ref="Q27:Q47" si="11">B27</f>
        <v>楼层</v>
      </c>
      <c r="R27" s="1350" t="s">
        <v>65</v>
      </c>
      <c r="S27" s="1351">
        <f>F27</f>
        <v>100</v>
      </c>
      <c r="T27" s="1350" t="s">
        <v>65</v>
      </c>
      <c r="U27" s="1351">
        <f>H27</f>
        <v>100</v>
      </c>
      <c r="V27" s="1350" t="s">
        <v>65</v>
      </c>
      <c r="W27" s="1351">
        <f>J27</f>
        <v>100</v>
      </c>
      <c r="X27" s="2219"/>
      <c r="Y27" s="3620"/>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27"/>
      <c r="Q28" s="2210" t="str">
        <f t="shared" si="11"/>
        <v>朝向</v>
      </c>
      <c r="R28" s="1340" t="s">
        <v>65</v>
      </c>
      <c r="S28" s="1341">
        <f>F28</f>
        <v>100</v>
      </c>
      <c r="T28" s="1340" t="s">
        <v>65</v>
      </c>
      <c r="U28" s="1341">
        <f>H28</f>
        <v>100</v>
      </c>
      <c r="V28" s="1340" t="s">
        <v>65</v>
      </c>
      <c r="W28" s="1341">
        <f>J28</f>
        <v>100</v>
      </c>
      <c r="X28" s="286"/>
      <c r="Y28" s="3620"/>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27"/>
      <c r="Q29" s="2217">
        <f t="shared" si="11"/>
        <v>111</v>
      </c>
      <c r="R29" s="1350" t="s">
        <v>65</v>
      </c>
      <c r="S29" s="1351">
        <f t="shared" ref="S29:S47" si="12">F29</f>
        <v>100</v>
      </c>
      <c r="T29" s="1350" t="s">
        <v>65</v>
      </c>
      <c r="U29" s="1351">
        <f t="shared" ref="U29:U47" si="13">H29</f>
        <v>100</v>
      </c>
      <c r="V29" s="1350" t="s">
        <v>65</v>
      </c>
      <c r="W29" s="1351">
        <f t="shared" ref="W29:W47" si="14">J29</f>
        <v>100</v>
      </c>
      <c r="X29" s="2219"/>
      <c r="Y29" s="3620"/>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27"/>
      <c r="Q30" s="2217">
        <f t="shared" si="11"/>
        <v>111</v>
      </c>
      <c r="R30" s="1350" t="s">
        <v>65</v>
      </c>
      <c r="S30" s="1351">
        <f t="shared" si="12"/>
        <v>100</v>
      </c>
      <c r="T30" s="1350" t="s">
        <v>65</v>
      </c>
      <c r="U30" s="1351">
        <f t="shared" si="13"/>
        <v>100</v>
      </c>
      <c r="V30" s="1350" t="s">
        <v>65</v>
      </c>
      <c r="W30" s="1351">
        <f t="shared" si="14"/>
        <v>100</v>
      </c>
      <c r="X30" s="2219"/>
      <c r="Y30" s="3620"/>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27"/>
      <c r="Q31" s="2217">
        <f t="shared" si="11"/>
        <v>111</v>
      </c>
      <c r="R31" s="1350" t="s">
        <v>65</v>
      </c>
      <c r="S31" s="1351">
        <f t="shared" si="12"/>
        <v>100</v>
      </c>
      <c r="T31" s="1350" t="s">
        <v>65</v>
      </c>
      <c r="U31" s="1351">
        <f t="shared" si="13"/>
        <v>100</v>
      </c>
      <c r="V31" s="1350" t="s">
        <v>65</v>
      </c>
      <c r="W31" s="1351">
        <f t="shared" si="14"/>
        <v>100</v>
      </c>
      <c r="X31" s="2219"/>
      <c r="Y31" s="3620"/>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27"/>
      <c r="Q32" s="2217">
        <f t="shared" si="11"/>
        <v>111</v>
      </c>
      <c r="R32" s="1350" t="s">
        <v>65</v>
      </c>
      <c r="S32" s="1351">
        <f t="shared" si="12"/>
        <v>100</v>
      </c>
      <c r="T32" s="1350" t="s">
        <v>65</v>
      </c>
      <c r="U32" s="1351">
        <f t="shared" si="13"/>
        <v>100</v>
      </c>
      <c r="V32" s="1350" t="s">
        <v>65</v>
      </c>
      <c r="W32" s="1351">
        <f t="shared" si="14"/>
        <v>100</v>
      </c>
      <c r="X32" s="2219"/>
      <c r="Y32" s="3620"/>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21" t="s">
        <v>1089</v>
      </c>
      <c r="Q33" s="2217" t="str">
        <f t="shared" si="11"/>
        <v>建筑类型</v>
      </c>
      <c r="R33" s="1350" t="s">
        <v>65</v>
      </c>
      <c r="S33" s="1351">
        <f t="shared" si="12"/>
        <v>100</v>
      </c>
      <c r="T33" s="1350" t="s">
        <v>65</v>
      </c>
      <c r="U33" s="1351">
        <f t="shared" si="13"/>
        <v>100</v>
      </c>
      <c r="V33" s="1350" t="s">
        <v>65</v>
      </c>
      <c r="W33" s="1351">
        <f t="shared" si="14"/>
        <v>100</v>
      </c>
      <c r="X33" s="2219"/>
      <c r="Y33" s="3624"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22"/>
      <c r="Q34" s="1357" t="str">
        <f t="shared" si="11"/>
        <v>项目建筑规模</v>
      </c>
      <c r="R34" s="1358" t="s">
        <v>65</v>
      </c>
      <c r="S34" s="1359" t="e">
        <f t="shared" si="12"/>
        <v>#N/A</v>
      </c>
      <c r="T34" s="1358" t="s">
        <v>65</v>
      </c>
      <c r="U34" s="1359" t="e">
        <f t="shared" si="13"/>
        <v>#N/A</v>
      </c>
      <c r="V34" s="1358" t="s">
        <v>65</v>
      </c>
      <c r="W34" s="1359" t="e">
        <f t="shared" si="14"/>
        <v>#N/A</v>
      </c>
      <c r="X34" s="1360"/>
      <c r="Y34" s="3624"/>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22"/>
      <c r="Q35" s="2217" t="str">
        <f t="shared" si="11"/>
        <v>建筑结构</v>
      </c>
      <c r="R35" s="1350" t="s">
        <v>65</v>
      </c>
      <c r="S35" s="1351">
        <f t="shared" si="12"/>
        <v>100</v>
      </c>
      <c r="T35" s="1350" t="s">
        <v>65</v>
      </c>
      <c r="U35" s="1351">
        <f t="shared" si="13"/>
        <v>100</v>
      </c>
      <c r="V35" s="1350" t="s">
        <v>65</v>
      </c>
      <c r="W35" s="1351">
        <f t="shared" si="14"/>
        <v>100</v>
      </c>
      <c r="X35" s="2219"/>
      <c r="Y35" s="3624"/>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22"/>
      <c r="Q36" s="2217" t="str">
        <f t="shared" si="11"/>
        <v>公共部分装修</v>
      </c>
      <c r="R36" s="1350" t="s">
        <v>65</v>
      </c>
      <c r="S36" s="1351">
        <f t="shared" si="12"/>
        <v>100</v>
      </c>
      <c r="T36" s="1350" t="s">
        <v>65</v>
      </c>
      <c r="U36" s="1351">
        <f t="shared" si="13"/>
        <v>100</v>
      </c>
      <c r="V36" s="1350" t="s">
        <v>65</v>
      </c>
      <c r="W36" s="1351">
        <f t="shared" si="14"/>
        <v>100</v>
      </c>
      <c r="X36" s="2219"/>
      <c r="Y36" s="3624"/>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22"/>
      <c r="Q37" s="2217" t="str">
        <f t="shared" si="11"/>
        <v>成新度</v>
      </c>
      <c r="R37" s="1350" t="s">
        <v>65</v>
      </c>
      <c r="S37" s="1351" t="e">
        <f t="shared" si="12"/>
        <v>#N/A</v>
      </c>
      <c r="T37" s="1350" t="s">
        <v>65</v>
      </c>
      <c r="U37" s="1351" t="e">
        <f t="shared" si="13"/>
        <v>#N/A</v>
      </c>
      <c r="V37" s="1350" t="s">
        <v>65</v>
      </c>
      <c r="W37" s="1351" t="e">
        <f t="shared" si="14"/>
        <v>#N/A</v>
      </c>
      <c r="X37" s="2219"/>
      <c r="Y37" s="3624"/>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22"/>
      <c r="Q38" s="2210" t="str">
        <f t="shared" si="11"/>
        <v>写字楼等级</v>
      </c>
      <c r="R38" s="1340" t="s">
        <v>65</v>
      </c>
      <c r="S38" s="1341">
        <f t="shared" si="12"/>
        <v>100</v>
      </c>
      <c r="T38" s="1340" t="s">
        <v>65</v>
      </c>
      <c r="U38" s="1341">
        <f t="shared" si="13"/>
        <v>100</v>
      </c>
      <c r="V38" s="1340" t="s">
        <v>65</v>
      </c>
      <c r="W38" s="1341">
        <f t="shared" si="14"/>
        <v>100</v>
      </c>
      <c r="X38" s="286"/>
      <c r="Y38" s="3624"/>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22" t="s">
        <v>70</v>
      </c>
      <c r="Q39" s="2217" t="str">
        <f t="shared" si="11"/>
        <v>物业管理</v>
      </c>
      <c r="R39" s="1350" t="s">
        <v>65</v>
      </c>
      <c r="S39" s="1351">
        <f t="shared" si="12"/>
        <v>100</v>
      </c>
      <c r="T39" s="1350" t="s">
        <v>65</v>
      </c>
      <c r="U39" s="1351">
        <f t="shared" si="13"/>
        <v>100</v>
      </c>
      <c r="V39" s="1350" t="s">
        <v>65</v>
      </c>
      <c r="W39" s="1351">
        <f t="shared" si="14"/>
        <v>100</v>
      </c>
      <c r="X39" s="2219"/>
      <c r="Y39" s="3624"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22"/>
      <c r="Q40" s="2217" t="str">
        <f t="shared" si="11"/>
        <v>市政基础设施</v>
      </c>
      <c r="R40" s="1350" t="s">
        <v>65</v>
      </c>
      <c r="S40" s="1351">
        <f t="shared" si="12"/>
        <v>100</v>
      </c>
      <c r="T40" s="1350" t="s">
        <v>65</v>
      </c>
      <c r="U40" s="1351">
        <f t="shared" si="13"/>
        <v>100</v>
      </c>
      <c r="V40" s="1350" t="s">
        <v>65</v>
      </c>
      <c r="W40" s="1351">
        <f t="shared" si="14"/>
        <v>100</v>
      </c>
      <c r="X40" s="2219"/>
      <c r="Y40" s="3624"/>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22"/>
      <c r="Q41" s="2217" t="str">
        <f t="shared" si="11"/>
        <v>层高</v>
      </c>
      <c r="R41" s="1350" t="s">
        <v>65</v>
      </c>
      <c r="S41" s="1351">
        <f t="shared" si="12"/>
        <v>100</v>
      </c>
      <c r="T41" s="1350" t="s">
        <v>65</v>
      </c>
      <c r="U41" s="1351">
        <f t="shared" si="13"/>
        <v>100</v>
      </c>
      <c r="V41" s="1350" t="s">
        <v>65</v>
      </c>
      <c r="W41" s="1351">
        <f t="shared" si="14"/>
        <v>100</v>
      </c>
      <c r="X41" s="2219"/>
      <c r="Y41" s="3624"/>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22"/>
      <c r="Q42" s="1357" t="str">
        <f t="shared" si="11"/>
        <v>单套建筑面积</v>
      </c>
      <c r="R42" s="1358" t="s">
        <v>65</v>
      </c>
      <c r="S42" s="1359">
        <f t="shared" si="12"/>
        <v>100</v>
      </c>
      <c r="T42" s="1358" t="s">
        <v>65</v>
      </c>
      <c r="U42" s="1359">
        <f t="shared" si="13"/>
        <v>100</v>
      </c>
      <c r="V42" s="1358" t="s">
        <v>65</v>
      </c>
      <c r="W42" s="1359">
        <f t="shared" si="14"/>
        <v>100</v>
      </c>
      <c r="X42" s="1360"/>
      <c r="Y42" s="3624"/>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22"/>
      <c r="Q43" s="2217" t="str">
        <f t="shared" si="11"/>
        <v>内部装修</v>
      </c>
      <c r="R43" s="1350" t="s">
        <v>65</v>
      </c>
      <c r="S43" s="1351">
        <f t="shared" si="12"/>
        <v>100</v>
      </c>
      <c r="T43" s="1350" t="s">
        <v>65</v>
      </c>
      <c r="U43" s="1351">
        <f t="shared" si="13"/>
        <v>100</v>
      </c>
      <c r="V43" s="1350" t="s">
        <v>65</v>
      </c>
      <c r="W43" s="1351">
        <f t="shared" si="14"/>
        <v>100</v>
      </c>
      <c r="X43" s="2219"/>
      <c r="Y43" s="3624"/>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22"/>
      <c r="Q44" s="2217" t="str">
        <f t="shared" si="11"/>
        <v>内部装修维护情况</v>
      </c>
      <c r="R44" s="1350" t="s">
        <v>65</v>
      </c>
      <c r="S44" s="1351">
        <f t="shared" si="12"/>
        <v>100</v>
      </c>
      <c r="T44" s="1350" t="s">
        <v>65</v>
      </c>
      <c r="U44" s="1351">
        <f t="shared" si="13"/>
        <v>100</v>
      </c>
      <c r="V44" s="1350" t="s">
        <v>65</v>
      </c>
      <c r="W44" s="1351">
        <f t="shared" si="14"/>
        <v>100</v>
      </c>
      <c r="X44" s="2219"/>
      <c r="Y44" s="3624"/>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22"/>
      <c r="Q45" s="2210">
        <f t="shared" si="11"/>
        <v>111</v>
      </c>
      <c r="R45" s="1340" t="s">
        <v>65</v>
      </c>
      <c r="S45" s="1341">
        <f t="shared" si="12"/>
        <v>100</v>
      </c>
      <c r="T45" s="1340" t="s">
        <v>65</v>
      </c>
      <c r="U45" s="1341">
        <f t="shared" si="13"/>
        <v>100</v>
      </c>
      <c r="V45" s="1340" t="s">
        <v>65</v>
      </c>
      <c r="W45" s="1341">
        <f t="shared" si="14"/>
        <v>100</v>
      </c>
      <c r="X45" s="286"/>
      <c r="Y45" s="3624"/>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22"/>
      <c r="Q46" s="2217">
        <f t="shared" si="11"/>
        <v>111</v>
      </c>
      <c r="R46" s="1350" t="s">
        <v>65</v>
      </c>
      <c r="S46" s="1351">
        <f t="shared" si="12"/>
        <v>100</v>
      </c>
      <c r="T46" s="1350" t="s">
        <v>65</v>
      </c>
      <c r="U46" s="1351">
        <f t="shared" si="13"/>
        <v>100</v>
      </c>
      <c r="V46" s="1350" t="s">
        <v>65</v>
      </c>
      <c r="W46" s="1351">
        <f t="shared" si="14"/>
        <v>100</v>
      </c>
      <c r="X46" s="2219"/>
      <c r="Y46" s="3624"/>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23"/>
      <c r="Q47" s="2217">
        <f t="shared" si="11"/>
        <v>111</v>
      </c>
      <c r="R47" s="1350" t="s">
        <v>65</v>
      </c>
      <c r="S47" s="1351">
        <f t="shared" si="12"/>
        <v>100</v>
      </c>
      <c r="T47" s="1350" t="s">
        <v>65</v>
      </c>
      <c r="U47" s="1351">
        <f t="shared" si="13"/>
        <v>100</v>
      </c>
      <c r="V47" s="1350" t="s">
        <v>65</v>
      </c>
      <c r="W47" s="1351">
        <f t="shared" si="14"/>
        <v>100</v>
      </c>
      <c r="X47" s="2219"/>
      <c r="Y47" s="3625"/>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28" t="str">
        <f>A48</f>
        <v>成交单价（元/平方米）</v>
      </c>
      <c r="Q48" s="3617"/>
      <c r="R48" s="3618">
        <f>E48</f>
        <v>0</v>
      </c>
      <c r="S48" s="3618"/>
      <c r="T48" s="3618">
        <f>G48</f>
        <v>0</v>
      </c>
      <c r="U48" s="3618"/>
      <c r="V48" s="3618">
        <f>I48</f>
        <v>0</v>
      </c>
      <c r="W48" s="3618"/>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28" t="str">
        <f>A49</f>
        <v>比较价值（元/平方米）</v>
      </c>
      <c r="Q49" s="3617"/>
      <c r="R49" s="3618" t="e">
        <f>IF(F1="售价",ROUND(PRODUCT(R48,AA7:AA47),0),ROUND(PRODUCT(R48,AA7:AA47),1))</f>
        <v>#DIV/0!</v>
      </c>
      <c r="S49" s="3618"/>
      <c r="T49" s="3618" t="e">
        <f>IF(F1="售价",ROUND(PRODUCT(T48,AB7:AB47),0),ROUND(PRODUCT(T48,AB7:AB47),1))</f>
        <v>#DIV/0!</v>
      </c>
      <c r="U49" s="3618"/>
      <c r="V49" s="3618" t="e">
        <f>IF(F1="售价",ROUND(PRODUCT(V48,AC7:AC47),0),ROUND(PRODUCT(V48,AC7:AC47),1))</f>
        <v>#DIV/0!</v>
      </c>
      <c r="W49" s="3618"/>
      <c r="X49" s="156"/>
      <c r="Y49" s="156"/>
      <c r="Z49" s="156"/>
      <c r="AA49" s="156"/>
      <c r="AB49" s="156"/>
      <c r="AC49" s="209"/>
    </row>
    <row r="50" spans="1:29" ht="15.75" thickBot="1">
      <c r="A50" s="115" t="s">
        <v>3005</v>
      </c>
      <c r="B50" s="116"/>
      <c r="C50" s="2841" t="e">
        <f>R50</f>
        <v>#DIV/0!</v>
      </c>
      <c r="D50" s="2841"/>
      <c r="E50" s="2841"/>
      <c r="F50" s="2841"/>
      <c r="G50" s="2841"/>
      <c r="H50" s="2841"/>
      <c r="I50" s="2841"/>
      <c r="J50" s="835"/>
      <c r="K50" s="1393"/>
      <c r="L50" s="2301"/>
      <c r="M50" s="2294"/>
      <c r="N50" s="2294"/>
      <c r="O50" s="2294"/>
      <c r="P50" s="3660" t="str">
        <f>A50</f>
        <v>估价对象XX用房的比较价值（楼面单价，元/平方米）</v>
      </c>
      <c r="Q50" s="3661"/>
      <c r="R50" s="3662" t="e">
        <f>IF(F1="售价",ROUND(AVERAGE(R49:V49),0),ROUND(AVERAGE(R49:V49),1))</f>
        <v>#DIV/0!</v>
      </c>
      <c r="S50" s="3662"/>
      <c r="T50" s="3662"/>
      <c r="U50" s="3662"/>
      <c r="V50" s="3662"/>
      <c r="W50" s="3662"/>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2785</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2" t="s">
        <v>1110</v>
      </c>
      <c r="D4" s="3633"/>
      <c r="E4" s="3634" t="s">
        <v>1111</v>
      </c>
      <c r="F4" s="3635"/>
      <c r="G4" s="3632" t="s">
        <v>1112</v>
      </c>
      <c r="H4" s="3633"/>
      <c r="I4" s="3632" t="s">
        <v>1113</v>
      </c>
      <c r="J4" s="3633"/>
      <c r="K4" s="187" t="s">
        <v>1114</v>
      </c>
      <c r="L4" s="2293"/>
      <c r="M4" s="2294"/>
      <c r="N4" s="2294"/>
      <c r="O4" s="2294"/>
      <c r="P4" s="3636" t="s">
        <v>1109</v>
      </c>
      <c r="Q4" s="3637"/>
      <c r="R4" s="3642" t="s">
        <v>1111</v>
      </c>
      <c r="S4" s="3643"/>
      <c r="T4" s="3642" t="s">
        <v>1112</v>
      </c>
      <c r="U4" s="3643"/>
      <c r="V4" s="3648" t="s">
        <v>1113</v>
      </c>
      <c r="W4" s="3648"/>
      <c r="X4" s="1338"/>
      <c r="Y4" s="3642" t="s">
        <v>1109</v>
      </c>
      <c r="Z4" s="3643"/>
      <c r="AA4" s="3629" t="s">
        <v>1111</v>
      </c>
      <c r="AB4" s="3630" t="s">
        <v>1112</v>
      </c>
      <c r="AC4" s="3629" t="s">
        <v>1113</v>
      </c>
    </row>
    <row r="5" spans="1:29">
      <c r="A5" s="146"/>
      <c r="B5" s="147"/>
      <c r="C5" s="3651" t="s">
        <v>1115</v>
      </c>
      <c r="D5" s="3652"/>
      <c r="E5" s="3658" t="s">
        <v>1116</v>
      </c>
      <c r="F5" s="3659"/>
      <c r="G5" s="3651" t="s">
        <v>1117</v>
      </c>
      <c r="H5" s="3652"/>
      <c r="I5" s="3651" t="s">
        <v>1118</v>
      </c>
      <c r="J5" s="3652"/>
      <c r="K5" s="187"/>
      <c r="L5" s="2293"/>
      <c r="M5" s="2294"/>
      <c r="N5" s="2294"/>
      <c r="O5" s="2294"/>
      <c r="P5" s="3638"/>
      <c r="Q5" s="3639"/>
      <c r="R5" s="3644"/>
      <c r="S5" s="3645"/>
      <c r="T5" s="3644"/>
      <c r="U5" s="3645"/>
      <c r="V5" s="3648"/>
      <c r="W5" s="3648"/>
      <c r="X5" s="1338"/>
      <c r="Y5" s="3644"/>
      <c r="Z5" s="3645"/>
      <c r="AA5" s="3630"/>
      <c r="AB5" s="3630"/>
      <c r="AC5" s="3630"/>
    </row>
    <row r="6" spans="1:29" ht="14.25" thickBot="1">
      <c r="A6" s="148"/>
      <c r="B6" s="149"/>
      <c r="C6" s="3649" t="s">
        <v>1119</v>
      </c>
      <c r="D6" s="3650"/>
      <c r="E6" s="3656" t="s">
        <v>1119</v>
      </c>
      <c r="F6" s="3657"/>
      <c r="G6" s="3649" t="s">
        <v>1119</v>
      </c>
      <c r="H6" s="3650"/>
      <c r="I6" s="3649" t="s">
        <v>1119</v>
      </c>
      <c r="J6" s="3650"/>
      <c r="K6" s="187" t="s">
        <v>1120</v>
      </c>
      <c r="L6" s="2293"/>
      <c r="M6" s="2294"/>
      <c r="N6" s="2294"/>
      <c r="O6" s="2294"/>
      <c r="P6" s="3640"/>
      <c r="Q6" s="3641"/>
      <c r="R6" s="3644"/>
      <c r="S6" s="3645"/>
      <c r="T6" s="3646"/>
      <c r="U6" s="3647"/>
      <c r="V6" s="3648"/>
      <c r="W6" s="3648"/>
      <c r="X6" s="1338"/>
      <c r="Y6" s="3646"/>
      <c r="Z6" s="3647"/>
      <c r="AA6" s="3631"/>
      <c r="AB6" s="3631"/>
      <c r="AC6" s="3631"/>
    </row>
    <row r="7" spans="1:29" s="40" customFormat="1" ht="15" thickBot="1">
      <c r="A7" s="1012" t="s">
        <v>1121</v>
      </c>
      <c r="B7" s="1013"/>
      <c r="C7" s="751">
        <f>'数据-取费表'!B2</f>
        <v>42993</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53" t="s">
        <v>1121</v>
      </c>
      <c r="Q7" s="3655"/>
      <c r="R7" s="1340" t="s">
        <v>65</v>
      </c>
      <c r="S7" s="1341">
        <f t="shared" ref="S7:S15" si="0">F7</f>
        <v>0</v>
      </c>
      <c r="T7" s="1340" t="s">
        <v>65</v>
      </c>
      <c r="U7" s="1341">
        <f t="shared" ref="U7:U15" si="1">H7</f>
        <v>0</v>
      </c>
      <c r="V7" s="1340" t="s">
        <v>65</v>
      </c>
      <c r="W7" s="1341">
        <f t="shared" ref="W7:W15" si="2">J7</f>
        <v>0</v>
      </c>
      <c r="X7" s="286"/>
      <c r="Y7" s="3653" t="s">
        <v>1121</v>
      </c>
      <c r="Z7" s="3654"/>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53" t="s">
        <v>1017</v>
      </c>
      <c r="Q8" s="3654"/>
      <c r="R8" s="1340" t="s">
        <v>65</v>
      </c>
      <c r="S8" s="1341">
        <f t="shared" si="0"/>
        <v>0</v>
      </c>
      <c r="T8" s="1340" t="s">
        <v>65</v>
      </c>
      <c r="U8" s="1341">
        <f t="shared" si="1"/>
        <v>0</v>
      </c>
      <c r="V8" s="1340" t="s">
        <v>65</v>
      </c>
      <c r="W8" s="1341">
        <f t="shared" si="2"/>
        <v>0</v>
      </c>
      <c r="X8" s="286"/>
      <c r="Y8" s="3653" t="s">
        <v>1017</v>
      </c>
      <c r="Z8" s="3654"/>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17" t="s">
        <v>67</v>
      </c>
      <c r="Q9" s="7" t="str">
        <f t="shared" ref="Q9:Q15" si="6">B9</f>
        <v>用途</v>
      </c>
      <c r="R9" s="1340" t="s">
        <v>65</v>
      </c>
      <c r="S9" s="1341">
        <f t="shared" si="0"/>
        <v>100</v>
      </c>
      <c r="T9" s="1340" t="s">
        <v>65</v>
      </c>
      <c r="U9" s="1341">
        <f t="shared" si="1"/>
        <v>100</v>
      </c>
      <c r="V9" s="1340" t="s">
        <v>65</v>
      </c>
      <c r="W9" s="1341">
        <f t="shared" si="2"/>
        <v>100</v>
      </c>
      <c r="X9" s="286"/>
      <c r="Y9" s="3433"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17"/>
      <c r="Q10" s="7" t="str">
        <f t="shared" si="6"/>
        <v>土地使用年限（年）</v>
      </c>
      <c r="R10" s="1340" t="s">
        <v>65</v>
      </c>
      <c r="S10" s="1341">
        <f t="shared" si="0"/>
        <v>100</v>
      </c>
      <c r="T10" s="1340" t="s">
        <v>65</v>
      </c>
      <c r="U10" s="1341">
        <f t="shared" si="1"/>
        <v>100</v>
      </c>
      <c r="V10" s="1340" t="s">
        <v>65</v>
      </c>
      <c r="W10" s="1341">
        <f t="shared" si="2"/>
        <v>100</v>
      </c>
      <c r="X10" s="286"/>
      <c r="Y10" s="3433"/>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17"/>
      <c r="Q11" s="7" t="str">
        <f t="shared" si="6"/>
        <v>容积率</v>
      </c>
      <c r="R11" s="1340" t="s">
        <v>65</v>
      </c>
      <c r="S11" s="1341" t="e">
        <f t="shared" si="0"/>
        <v>#N/A</v>
      </c>
      <c r="T11" s="1340" t="s">
        <v>65</v>
      </c>
      <c r="U11" s="1341" t="e">
        <f t="shared" si="1"/>
        <v>#N/A</v>
      </c>
      <c r="V11" s="1340" t="s">
        <v>65</v>
      </c>
      <c r="W11" s="1341" t="e">
        <f t="shared" si="2"/>
        <v>#N/A</v>
      </c>
      <c r="X11" s="286"/>
      <c r="Y11" s="3433"/>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17"/>
      <c r="Q12" s="7">
        <f t="shared" si="6"/>
        <v>111</v>
      </c>
      <c r="R12" s="1340" t="s">
        <v>65</v>
      </c>
      <c r="S12" s="1341">
        <f t="shared" si="0"/>
        <v>100</v>
      </c>
      <c r="T12" s="1340" t="s">
        <v>65</v>
      </c>
      <c r="U12" s="1341">
        <f t="shared" si="1"/>
        <v>100</v>
      </c>
      <c r="V12" s="1340" t="s">
        <v>65</v>
      </c>
      <c r="W12" s="1341">
        <f t="shared" si="2"/>
        <v>100</v>
      </c>
      <c r="X12" s="286"/>
      <c r="Y12" s="3433"/>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17"/>
      <c r="Q13" s="7">
        <f t="shared" si="6"/>
        <v>111</v>
      </c>
      <c r="R13" s="1340" t="s">
        <v>65</v>
      </c>
      <c r="S13" s="1341">
        <f t="shared" si="0"/>
        <v>100</v>
      </c>
      <c r="T13" s="1340" t="s">
        <v>65</v>
      </c>
      <c r="U13" s="1341">
        <f t="shared" si="1"/>
        <v>100</v>
      </c>
      <c r="V13" s="1340" t="s">
        <v>65</v>
      </c>
      <c r="W13" s="1341">
        <f t="shared" si="2"/>
        <v>100</v>
      </c>
      <c r="X13" s="286"/>
      <c r="Y13" s="3433"/>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17"/>
      <c r="Q14" s="7">
        <f t="shared" si="6"/>
        <v>111</v>
      </c>
      <c r="R14" s="1340" t="s">
        <v>65</v>
      </c>
      <c r="S14" s="1341">
        <f t="shared" si="0"/>
        <v>100</v>
      </c>
      <c r="T14" s="1340" t="s">
        <v>65</v>
      </c>
      <c r="U14" s="1341">
        <f t="shared" si="1"/>
        <v>100</v>
      </c>
      <c r="V14" s="1340" t="s">
        <v>65</v>
      </c>
      <c r="W14" s="1341">
        <f t="shared" si="2"/>
        <v>100</v>
      </c>
      <c r="X14" s="286"/>
      <c r="Y14" s="3433"/>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19" t="s">
        <v>69</v>
      </c>
      <c r="Q15" s="1349" t="str">
        <f t="shared" si="6"/>
        <v>产业集聚程度</v>
      </c>
      <c r="R15" s="1350" t="s">
        <v>65</v>
      </c>
      <c r="S15" s="1351">
        <f t="shared" si="0"/>
        <v>100</v>
      </c>
      <c r="T15" s="1350" t="s">
        <v>65</v>
      </c>
      <c r="U15" s="1351">
        <f t="shared" si="1"/>
        <v>100</v>
      </c>
      <c r="V15" s="1350" t="s">
        <v>65</v>
      </c>
      <c r="W15" s="1351">
        <f t="shared" si="2"/>
        <v>100</v>
      </c>
      <c r="X15" s="1338"/>
      <c r="Y15" s="3619"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20"/>
      <c r="Q16" s="1349"/>
      <c r="R16" s="1350"/>
      <c r="S16" s="1351"/>
      <c r="T16" s="1350"/>
      <c r="U16" s="1351"/>
      <c r="V16" s="1350"/>
      <c r="W16" s="1351"/>
      <c r="X16" s="1338"/>
      <c r="Y16" s="3620"/>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20"/>
      <c r="Q17" s="1349" t="str">
        <f>B17</f>
        <v>交通便捷度</v>
      </c>
      <c r="R17" s="1350" t="s">
        <v>65</v>
      </c>
      <c r="S17" s="1351">
        <f>F17</f>
        <v>100</v>
      </c>
      <c r="T17" s="1350" t="s">
        <v>65</v>
      </c>
      <c r="U17" s="1351">
        <f>H17</f>
        <v>100</v>
      </c>
      <c r="V17" s="1350" t="s">
        <v>65</v>
      </c>
      <c r="W17" s="1351">
        <f>J17</f>
        <v>100</v>
      </c>
      <c r="X17" s="1338"/>
      <c r="Y17" s="362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20"/>
      <c r="Q18" s="1349"/>
      <c r="R18" s="1350"/>
      <c r="S18" s="1351"/>
      <c r="T18" s="1350"/>
      <c r="U18" s="1351"/>
      <c r="V18" s="1350"/>
      <c r="W18" s="1351"/>
      <c r="X18" s="1338"/>
      <c r="Y18" s="3620"/>
      <c r="Z18" s="1352"/>
      <c r="AA18" s="1353">
        <v>1</v>
      </c>
      <c r="AB18" s="1353">
        <v>1</v>
      </c>
      <c r="AC18" s="1353">
        <v>1</v>
      </c>
    </row>
    <row r="19" spans="1:29" ht="108">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20"/>
      <c r="Q19" s="1349" t="str">
        <f>B19</f>
        <v>公共配套设施</v>
      </c>
      <c r="R19" s="1350" t="s">
        <v>65</v>
      </c>
      <c r="S19" s="1351">
        <f>F19</f>
        <v>100</v>
      </c>
      <c r="T19" s="1350" t="s">
        <v>65</v>
      </c>
      <c r="U19" s="1351">
        <f>H19</f>
        <v>100</v>
      </c>
      <c r="V19" s="1350" t="s">
        <v>65</v>
      </c>
      <c r="W19" s="1351">
        <f>J19</f>
        <v>100</v>
      </c>
      <c r="X19" s="1338"/>
      <c r="Y19" s="362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20"/>
      <c r="Q20" s="1349"/>
      <c r="R20" s="1350"/>
      <c r="S20" s="1351"/>
      <c r="T20" s="1350"/>
      <c r="U20" s="1351"/>
      <c r="V20" s="1350"/>
      <c r="W20" s="1351"/>
      <c r="X20" s="1338"/>
      <c r="Y20" s="3620"/>
      <c r="Z20" s="1352"/>
      <c r="AA20" s="1353">
        <v>1</v>
      </c>
      <c r="AB20" s="1353">
        <v>1</v>
      </c>
      <c r="AC20" s="1353">
        <v>1</v>
      </c>
    </row>
    <row r="21" spans="1:29" ht="27">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20"/>
      <c r="Q21" s="2744" t="str">
        <f>B21</f>
        <v>基础设施水平</v>
      </c>
      <c r="R21" s="1350" t="s">
        <v>65</v>
      </c>
      <c r="S21" s="1351">
        <f>F21</f>
        <v>100</v>
      </c>
      <c r="T21" s="1350" t="s">
        <v>65</v>
      </c>
      <c r="U21" s="1351">
        <f>H21</f>
        <v>100</v>
      </c>
      <c r="V21" s="1350" t="s">
        <v>65</v>
      </c>
      <c r="W21" s="1351">
        <f>J21</f>
        <v>100</v>
      </c>
      <c r="X21" s="2746"/>
      <c r="Y21" s="3620"/>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20"/>
      <c r="Q22" s="2744"/>
      <c r="R22" s="1350"/>
      <c r="S22" s="1351"/>
      <c r="T22" s="1350"/>
      <c r="U22" s="1351"/>
      <c r="V22" s="1350"/>
      <c r="W22" s="1351"/>
      <c r="X22" s="2746"/>
      <c r="Y22" s="3620"/>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20"/>
      <c r="Q23" s="1349" t="str">
        <f>B23</f>
        <v>环境质量</v>
      </c>
      <c r="R23" s="1350" t="s">
        <v>65</v>
      </c>
      <c r="S23" s="1351">
        <f>F23</f>
        <v>100</v>
      </c>
      <c r="T23" s="1350" t="s">
        <v>65</v>
      </c>
      <c r="U23" s="1351">
        <f>H23</f>
        <v>100</v>
      </c>
      <c r="V23" s="1350" t="s">
        <v>65</v>
      </c>
      <c r="W23" s="1351">
        <f>J23</f>
        <v>100</v>
      </c>
      <c r="X23" s="1338"/>
      <c r="Y23" s="3620"/>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20"/>
      <c r="Q24" s="1349"/>
      <c r="R24" s="1350"/>
      <c r="S24" s="1351"/>
      <c r="T24" s="1350"/>
      <c r="U24" s="1351"/>
      <c r="V24" s="1350"/>
      <c r="W24" s="1351"/>
      <c r="X24" s="1338"/>
      <c r="Y24" s="3620"/>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20"/>
      <c r="Q25" s="1349">
        <f>B25</f>
        <v>111</v>
      </c>
      <c r="R25" s="1350" t="s">
        <v>65</v>
      </c>
      <c r="S25" s="1351">
        <f>F25</f>
        <v>100</v>
      </c>
      <c r="T25" s="1350" t="s">
        <v>65</v>
      </c>
      <c r="U25" s="1351">
        <f>H25</f>
        <v>100</v>
      </c>
      <c r="V25" s="1350" t="s">
        <v>65</v>
      </c>
      <c r="W25" s="1351">
        <f>J25</f>
        <v>100</v>
      </c>
      <c r="X25" s="1338"/>
      <c r="Y25" s="3620"/>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20"/>
      <c r="Q26" s="1349">
        <f t="shared" ref="Q26:Q40" si="11">B26</f>
        <v>111</v>
      </c>
      <c r="R26" s="1350" t="s">
        <v>65</v>
      </c>
      <c r="S26" s="1351">
        <f>F26</f>
        <v>100</v>
      </c>
      <c r="T26" s="1350" t="s">
        <v>65</v>
      </c>
      <c r="U26" s="1351">
        <f>H26</f>
        <v>100</v>
      </c>
      <c r="V26" s="1350" t="s">
        <v>65</v>
      </c>
      <c r="W26" s="1351">
        <f>J26</f>
        <v>100</v>
      </c>
      <c r="X26" s="1338"/>
      <c r="Y26" s="3620"/>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20"/>
      <c r="Q27" s="7">
        <f t="shared" si="11"/>
        <v>111</v>
      </c>
      <c r="R27" s="1340" t="s">
        <v>65</v>
      </c>
      <c r="S27" s="1341">
        <f>F27</f>
        <v>100</v>
      </c>
      <c r="T27" s="1340" t="s">
        <v>65</v>
      </c>
      <c r="U27" s="1341">
        <f>H27</f>
        <v>100</v>
      </c>
      <c r="V27" s="1340" t="s">
        <v>65</v>
      </c>
      <c r="W27" s="1341">
        <f>J27</f>
        <v>100</v>
      </c>
      <c r="X27" s="286"/>
      <c r="Y27" s="3620"/>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2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20"/>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5" t="s">
        <v>1123</v>
      </c>
      <c r="Q29" s="1349" t="str">
        <f t="shared" si="11"/>
        <v>建筑类型</v>
      </c>
      <c r="R29" s="1350" t="s">
        <v>65</v>
      </c>
      <c r="S29" s="1351">
        <f t="shared" si="12"/>
        <v>100</v>
      </c>
      <c r="T29" s="1350" t="s">
        <v>65</v>
      </c>
      <c r="U29" s="1351">
        <f t="shared" si="13"/>
        <v>100</v>
      </c>
      <c r="V29" s="1350" t="s">
        <v>65</v>
      </c>
      <c r="W29" s="1351">
        <f t="shared" si="14"/>
        <v>100</v>
      </c>
      <c r="X29" s="1338"/>
      <c r="Y29" s="3624"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24"/>
      <c r="Q30" s="1357" t="str">
        <f t="shared" si="11"/>
        <v>项目建筑规模</v>
      </c>
      <c r="R30" s="1358" t="s">
        <v>65</v>
      </c>
      <c r="S30" s="1359" t="e">
        <f t="shared" si="12"/>
        <v>#N/A</v>
      </c>
      <c r="T30" s="1358" t="s">
        <v>65</v>
      </c>
      <c r="U30" s="1359" t="e">
        <f t="shared" si="13"/>
        <v>#N/A</v>
      </c>
      <c r="V30" s="1358" t="s">
        <v>65</v>
      </c>
      <c r="W30" s="1359" t="e">
        <f t="shared" si="14"/>
        <v>#N/A</v>
      </c>
      <c r="X30" s="1360"/>
      <c r="Y30" s="3624"/>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24"/>
      <c r="Q31" s="1349" t="str">
        <f t="shared" si="11"/>
        <v>建筑结构</v>
      </c>
      <c r="R31" s="1350" t="s">
        <v>65</v>
      </c>
      <c r="S31" s="1351">
        <f t="shared" si="12"/>
        <v>100</v>
      </c>
      <c r="T31" s="1350" t="s">
        <v>65</v>
      </c>
      <c r="U31" s="1351">
        <f t="shared" si="13"/>
        <v>100</v>
      </c>
      <c r="V31" s="1350" t="s">
        <v>65</v>
      </c>
      <c r="W31" s="1351">
        <f t="shared" si="14"/>
        <v>100</v>
      </c>
      <c r="X31" s="1338"/>
      <c r="Y31" s="3624"/>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24"/>
      <c r="Q32" s="1349" t="str">
        <f t="shared" si="11"/>
        <v>公共部分装修</v>
      </c>
      <c r="R32" s="1350" t="s">
        <v>65</v>
      </c>
      <c r="S32" s="1351">
        <f t="shared" si="12"/>
        <v>100</v>
      </c>
      <c r="T32" s="1350" t="s">
        <v>65</v>
      </c>
      <c r="U32" s="1351">
        <f t="shared" si="13"/>
        <v>100</v>
      </c>
      <c r="V32" s="1350" t="s">
        <v>65</v>
      </c>
      <c r="W32" s="1351">
        <f t="shared" si="14"/>
        <v>100</v>
      </c>
      <c r="X32" s="1338"/>
      <c r="Y32" s="3624"/>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24"/>
      <c r="Q33" s="1349" t="str">
        <f t="shared" si="11"/>
        <v>成新度</v>
      </c>
      <c r="R33" s="1350" t="s">
        <v>65</v>
      </c>
      <c r="S33" s="1351" t="e">
        <f t="shared" si="12"/>
        <v>#N/A</v>
      </c>
      <c r="T33" s="1350" t="s">
        <v>65</v>
      </c>
      <c r="U33" s="1351" t="e">
        <f t="shared" si="13"/>
        <v>#N/A</v>
      </c>
      <c r="V33" s="1350" t="s">
        <v>65</v>
      </c>
      <c r="W33" s="1351" t="e">
        <f t="shared" si="14"/>
        <v>#N/A</v>
      </c>
      <c r="X33" s="1338"/>
      <c r="Y33" s="3624"/>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24"/>
      <c r="Q34" s="7" t="str">
        <f t="shared" si="11"/>
        <v>物业管理</v>
      </c>
      <c r="R34" s="1340" t="s">
        <v>65</v>
      </c>
      <c r="S34" s="1341">
        <f t="shared" si="12"/>
        <v>100</v>
      </c>
      <c r="T34" s="1340" t="s">
        <v>65</v>
      </c>
      <c r="U34" s="1341">
        <f t="shared" si="13"/>
        <v>100</v>
      </c>
      <c r="V34" s="1340" t="s">
        <v>65</v>
      </c>
      <c r="W34" s="1341">
        <f t="shared" si="14"/>
        <v>100</v>
      </c>
      <c r="X34" s="286"/>
      <c r="Y34" s="3624"/>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24" t="s">
        <v>70</v>
      </c>
      <c r="Q35" s="1349" t="str">
        <f t="shared" si="11"/>
        <v>市政基础设施</v>
      </c>
      <c r="R35" s="1350" t="s">
        <v>65</v>
      </c>
      <c r="S35" s="1351">
        <f t="shared" si="12"/>
        <v>100</v>
      </c>
      <c r="T35" s="1350" t="s">
        <v>65</v>
      </c>
      <c r="U35" s="1351">
        <f t="shared" si="13"/>
        <v>100</v>
      </c>
      <c r="V35" s="1350" t="s">
        <v>65</v>
      </c>
      <c r="W35" s="1351">
        <f t="shared" si="14"/>
        <v>100</v>
      </c>
      <c r="X35" s="1338"/>
      <c r="Y35" s="3624"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24"/>
      <c r="Q36" s="1349" t="str">
        <f t="shared" si="11"/>
        <v>内部装修</v>
      </c>
      <c r="R36" s="1350" t="s">
        <v>65</v>
      </c>
      <c r="S36" s="1351">
        <f t="shared" si="12"/>
        <v>100</v>
      </c>
      <c r="T36" s="1350" t="s">
        <v>65</v>
      </c>
      <c r="U36" s="1351">
        <f t="shared" si="13"/>
        <v>100</v>
      </c>
      <c r="V36" s="1350" t="s">
        <v>65</v>
      </c>
      <c r="W36" s="1351">
        <f t="shared" si="14"/>
        <v>100</v>
      </c>
      <c r="X36" s="1338"/>
      <c r="Y36" s="3624"/>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24"/>
      <c r="Q37" s="1349" t="str">
        <f t="shared" si="11"/>
        <v>内部装修状况</v>
      </c>
      <c r="R37" s="1350" t="s">
        <v>65</v>
      </c>
      <c r="S37" s="1351">
        <f t="shared" si="12"/>
        <v>100</v>
      </c>
      <c r="T37" s="1350" t="s">
        <v>65</v>
      </c>
      <c r="U37" s="1351">
        <f t="shared" si="13"/>
        <v>100</v>
      </c>
      <c r="V37" s="1350" t="s">
        <v>65</v>
      </c>
      <c r="W37" s="1351">
        <f t="shared" si="14"/>
        <v>100</v>
      </c>
      <c r="X37" s="1338"/>
      <c r="Y37" s="3624"/>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24"/>
      <c r="Q38" s="1357">
        <f t="shared" si="11"/>
        <v>111</v>
      </c>
      <c r="R38" s="1358" t="s">
        <v>65</v>
      </c>
      <c r="S38" s="1359">
        <f t="shared" si="12"/>
        <v>100</v>
      </c>
      <c r="T38" s="1358" t="s">
        <v>65</v>
      </c>
      <c r="U38" s="1359">
        <f t="shared" si="13"/>
        <v>100</v>
      </c>
      <c r="V38" s="1358" t="s">
        <v>65</v>
      </c>
      <c r="W38" s="1359">
        <f t="shared" si="14"/>
        <v>100</v>
      </c>
      <c r="X38" s="1360"/>
      <c r="Y38" s="3624"/>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24"/>
      <c r="Q39" s="1349">
        <f t="shared" si="11"/>
        <v>111</v>
      </c>
      <c r="R39" s="1350" t="s">
        <v>65</v>
      </c>
      <c r="S39" s="1351">
        <f t="shared" si="12"/>
        <v>100</v>
      </c>
      <c r="T39" s="1350" t="s">
        <v>65</v>
      </c>
      <c r="U39" s="1351">
        <f t="shared" si="13"/>
        <v>100</v>
      </c>
      <c r="V39" s="1350" t="s">
        <v>65</v>
      </c>
      <c r="W39" s="1351">
        <f t="shared" si="14"/>
        <v>100</v>
      </c>
      <c r="X39" s="1338"/>
      <c r="Y39" s="3624"/>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25"/>
      <c r="Q40" s="1349">
        <f t="shared" si="11"/>
        <v>111</v>
      </c>
      <c r="R40" s="1350" t="s">
        <v>65</v>
      </c>
      <c r="S40" s="1351">
        <f t="shared" si="12"/>
        <v>100</v>
      </c>
      <c r="T40" s="1350" t="s">
        <v>65</v>
      </c>
      <c r="U40" s="1351">
        <f t="shared" si="13"/>
        <v>100</v>
      </c>
      <c r="V40" s="1350" t="s">
        <v>65</v>
      </c>
      <c r="W40" s="1351">
        <f t="shared" si="14"/>
        <v>100</v>
      </c>
      <c r="X40" s="1338"/>
      <c r="Y40" s="3625"/>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17" t="str">
        <f>A41</f>
        <v>成交单价（元/平方米）</v>
      </c>
      <c r="Q41" s="3617"/>
      <c r="R41" s="3618">
        <f>E41</f>
        <v>0</v>
      </c>
      <c r="S41" s="3618"/>
      <c r="T41" s="3618">
        <f>G41</f>
        <v>0</v>
      </c>
      <c r="U41" s="3618"/>
      <c r="V41" s="3618">
        <f>I41</f>
        <v>0</v>
      </c>
      <c r="W41" s="3618"/>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17" t="str">
        <f>A42</f>
        <v>比较价值（元/平方米）</v>
      </c>
      <c r="Q42" s="3617"/>
      <c r="R42" s="3618" t="e">
        <f>IF(F1="售价",ROUND(PRODUCT(R41,AA7:AA40),0),ROUND(PRODUCT(R41,AA7:AA40),1))</f>
        <v>#DIV/0!</v>
      </c>
      <c r="S42" s="3618"/>
      <c r="T42" s="3618" t="e">
        <f>IF(F1="售价",ROUND(PRODUCT(T41,AB7:AB40),0),ROUND(PRODUCT(T41,AB7:AB40),1))</f>
        <v>#DIV/0!</v>
      </c>
      <c r="U42" s="3618"/>
      <c r="V42" s="3618" t="e">
        <f>IF(F1="售价",ROUND(PRODUCT(V41,AC7:AC40),0),ROUND(PRODUCT(V41,AC7:AC40),1))</f>
        <v>#DIV/0!</v>
      </c>
      <c r="W42" s="3618"/>
      <c r="X42" s="1363"/>
      <c r="Y42" s="1363"/>
      <c r="Z42" s="1363"/>
      <c r="AA42" s="1363"/>
      <c r="AB42" s="1363"/>
      <c r="AC42" s="1363"/>
    </row>
    <row r="43" spans="1:29" ht="15.75" thickBot="1">
      <c r="A43" s="115" t="s">
        <v>3005</v>
      </c>
      <c r="B43" s="116"/>
      <c r="C43" s="2841" t="e">
        <f>R43</f>
        <v>#DIV/0!</v>
      </c>
      <c r="D43" s="2841"/>
      <c r="E43" s="2841"/>
      <c r="F43" s="2841"/>
      <c r="G43" s="2841"/>
      <c r="H43" s="2841"/>
      <c r="I43" s="2841"/>
      <c r="J43" s="2841"/>
      <c r="K43" s="1393"/>
      <c r="L43" s="2301"/>
      <c r="M43" s="2302"/>
      <c r="N43" s="2302"/>
      <c r="O43" s="2302"/>
      <c r="P43" s="3614" t="str">
        <f>A43</f>
        <v>估价对象XX用房的比较价值（楼面单价，元/平方米）</v>
      </c>
      <c r="Q43" s="3615"/>
      <c r="R43" s="3616" t="e">
        <f>IF(F1="售价",ROUND(AVERAGE(R42:V42),0),ROUND(AVERAGE(R42:V42),1))</f>
        <v>#DIV/0!</v>
      </c>
      <c r="S43" s="3616"/>
      <c r="T43" s="3616"/>
      <c r="U43" s="3616"/>
      <c r="V43" s="3616"/>
      <c r="W43" s="3616"/>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2785</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2861</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2855</v>
      </c>
    </row>
    <row r="9" spans="1:1" ht="18.75">
      <c r="A9" s="3050" t="s">
        <v>2862</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2896</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2017年9月15日（评估专业人员实地查勘之日）</v>
      </c>
    </row>
    <row r="16" spans="1:1" ht="18.75">
      <c r="A16" s="1948" t="s">
        <v>2010</v>
      </c>
    </row>
    <row r="17" spans="1:1" ht="75">
      <c r="A17" s="1945" t="s">
        <v>2856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15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88" t="s">
        <v>448</v>
      </c>
      <c r="D4" s="3689"/>
      <c r="E4" s="3690" t="s">
        <v>449</v>
      </c>
      <c r="F4" s="3691"/>
      <c r="G4" s="3688" t="s">
        <v>450</v>
      </c>
      <c r="H4" s="3689"/>
      <c r="I4" s="3688" t="s">
        <v>451</v>
      </c>
      <c r="J4" s="3689"/>
      <c r="K4" s="951" t="s">
        <v>452</v>
      </c>
      <c r="L4" s="2346"/>
      <c r="M4" s="2347"/>
      <c r="N4" s="2347"/>
      <c r="O4" s="2347"/>
      <c r="P4" s="3692" t="s">
        <v>453</v>
      </c>
      <c r="Q4" s="3693"/>
      <c r="R4" s="3698" t="s">
        <v>449</v>
      </c>
      <c r="S4" s="3699"/>
      <c r="T4" s="3698" t="s">
        <v>450</v>
      </c>
      <c r="U4" s="3699"/>
      <c r="V4" s="3704" t="s">
        <v>451</v>
      </c>
      <c r="W4" s="3704"/>
      <c r="X4" s="2828"/>
      <c r="Y4" s="3698" t="s">
        <v>453</v>
      </c>
      <c r="Z4" s="3699"/>
      <c r="AA4" s="3685" t="s">
        <v>449</v>
      </c>
      <c r="AB4" s="3686" t="s">
        <v>450</v>
      </c>
      <c r="AC4" s="3685" t="s">
        <v>451</v>
      </c>
    </row>
    <row r="5" spans="1:29" ht="15">
      <c r="A5" s="745"/>
      <c r="B5" s="746"/>
      <c r="C5" s="3707" t="s">
        <v>3006</v>
      </c>
      <c r="D5" s="3708"/>
      <c r="E5" s="3714" t="s">
        <v>3007</v>
      </c>
      <c r="F5" s="3715"/>
      <c r="G5" s="3707" t="s">
        <v>3008</v>
      </c>
      <c r="H5" s="3708"/>
      <c r="I5" s="3707" t="s">
        <v>3009</v>
      </c>
      <c r="J5" s="3708"/>
      <c r="K5" s="951"/>
      <c r="L5" s="2346"/>
      <c r="M5" s="2347"/>
      <c r="N5" s="2347"/>
      <c r="O5" s="2347"/>
      <c r="P5" s="3694"/>
      <c r="Q5" s="3695"/>
      <c r="R5" s="3700"/>
      <c r="S5" s="3701"/>
      <c r="T5" s="3700"/>
      <c r="U5" s="3701"/>
      <c r="V5" s="3704"/>
      <c r="W5" s="3704"/>
      <c r="X5" s="2828"/>
      <c r="Y5" s="3700"/>
      <c r="Z5" s="3701"/>
      <c r="AA5" s="3686"/>
      <c r="AB5" s="3686"/>
      <c r="AC5" s="3686"/>
    </row>
    <row r="6" spans="1:29" ht="15.75" thickBot="1">
      <c r="A6" s="747"/>
      <c r="B6" s="748"/>
      <c r="C6" s="3705" t="s">
        <v>3010</v>
      </c>
      <c r="D6" s="3706"/>
      <c r="E6" s="3712" t="s">
        <v>3010</v>
      </c>
      <c r="F6" s="3713"/>
      <c r="G6" s="3705" t="s">
        <v>3010</v>
      </c>
      <c r="H6" s="3706"/>
      <c r="I6" s="3705" t="s">
        <v>3010</v>
      </c>
      <c r="J6" s="3706"/>
      <c r="K6" s="951" t="s">
        <v>395</v>
      </c>
      <c r="L6" s="2346"/>
      <c r="M6" s="2347"/>
      <c r="N6" s="2347"/>
      <c r="O6" s="2347"/>
      <c r="P6" s="3696"/>
      <c r="Q6" s="3697"/>
      <c r="R6" s="3700"/>
      <c r="S6" s="3701"/>
      <c r="T6" s="3702"/>
      <c r="U6" s="3703"/>
      <c r="V6" s="3704"/>
      <c r="W6" s="3704"/>
      <c r="X6" s="2828"/>
      <c r="Y6" s="3702"/>
      <c r="Z6" s="3703"/>
      <c r="AA6" s="3687"/>
      <c r="AB6" s="3687"/>
      <c r="AC6" s="3687"/>
    </row>
    <row r="7" spans="1:29" s="406" customFormat="1" ht="15.75" thickBot="1">
      <c r="A7" s="749" t="s">
        <v>396</v>
      </c>
      <c r="B7" s="750"/>
      <c r="C7" s="751">
        <f>'数据-取费表'!B2</f>
        <v>42993</v>
      </c>
      <c r="D7" s="752">
        <v>100</v>
      </c>
      <c r="E7" s="753"/>
      <c r="F7" s="754">
        <f>SUMIF(48:48,YEAR(E7)&amp;"-"&amp;MONTH(E7),49:49)</f>
        <v>0</v>
      </c>
      <c r="G7" s="753"/>
      <c r="H7" s="752">
        <f>SUMIF(48:48,YEAR(G7)&amp;"-"&amp;MONTH(G7),49:49)</f>
        <v>0</v>
      </c>
      <c r="I7" s="753"/>
      <c r="J7" s="752">
        <f>SUMIF(48:48,YEAR(I7)&amp;"-"&amp;MONTH(I7),49:49)</f>
        <v>0</v>
      </c>
      <c r="K7" s="952"/>
      <c r="L7" s="2348"/>
      <c r="M7" s="2349"/>
      <c r="N7" s="2349"/>
      <c r="O7" s="2349"/>
      <c r="P7" s="3709" t="s">
        <v>397</v>
      </c>
      <c r="Q7" s="3711"/>
      <c r="R7" s="1317" t="s">
        <v>65</v>
      </c>
      <c r="S7" s="1318">
        <f t="shared" ref="S7:S14" si="0">F7</f>
        <v>0</v>
      </c>
      <c r="T7" s="1317" t="s">
        <v>65</v>
      </c>
      <c r="U7" s="1318">
        <f t="shared" ref="U7:U14" si="1">H7</f>
        <v>0</v>
      </c>
      <c r="V7" s="1317" t="s">
        <v>65</v>
      </c>
      <c r="W7" s="1318">
        <f t="shared" ref="W7:W14" si="2">J7</f>
        <v>0</v>
      </c>
      <c r="X7" s="1319"/>
      <c r="Y7" s="3709" t="s">
        <v>397</v>
      </c>
      <c r="Z7" s="3710"/>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709" t="s">
        <v>433</v>
      </c>
      <c r="Q8" s="3710"/>
      <c r="R8" s="1317" t="s">
        <v>65</v>
      </c>
      <c r="S8" s="1318">
        <f t="shared" si="0"/>
        <v>0</v>
      </c>
      <c r="T8" s="1317" t="s">
        <v>65</v>
      </c>
      <c r="U8" s="1318">
        <f t="shared" si="1"/>
        <v>0</v>
      </c>
      <c r="V8" s="1317" t="s">
        <v>65</v>
      </c>
      <c r="W8" s="1318">
        <f t="shared" si="2"/>
        <v>0</v>
      </c>
      <c r="X8" s="1319"/>
      <c r="Y8" s="3709" t="s">
        <v>433</v>
      </c>
      <c r="Z8" s="3710"/>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76" t="s">
        <v>400</v>
      </c>
      <c r="Q9" s="2827" t="str">
        <f t="shared" ref="Q9:Q14" si="6">B9</f>
        <v>用途</v>
      </c>
      <c r="R9" s="1317" t="s">
        <v>65</v>
      </c>
      <c r="S9" s="1318">
        <f t="shared" si="0"/>
        <v>100</v>
      </c>
      <c r="T9" s="1317" t="s">
        <v>65</v>
      </c>
      <c r="U9" s="1318">
        <f t="shared" si="1"/>
        <v>100</v>
      </c>
      <c r="V9" s="1317" t="s">
        <v>65</v>
      </c>
      <c r="W9" s="1318">
        <f t="shared" si="2"/>
        <v>100</v>
      </c>
      <c r="X9" s="1319"/>
      <c r="Y9" s="3482"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76"/>
      <c r="Q10" s="2827" t="str">
        <f t="shared" si="6"/>
        <v>土地使用年限（年）</v>
      </c>
      <c r="R10" s="1317" t="s">
        <v>65</v>
      </c>
      <c r="S10" s="1318">
        <f t="shared" si="0"/>
        <v>100</v>
      </c>
      <c r="T10" s="1317" t="s">
        <v>65</v>
      </c>
      <c r="U10" s="1318">
        <f t="shared" si="1"/>
        <v>100</v>
      </c>
      <c r="V10" s="1317" t="s">
        <v>65</v>
      </c>
      <c r="W10" s="1318">
        <f t="shared" si="2"/>
        <v>100</v>
      </c>
      <c r="X10" s="1319"/>
      <c r="Y10" s="3482"/>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76"/>
      <c r="Q11" s="2827">
        <f t="shared" si="6"/>
        <v>111</v>
      </c>
      <c r="R11" s="1317" t="s">
        <v>65</v>
      </c>
      <c r="S11" s="1318">
        <f t="shared" si="0"/>
        <v>100</v>
      </c>
      <c r="T11" s="1317" t="s">
        <v>65</v>
      </c>
      <c r="U11" s="1318">
        <f t="shared" si="1"/>
        <v>100</v>
      </c>
      <c r="V11" s="1317" t="s">
        <v>65</v>
      </c>
      <c r="W11" s="1318">
        <f t="shared" si="2"/>
        <v>100</v>
      </c>
      <c r="X11" s="1319"/>
      <c r="Y11" s="3482"/>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76"/>
      <c r="Q12" s="2827">
        <f t="shared" si="6"/>
        <v>111</v>
      </c>
      <c r="R12" s="1317" t="s">
        <v>65</v>
      </c>
      <c r="S12" s="1318">
        <f t="shared" si="0"/>
        <v>100</v>
      </c>
      <c r="T12" s="1317" t="s">
        <v>65</v>
      </c>
      <c r="U12" s="1318">
        <f t="shared" si="1"/>
        <v>100</v>
      </c>
      <c r="V12" s="1317" t="s">
        <v>65</v>
      </c>
      <c r="W12" s="1318">
        <f t="shared" si="2"/>
        <v>100</v>
      </c>
      <c r="X12" s="1319"/>
      <c r="Y12" s="3482"/>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76"/>
      <c r="Q13" s="2827">
        <f t="shared" si="6"/>
        <v>111</v>
      </c>
      <c r="R13" s="1317" t="s">
        <v>65</v>
      </c>
      <c r="S13" s="1318">
        <f t="shared" si="0"/>
        <v>100</v>
      </c>
      <c r="T13" s="1317" t="s">
        <v>65</v>
      </c>
      <c r="U13" s="1318">
        <f t="shared" si="1"/>
        <v>100</v>
      </c>
      <c r="V13" s="1317" t="s">
        <v>65</v>
      </c>
      <c r="W13" s="1318">
        <f t="shared" si="2"/>
        <v>100</v>
      </c>
      <c r="X13" s="1319"/>
      <c r="Y13" s="3482"/>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681" t="s">
        <v>405</v>
      </c>
      <c r="Q14" s="2829" t="str">
        <f t="shared" si="6"/>
        <v>交通便捷度</v>
      </c>
      <c r="R14" s="1322" t="s">
        <v>65</v>
      </c>
      <c r="S14" s="1323">
        <f t="shared" si="0"/>
        <v>100</v>
      </c>
      <c r="T14" s="1322" t="s">
        <v>65</v>
      </c>
      <c r="U14" s="1323">
        <f t="shared" si="1"/>
        <v>100</v>
      </c>
      <c r="V14" s="1322" t="s">
        <v>65</v>
      </c>
      <c r="W14" s="1323">
        <f t="shared" si="2"/>
        <v>100</v>
      </c>
      <c r="X14" s="2828"/>
      <c r="Y14" s="3681"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682"/>
      <c r="Q15" s="2829"/>
      <c r="R15" s="1322"/>
      <c r="S15" s="1323"/>
      <c r="T15" s="1322"/>
      <c r="U15" s="1323"/>
      <c r="V15" s="1322"/>
      <c r="W15" s="1323"/>
      <c r="X15" s="2828"/>
      <c r="Y15" s="3682"/>
      <c r="Z15" s="2830"/>
      <c r="AA15" s="1325">
        <v>1</v>
      </c>
      <c r="AB15" s="1325">
        <v>1</v>
      </c>
      <c r="AC15" s="1325">
        <v>1</v>
      </c>
    </row>
    <row r="16" spans="1:29" ht="40.5">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682"/>
      <c r="Q16" s="2829" t="str">
        <f>B16</f>
        <v>公共配套设施</v>
      </c>
      <c r="R16" s="1322" t="s">
        <v>65</v>
      </c>
      <c r="S16" s="1323">
        <f>F16</f>
        <v>100</v>
      </c>
      <c r="T16" s="1322" t="s">
        <v>65</v>
      </c>
      <c r="U16" s="1323">
        <f>H16</f>
        <v>100</v>
      </c>
      <c r="V16" s="1322" t="s">
        <v>65</v>
      </c>
      <c r="W16" s="1323">
        <f>J16</f>
        <v>100</v>
      </c>
      <c r="X16" s="2828"/>
      <c r="Y16" s="3682"/>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682"/>
      <c r="Q17" s="2829"/>
      <c r="R17" s="1322"/>
      <c r="S17" s="1323"/>
      <c r="T17" s="1322"/>
      <c r="U17" s="1323"/>
      <c r="V17" s="1322"/>
      <c r="W17" s="1323"/>
      <c r="X17" s="2828"/>
      <c r="Y17" s="3682"/>
      <c r="Z17" s="2830"/>
      <c r="AA17" s="1325">
        <v>1</v>
      </c>
      <c r="AB17" s="1325">
        <v>1</v>
      </c>
      <c r="AC17" s="1325">
        <v>1</v>
      </c>
    </row>
    <row r="18" spans="1:29" ht="40.5">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682"/>
      <c r="Q18" s="2829" t="str">
        <f>B18</f>
        <v>基础设施水平</v>
      </c>
      <c r="R18" s="1322" t="s">
        <v>65</v>
      </c>
      <c r="S18" s="1323">
        <f>F18</f>
        <v>100</v>
      </c>
      <c r="T18" s="1322" t="s">
        <v>65</v>
      </c>
      <c r="U18" s="1323">
        <f>H18</f>
        <v>100</v>
      </c>
      <c r="V18" s="1322" t="s">
        <v>65</v>
      </c>
      <c r="W18" s="1323">
        <f>J18</f>
        <v>100</v>
      </c>
      <c r="X18" s="2828"/>
      <c r="Y18" s="3682"/>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682"/>
      <c r="Q19" s="2829"/>
      <c r="R19" s="1322"/>
      <c r="S19" s="1323"/>
      <c r="T19" s="1322"/>
      <c r="U19" s="1323"/>
      <c r="V19" s="1322"/>
      <c r="W19" s="1323"/>
      <c r="X19" s="2828"/>
      <c r="Y19" s="3682"/>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682"/>
      <c r="Q20" s="2829" t="str">
        <f>B20</f>
        <v>自然及人文环境</v>
      </c>
      <c r="R20" s="1322" t="s">
        <v>65</v>
      </c>
      <c r="S20" s="1323">
        <f>F20</f>
        <v>100</v>
      </c>
      <c r="T20" s="1322" t="s">
        <v>65</v>
      </c>
      <c r="U20" s="1323">
        <f>H20</f>
        <v>100</v>
      </c>
      <c r="V20" s="1322" t="s">
        <v>65</v>
      </c>
      <c r="W20" s="1323">
        <f>J20</f>
        <v>100</v>
      </c>
      <c r="X20" s="2828"/>
      <c r="Y20" s="3682"/>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682"/>
      <c r="Q21" s="2829"/>
      <c r="R21" s="1322"/>
      <c r="S21" s="1323"/>
      <c r="T21" s="1322"/>
      <c r="U21" s="1323"/>
      <c r="V21" s="1322"/>
      <c r="W21" s="1323"/>
      <c r="X21" s="2828"/>
      <c r="Y21" s="3682"/>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682"/>
      <c r="Q22" s="2829" t="str">
        <f>B22</f>
        <v>楼层</v>
      </c>
      <c r="R22" s="1322" t="s">
        <v>65</v>
      </c>
      <c r="S22" s="1323">
        <f>F22</f>
        <v>100</v>
      </c>
      <c r="T22" s="1322" t="s">
        <v>65</v>
      </c>
      <c r="U22" s="1323">
        <f>H22</f>
        <v>100</v>
      </c>
      <c r="V22" s="1322" t="s">
        <v>65</v>
      </c>
      <c r="W22" s="1323">
        <f>J22</f>
        <v>100</v>
      </c>
      <c r="X22" s="2828"/>
      <c r="Y22" s="3682"/>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682"/>
      <c r="Q23" s="2829">
        <f>B23</f>
        <v>111</v>
      </c>
      <c r="R23" s="1322" t="s">
        <v>65</v>
      </c>
      <c r="S23" s="1323">
        <f>F23</f>
        <v>100</v>
      </c>
      <c r="T23" s="1322" t="s">
        <v>65</v>
      </c>
      <c r="U23" s="1323">
        <f>H23</f>
        <v>100</v>
      </c>
      <c r="V23" s="1322" t="s">
        <v>65</v>
      </c>
      <c r="W23" s="1323">
        <f>J23</f>
        <v>100</v>
      </c>
      <c r="X23" s="2828"/>
      <c r="Y23" s="3682"/>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682"/>
      <c r="Q24" s="2829">
        <f t="shared" ref="Q24:Q36" si="11">B24</f>
        <v>111</v>
      </c>
      <c r="R24" s="1322" t="s">
        <v>65</v>
      </c>
      <c r="S24" s="1323">
        <f>F24</f>
        <v>100</v>
      </c>
      <c r="T24" s="1322" t="s">
        <v>65</v>
      </c>
      <c r="U24" s="1323">
        <f>H24</f>
        <v>100</v>
      </c>
      <c r="V24" s="1322" t="s">
        <v>65</v>
      </c>
      <c r="W24" s="1323">
        <f>J24</f>
        <v>100</v>
      </c>
      <c r="X24" s="2828"/>
      <c r="Y24" s="3682"/>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682"/>
      <c r="Q25" s="2827">
        <f t="shared" si="11"/>
        <v>111</v>
      </c>
      <c r="R25" s="1317" t="s">
        <v>65</v>
      </c>
      <c r="S25" s="1318">
        <f>F25</f>
        <v>100</v>
      </c>
      <c r="T25" s="1317" t="s">
        <v>65</v>
      </c>
      <c r="U25" s="1318">
        <f>H25</f>
        <v>100</v>
      </c>
      <c r="V25" s="1317" t="s">
        <v>65</v>
      </c>
      <c r="W25" s="1318">
        <f>J25</f>
        <v>100</v>
      </c>
      <c r="X25" s="1319"/>
      <c r="Y25" s="3682"/>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683"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84"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684"/>
      <c r="Q27" s="1326" t="str">
        <f t="shared" si="11"/>
        <v>项目停车位配比</v>
      </c>
      <c r="R27" s="1327" t="s">
        <v>65</v>
      </c>
      <c r="S27" s="1328">
        <f t="shared" si="12"/>
        <v>100</v>
      </c>
      <c r="T27" s="1327" t="s">
        <v>65</v>
      </c>
      <c r="U27" s="1328">
        <f t="shared" si="13"/>
        <v>100</v>
      </c>
      <c r="V27" s="1327" t="s">
        <v>65</v>
      </c>
      <c r="W27" s="1328">
        <f t="shared" si="14"/>
        <v>100</v>
      </c>
      <c r="X27" s="1329"/>
      <c r="Y27" s="3684"/>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684"/>
      <c r="Q28" s="2829" t="str">
        <f t="shared" si="11"/>
        <v>公共部分装修</v>
      </c>
      <c r="R28" s="1322" t="s">
        <v>65</v>
      </c>
      <c r="S28" s="1323">
        <f t="shared" si="12"/>
        <v>100</v>
      </c>
      <c r="T28" s="1322" t="s">
        <v>65</v>
      </c>
      <c r="U28" s="1323">
        <f t="shared" si="13"/>
        <v>100</v>
      </c>
      <c r="V28" s="1322" t="s">
        <v>65</v>
      </c>
      <c r="W28" s="1323">
        <f t="shared" si="14"/>
        <v>100</v>
      </c>
      <c r="X28" s="2828"/>
      <c r="Y28" s="3684"/>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684"/>
      <c r="Q29" s="2829" t="str">
        <f t="shared" si="11"/>
        <v>成新率</v>
      </c>
      <c r="R29" s="1322" t="s">
        <v>65</v>
      </c>
      <c r="S29" s="1323" t="e">
        <f t="shared" si="12"/>
        <v>#N/A</v>
      </c>
      <c r="T29" s="1322" t="s">
        <v>65</v>
      </c>
      <c r="U29" s="1323" t="e">
        <f t="shared" si="13"/>
        <v>#N/A</v>
      </c>
      <c r="V29" s="1322" t="s">
        <v>65</v>
      </c>
      <c r="W29" s="1323" t="e">
        <f t="shared" si="14"/>
        <v>#N/A</v>
      </c>
      <c r="X29" s="2828"/>
      <c r="Y29" s="3684"/>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684"/>
      <c r="Q30" s="2829" t="str">
        <f t="shared" si="11"/>
        <v>物业等级</v>
      </c>
      <c r="R30" s="1322" t="s">
        <v>65</v>
      </c>
      <c r="S30" s="1323">
        <f t="shared" si="12"/>
        <v>100</v>
      </c>
      <c r="T30" s="1322" t="s">
        <v>65</v>
      </c>
      <c r="U30" s="1323">
        <f t="shared" si="13"/>
        <v>100</v>
      </c>
      <c r="V30" s="1322" t="s">
        <v>65</v>
      </c>
      <c r="W30" s="1323">
        <f t="shared" si="14"/>
        <v>100</v>
      </c>
      <c r="X30" s="2828"/>
      <c r="Y30" s="3684"/>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684"/>
      <c r="Q31" s="2827" t="str">
        <f t="shared" si="11"/>
        <v>停车位面积</v>
      </c>
      <c r="R31" s="1317" t="s">
        <v>65</v>
      </c>
      <c r="S31" s="1318" t="e">
        <f t="shared" si="12"/>
        <v>#N/A</v>
      </c>
      <c r="T31" s="1317" t="s">
        <v>65</v>
      </c>
      <c r="U31" s="1318" t="e">
        <f t="shared" si="13"/>
        <v>#N/A</v>
      </c>
      <c r="V31" s="1317" t="s">
        <v>65</v>
      </c>
      <c r="W31" s="1318" t="e">
        <f t="shared" si="14"/>
        <v>#N/A</v>
      </c>
      <c r="X31" s="1319"/>
      <c r="Y31" s="3684"/>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684" t="s">
        <v>407</v>
      </c>
      <c r="Q32" s="2829" t="str">
        <f t="shared" si="11"/>
        <v>车位类型</v>
      </c>
      <c r="R32" s="1322" t="s">
        <v>65</v>
      </c>
      <c r="S32" s="1323">
        <f t="shared" si="12"/>
        <v>100</v>
      </c>
      <c r="T32" s="1322" t="s">
        <v>65</v>
      </c>
      <c r="U32" s="1323">
        <f t="shared" si="13"/>
        <v>100</v>
      </c>
      <c r="V32" s="1322" t="s">
        <v>65</v>
      </c>
      <c r="W32" s="1323">
        <f t="shared" si="14"/>
        <v>100</v>
      </c>
      <c r="X32" s="2828"/>
      <c r="Y32" s="3684"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684"/>
      <c r="Q33" s="2829" t="str">
        <f t="shared" si="11"/>
        <v>是否直接入户</v>
      </c>
      <c r="R33" s="1322" t="s">
        <v>65</v>
      </c>
      <c r="S33" s="1323">
        <f t="shared" si="12"/>
        <v>100</v>
      </c>
      <c r="T33" s="1322" t="s">
        <v>65</v>
      </c>
      <c r="U33" s="1323">
        <f t="shared" si="13"/>
        <v>100</v>
      </c>
      <c r="V33" s="1322" t="s">
        <v>65</v>
      </c>
      <c r="W33" s="1323">
        <f t="shared" si="14"/>
        <v>100</v>
      </c>
      <c r="X33" s="2828"/>
      <c r="Y33" s="3684"/>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84"/>
      <c r="Q34" s="2829">
        <f t="shared" si="11"/>
        <v>111</v>
      </c>
      <c r="R34" s="1322" t="s">
        <v>65</v>
      </c>
      <c r="S34" s="1323">
        <f t="shared" si="12"/>
        <v>100</v>
      </c>
      <c r="T34" s="1322" t="s">
        <v>65</v>
      </c>
      <c r="U34" s="1323">
        <f t="shared" si="13"/>
        <v>100</v>
      </c>
      <c r="V34" s="1322" t="s">
        <v>65</v>
      </c>
      <c r="W34" s="1323">
        <f t="shared" si="14"/>
        <v>100</v>
      </c>
      <c r="X34" s="2828"/>
      <c r="Y34" s="3684"/>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84"/>
      <c r="Q35" s="1326">
        <f t="shared" si="11"/>
        <v>111</v>
      </c>
      <c r="R35" s="1327" t="s">
        <v>65</v>
      </c>
      <c r="S35" s="1328">
        <f t="shared" si="12"/>
        <v>100</v>
      </c>
      <c r="T35" s="1327" t="s">
        <v>65</v>
      </c>
      <c r="U35" s="1328">
        <f t="shared" si="13"/>
        <v>100</v>
      </c>
      <c r="V35" s="1327" t="s">
        <v>65</v>
      </c>
      <c r="W35" s="1328">
        <f t="shared" si="14"/>
        <v>100</v>
      </c>
      <c r="X35" s="1329"/>
      <c r="Y35" s="3684"/>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84"/>
      <c r="Q36" s="2829">
        <f t="shared" si="11"/>
        <v>111</v>
      </c>
      <c r="R36" s="1322" t="s">
        <v>65</v>
      </c>
      <c r="S36" s="1323">
        <f t="shared" si="12"/>
        <v>100</v>
      </c>
      <c r="T36" s="1322" t="s">
        <v>65</v>
      </c>
      <c r="U36" s="1323">
        <f t="shared" si="13"/>
        <v>100</v>
      </c>
      <c r="V36" s="1322" t="s">
        <v>65</v>
      </c>
      <c r="W36" s="1323">
        <f t="shared" si="14"/>
        <v>100</v>
      </c>
      <c r="X36" s="2828"/>
      <c r="Y36" s="3684"/>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76" t="str">
        <f>A37</f>
        <v>成交单价</v>
      </c>
      <c r="Q37" s="3676"/>
      <c r="R37" s="3677">
        <f>E37</f>
        <v>0</v>
      </c>
      <c r="S37" s="3677"/>
      <c r="T37" s="3677">
        <f>G37</f>
        <v>0</v>
      </c>
      <c r="U37" s="3677"/>
      <c r="V37" s="3677">
        <f>I37</f>
        <v>0</v>
      </c>
      <c r="W37" s="3677"/>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305"/>
      <c r="Y38" s="1305"/>
      <c r="Z38" s="1305"/>
      <c r="AA38" s="1305"/>
      <c r="AB38" s="1305"/>
      <c r="AC38" s="1305"/>
    </row>
    <row r="39" spans="1:29" ht="15.75" thickBot="1">
      <c r="A39" s="833" t="s">
        <v>3011</v>
      </c>
      <c r="B39" s="834"/>
      <c r="C39" s="2841" t="e">
        <f>R39</f>
        <v>#DIV/0!</v>
      </c>
      <c r="D39" s="2841"/>
      <c r="E39" s="2841"/>
      <c r="F39" s="2841"/>
      <c r="G39" s="2841"/>
      <c r="H39" s="2841"/>
      <c r="I39" s="2841"/>
      <c r="J39" s="2841"/>
      <c r="K39" s="962"/>
      <c r="L39" s="2359"/>
      <c r="M39" s="2360"/>
      <c r="N39" s="2360"/>
      <c r="O39" s="2360"/>
      <c r="P39" s="3678" t="str">
        <f>A39</f>
        <v>估价对象XX用房的比较价值（楼面单价，元/平方米）</v>
      </c>
      <c r="Q39" s="3679"/>
      <c r="R39" s="3680" t="e">
        <f>IF(F1="售价",ROUND(AVERAGE(R38:V38),0),ROUND(AVERAGE(R38:V38),1))</f>
        <v>#DIV/0!</v>
      </c>
      <c r="S39" s="3680"/>
      <c r="T39" s="3680"/>
      <c r="U39" s="3680"/>
      <c r="V39" s="3680"/>
      <c r="W39" s="3680"/>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2785</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88" t="s">
        <v>448</v>
      </c>
      <c r="D4" s="3689"/>
      <c r="E4" s="3690" t="s">
        <v>449</v>
      </c>
      <c r="F4" s="3691"/>
      <c r="G4" s="3688" t="s">
        <v>450</v>
      </c>
      <c r="H4" s="3689"/>
      <c r="I4" s="3688" t="s">
        <v>451</v>
      </c>
      <c r="J4" s="3689"/>
      <c r="K4" s="951" t="s">
        <v>452</v>
      </c>
      <c r="L4" s="2346"/>
      <c r="M4" s="2347"/>
      <c r="N4" s="2347"/>
      <c r="O4" s="2347"/>
      <c r="P4" s="3692" t="s">
        <v>453</v>
      </c>
      <c r="Q4" s="3693"/>
      <c r="R4" s="3698" t="s">
        <v>449</v>
      </c>
      <c r="S4" s="3699"/>
      <c r="T4" s="3698" t="s">
        <v>450</v>
      </c>
      <c r="U4" s="3699"/>
      <c r="V4" s="3704" t="s">
        <v>451</v>
      </c>
      <c r="W4" s="3704"/>
      <c r="X4" s="1316"/>
      <c r="Y4" s="3698" t="s">
        <v>453</v>
      </c>
      <c r="Z4" s="3699"/>
      <c r="AA4" s="3685" t="s">
        <v>449</v>
      </c>
      <c r="AB4" s="3686" t="s">
        <v>450</v>
      </c>
      <c r="AC4" s="3685" t="s">
        <v>451</v>
      </c>
    </row>
    <row r="5" spans="1:29" ht="15">
      <c r="A5" s="745"/>
      <c r="B5" s="746"/>
      <c r="C5" s="3651" t="s">
        <v>1126</v>
      </c>
      <c r="D5" s="3652"/>
      <c r="E5" s="3658" t="s">
        <v>1127</v>
      </c>
      <c r="F5" s="3659"/>
      <c r="G5" s="3651" t="s">
        <v>61</v>
      </c>
      <c r="H5" s="3652"/>
      <c r="I5" s="3651" t="s">
        <v>1128</v>
      </c>
      <c r="J5" s="3652"/>
      <c r="K5" s="951"/>
      <c r="L5" s="2346"/>
      <c r="M5" s="2347"/>
      <c r="N5" s="2347"/>
      <c r="O5" s="2347"/>
      <c r="P5" s="3694"/>
      <c r="Q5" s="3695"/>
      <c r="R5" s="3700"/>
      <c r="S5" s="3701"/>
      <c r="T5" s="3700"/>
      <c r="U5" s="3701"/>
      <c r="V5" s="3704"/>
      <c r="W5" s="3704"/>
      <c r="X5" s="1316"/>
      <c r="Y5" s="3700"/>
      <c r="Z5" s="3701"/>
      <c r="AA5" s="3686"/>
      <c r="AB5" s="3686"/>
      <c r="AC5" s="3686"/>
    </row>
    <row r="6" spans="1:29" ht="15.75" thickBot="1">
      <c r="A6" s="747"/>
      <c r="B6" s="748"/>
      <c r="C6" s="3649" t="s">
        <v>1129</v>
      </c>
      <c r="D6" s="3650"/>
      <c r="E6" s="3656" t="s">
        <v>1129</v>
      </c>
      <c r="F6" s="3657"/>
      <c r="G6" s="3649" t="s">
        <v>1129</v>
      </c>
      <c r="H6" s="3650"/>
      <c r="I6" s="3649" t="s">
        <v>1129</v>
      </c>
      <c r="J6" s="3650"/>
      <c r="K6" s="951" t="s">
        <v>395</v>
      </c>
      <c r="L6" s="2346"/>
      <c r="M6" s="2347"/>
      <c r="N6" s="2347"/>
      <c r="O6" s="2347"/>
      <c r="P6" s="3696"/>
      <c r="Q6" s="3697"/>
      <c r="R6" s="3700"/>
      <c r="S6" s="3701"/>
      <c r="T6" s="3702"/>
      <c r="U6" s="3703"/>
      <c r="V6" s="3704"/>
      <c r="W6" s="3704"/>
      <c r="X6" s="1316"/>
      <c r="Y6" s="3702"/>
      <c r="Z6" s="3703"/>
      <c r="AA6" s="3687"/>
      <c r="AB6" s="3687"/>
      <c r="AC6" s="3687"/>
    </row>
    <row r="7" spans="1:29" s="406" customFormat="1" ht="15.75" thickBot="1">
      <c r="A7" s="749" t="s">
        <v>396</v>
      </c>
      <c r="B7" s="750"/>
      <c r="C7" s="751">
        <f>'数据-取费表'!B2</f>
        <v>42993</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709" t="s">
        <v>397</v>
      </c>
      <c r="Q7" s="3711"/>
      <c r="R7" s="1317" t="s">
        <v>65</v>
      </c>
      <c r="S7" s="1318">
        <f t="shared" ref="S7:S14" si="0">F7</f>
        <v>0</v>
      </c>
      <c r="T7" s="1317" t="s">
        <v>65</v>
      </c>
      <c r="U7" s="1318">
        <f t="shared" ref="U7:U14" si="1">H7</f>
        <v>0</v>
      </c>
      <c r="V7" s="1317" t="s">
        <v>65</v>
      </c>
      <c r="W7" s="1318">
        <f t="shared" ref="W7:W14" si="2">J7</f>
        <v>0</v>
      </c>
      <c r="X7" s="1319"/>
      <c r="Y7" s="3709" t="s">
        <v>397</v>
      </c>
      <c r="Z7" s="3710"/>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709" t="s">
        <v>433</v>
      </c>
      <c r="Q8" s="3710"/>
      <c r="R8" s="1317" t="s">
        <v>65</v>
      </c>
      <c r="S8" s="1318">
        <f t="shared" si="0"/>
        <v>0</v>
      </c>
      <c r="T8" s="1317" t="s">
        <v>65</v>
      </c>
      <c r="U8" s="1318">
        <f t="shared" si="1"/>
        <v>0</v>
      </c>
      <c r="V8" s="1317" t="s">
        <v>65</v>
      </c>
      <c r="W8" s="1318">
        <f t="shared" si="2"/>
        <v>0</v>
      </c>
      <c r="X8" s="1319"/>
      <c r="Y8" s="3709" t="s">
        <v>433</v>
      </c>
      <c r="Z8" s="3710"/>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76" t="s">
        <v>400</v>
      </c>
      <c r="Q9" s="295" t="str">
        <f t="shared" ref="Q9:Q14" si="6">B9</f>
        <v>用途</v>
      </c>
      <c r="R9" s="1317" t="s">
        <v>65</v>
      </c>
      <c r="S9" s="1318">
        <f t="shared" si="0"/>
        <v>100</v>
      </c>
      <c r="T9" s="1317" t="s">
        <v>65</v>
      </c>
      <c r="U9" s="1318">
        <f t="shared" si="1"/>
        <v>100</v>
      </c>
      <c r="V9" s="1317" t="s">
        <v>65</v>
      </c>
      <c r="W9" s="1318">
        <f t="shared" si="2"/>
        <v>100</v>
      </c>
      <c r="X9" s="1319"/>
      <c r="Y9" s="3482"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76"/>
      <c r="Q10" s="295" t="str">
        <f t="shared" si="6"/>
        <v>土地使用年限（年）</v>
      </c>
      <c r="R10" s="1317" t="s">
        <v>65</v>
      </c>
      <c r="S10" s="1318">
        <f t="shared" si="0"/>
        <v>100</v>
      </c>
      <c r="T10" s="1317" t="s">
        <v>65</v>
      </c>
      <c r="U10" s="1318">
        <f t="shared" si="1"/>
        <v>100</v>
      </c>
      <c r="V10" s="1317" t="s">
        <v>65</v>
      </c>
      <c r="W10" s="1318">
        <f t="shared" si="2"/>
        <v>100</v>
      </c>
      <c r="X10" s="1319"/>
      <c r="Y10" s="3482"/>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76"/>
      <c r="Q11" s="295">
        <f t="shared" si="6"/>
        <v>111</v>
      </c>
      <c r="R11" s="1317" t="s">
        <v>65</v>
      </c>
      <c r="S11" s="1318">
        <f t="shared" si="0"/>
        <v>100</v>
      </c>
      <c r="T11" s="1317" t="s">
        <v>65</v>
      </c>
      <c r="U11" s="1318">
        <f t="shared" si="1"/>
        <v>100</v>
      </c>
      <c r="V11" s="1317" t="s">
        <v>65</v>
      </c>
      <c r="W11" s="1318">
        <f t="shared" si="2"/>
        <v>100</v>
      </c>
      <c r="X11" s="1319"/>
      <c r="Y11" s="3482"/>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76"/>
      <c r="Q12" s="295">
        <f t="shared" si="6"/>
        <v>111</v>
      </c>
      <c r="R12" s="1317" t="s">
        <v>65</v>
      </c>
      <c r="S12" s="1318">
        <f t="shared" si="0"/>
        <v>100</v>
      </c>
      <c r="T12" s="1317" t="s">
        <v>65</v>
      </c>
      <c r="U12" s="1318">
        <f t="shared" si="1"/>
        <v>100</v>
      </c>
      <c r="V12" s="1317" t="s">
        <v>65</v>
      </c>
      <c r="W12" s="1318">
        <f t="shared" si="2"/>
        <v>100</v>
      </c>
      <c r="X12" s="1319"/>
      <c r="Y12" s="3482"/>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76"/>
      <c r="Q13" s="295">
        <f t="shared" si="6"/>
        <v>111</v>
      </c>
      <c r="R13" s="1317" t="s">
        <v>65</v>
      </c>
      <c r="S13" s="1318">
        <f t="shared" si="0"/>
        <v>100</v>
      </c>
      <c r="T13" s="1317" t="s">
        <v>65</v>
      </c>
      <c r="U13" s="1318">
        <f t="shared" si="1"/>
        <v>100</v>
      </c>
      <c r="V13" s="1317" t="s">
        <v>65</v>
      </c>
      <c r="W13" s="1318">
        <f t="shared" si="2"/>
        <v>100</v>
      </c>
      <c r="X13" s="1319"/>
      <c r="Y13" s="3482"/>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681" t="s">
        <v>405</v>
      </c>
      <c r="Q14" s="1321" t="str">
        <f t="shared" si="6"/>
        <v>交通便捷度</v>
      </c>
      <c r="R14" s="1322" t="s">
        <v>65</v>
      </c>
      <c r="S14" s="1323">
        <f t="shared" si="0"/>
        <v>100</v>
      </c>
      <c r="T14" s="1322" t="s">
        <v>65</v>
      </c>
      <c r="U14" s="1323">
        <f t="shared" si="1"/>
        <v>100</v>
      </c>
      <c r="V14" s="1322" t="s">
        <v>65</v>
      </c>
      <c r="W14" s="1323">
        <f t="shared" si="2"/>
        <v>100</v>
      </c>
      <c r="X14" s="1316"/>
      <c r="Y14" s="3681"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682"/>
      <c r="Q15" s="1321"/>
      <c r="R15" s="1322"/>
      <c r="S15" s="1323"/>
      <c r="T15" s="1322"/>
      <c r="U15" s="1323"/>
      <c r="V15" s="1322"/>
      <c r="W15" s="1323"/>
      <c r="X15" s="1316"/>
      <c r="Y15" s="3682"/>
      <c r="Z15" s="1324"/>
      <c r="AA15" s="1325">
        <v>1</v>
      </c>
      <c r="AB15" s="1325">
        <v>1</v>
      </c>
      <c r="AC15" s="1325">
        <v>1</v>
      </c>
    </row>
    <row r="16" spans="1:29" ht="40.5">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682"/>
      <c r="Q16" s="1321" t="str">
        <f>B16</f>
        <v>公共配套设施</v>
      </c>
      <c r="R16" s="1322" t="s">
        <v>65</v>
      </c>
      <c r="S16" s="1323">
        <f>F16</f>
        <v>100</v>
      </c>
      <c r="T16" s="1322" t="s">
        <v>65</v>
      </c>
      <c r="U16" s="1323">
        <f>H16</f>
        <v>100</v>
      </c>
      <c r="V16" s="1322" t="s">
        <v>65</v>
      </c>
      <c r="W16" s="1323">
        <f>J16</f>
        <v>100</v>
      </c>
      <c r="X16" s="1316"/>
      <c r="Y16" s="3682"/>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682"/>
      <c r="Q17" s="1321"/>
      <c r="R17" s="1322"/>
      <c r="S17" s="1323"/>
      <c r="T17" s="1322"/>
      <c r="U17" s="1323"/>
      <c r="V17" s="1322"/>
      <c r="W17" s="1323"/>
      <c r="X17" s="1316"/>
      <c r="Y17" s="3682"/>
      <c r="Z17" s="1324"/>
      <c r="AA17" s="1325">
        <v>1</v>
      </c>
      <c r="AB17" s="1325">
        <v>1</v>
      </c>
      <c r="AC17" s="1325">
        <v>1</v>
      </c>
    </row>
    <row r="18" spans="1:29" ht="40.5">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682"/>
      <c r="Q18" s="2747" t="str">
        <f>B18</f>
        <v>基础设施水平</v>
      </c>
      <c r="R18" s="1322" t="s">
        <v>65</v>
      </c>
      <c r="S18" s="1323">
        <f>F18</f>
        <v>100</v>
      </c>
      <c r="T18" s="1322" t="s">
        <v>65</v>
      </c>
      <c r="U18" s="1323">
        <f>H18</f>
        <v>100</v>
      </c>
      <c r="V18" s="1322" t="s">
        <v>65</v>
      </c>
      <c r="W18" s="1323">
        <f>J18</f>
        <v>100</v>
      </c>
      <c r="X18" s="2749"/>
      <c r="Y18" s="3682"/>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682"/>
      <c r="Q19" s="2747"/>
      <c r="R19" s="1322"/>
      <c r="S19" s="1323"/>
      <c r="T19" s="1322"/>
      <c r="U19" s="1323"/>
      <c r="V19" s="1322"/>
      <c r="W19" s="1323"/>
      <c r="X19" s="2749"/>
      <c r="Y19" s="3682"/>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682"/>
      <c r="Q20" s="1321" t="str">
        <f>B20</f>
        <v>自然及人文环境</v>
      </c>
      <c r="R20" s="1322" t="s">
        <v>65</v>
      </c>
      <c r="S20" s="1323">
        <f>F20</f>
        <v>100</v>
      </c>
      <c r="T20" s="1322" t="s">
        <v>65</v>
      </c>
      <c r="U20" s="1323">
        <f>H20</f>
        <v>100</v>
      </c>
      <c r="V20" s="1322" t="s">
        <v>65</v>
      </c>
      <c r="W20" s="1323">
        <f>J20</f>
        <v>100</v>
      </c>
      <c r="X20" s="1316"/>
      <c r="Y20" s="3682"/>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682"/>
      <c r="Q21" s="1321"/>
      <c r="R21" s="1322"/>
      <c r="S21" s="1323"/>
      <c r="T21" s="1322"/>
      <c r="U21" s="1323"/>
      <c r="V21" s="1322"/>
      <c r="W21" s="1323"/>
      <c r="X21" s="1316"/>
      <c r="Y21" s="3682"/>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682"/>
      <c r="Q22" s="1321" t="str">
        <f>B22</f>
        <v>楼层</v>
      </c>
      <c r="R22" s="1322" t="s">
        <v>65</v>
      </c>
      <c r="S22" s="1323">
        <f>F22</f>
        <v>100</v>
      </c>
      <c r="T22" s="1322" t="s">
        <v>65</v>
      </c>
      <c r="U22" s="1323">
        <f>H22</f>
        <v>100</v>
      </c>
      <c r="V22" s="1322" t="s">
        <v>65</v>
      </c>
      <c r="W22" s="1323">
        <f>J22</f>
        <v>100</v>
      </c>
      <c r="X22" s="1316"/>
      <c r="Y22" s="3682"/>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682"/>
      <c r="Q23" s="1321">
        <f>B23</f>
        <v>111</v>
      </c>
      <c r="R23" s="1322" t="s">
        <v>65</v>
      </c>
      <c r="S23" s="1323">
        <f>F23</f>
        <v>100</v>
      </c>
      <c r="T23" s="1322" t="s">
        <v>65</v>
      </c>
      <c r="U23" s="1323">
        <f>H23</f>
        <v>100</v>
      </c>
      <c r="V23" s="1322" t="s">
        <v>65</v>
      </c>
      <c r="W23" s="1323">
        <f>J23</f>
        <v>100</v>
      </c>
      <c r="X23" s="1316"/>
      <c r="Y23" s="3682"/>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682"/>
      <c r="Q24" s="1321">
        <f t="shared" ref="Q24:Q34" si="11">B24</f>
        <v>111</v>
      </c>
      <c r="R24" s="1322" t="s">
        <v>65</v>
      </c>
      <c r="S24" s="1323">
        <f>F24</f>
        <v>100</v>
      </c>
      <c r="T24" s="1322" t="s">
        <v>65</v>
      </c>
      <c r="U24" s="1323">
        <f>H24</f>
        <v>100</v>
      </c>
      <c r="V24" s="1322" t="s">
        <v>65</v>
      </c>
      <c r="W24" s="1323">
        <f>J24</f>
        <v>100</v>
      </c>
      <c r="X24" s="1316"/>
      <c r="Y24" s="3682"/>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682"/>
      <c r="Q25" s="295">
        <f t="shared" si="11"/>
        <v>111</v>
      </c>
      <c r="R25" s="1317" t="s">
        <v>65</v>
      </c>
      <c r="S25" s="1318">
        <f>F25</f>
        <v>100</v>
      </c>
      <c r="T25" s="1317" t="s">
        <v>65</v>
      </c>
      <c r="U25" s="1318">
        <f>H25</f>
        <v>100</v>
      </c>
      <c r="V25" s="1317" t="s">
        <v>65</v>
      </c>
      <c r="W25" s="1318">
        <f>J25</f>
        <v>100</v>
      </c>
      <c r="X25" s="1319"/>
      <c r="Y25" s="3682"/>
      <c r="Z25" s="343">
        <f>Q25</f>
        <v>111</v>
      </c>
      <c r="AA25" s="1325">
        <f>D25/F25</f>
        <v>1</v>
      </c>
      <c r="AB25" s="1325">
        <f>D25/H25</f>
        <v>1</v>
      </c>
      <c r="AC25" s="1325">
        <f>D25/J25</f>
        <v>1</v>
      </c>
    </row>
    <row r="26" spans="1:29" ht="1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683"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4"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84"/>
      <c r="Q27" s="1326" t="str">
        <f t="shared" si="11"/>
        <v>成新率</v>
      </c>
      <c r="R27" s="1327" t="s">
        <v>65</v>
      </c>
      <c r="S27" s="1328" t="e">
        <f t="shared" si="12"/>
        <v>#N/A</v>
      </c>
      <c r="T27" s="1327" t="s">
        <v>65</v>
      </c>
      <c r="U27" s="1328" t="e">
        <f t="shared" si="13"/>
        <v>#N/A</v>
      </c>
      <c r="V27" s="1327" t="s">
        <v>65</v>
      </c>
      <c r="W27" s="1328" t="e">
        <f t="shared" si="14"/>
        <v>#N/A</v>
      </c>
      <c r="X27" s="1329"/>
      <c r="Y27" s="3684"/>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84"/>
      <c r="Q28" s="1321" t="str">
        <f t="shared" si="11"/>
        <v>物业等级</v>
      </c>
      <c r="R28" s="1322" t="s">
        <v>65</v>
      </c>
      <c r="S28" s="1323">
        <f t="shared" si="12"/>
        <v>100</v>
      </c>
      <c r="T28" s="1322" t="s">
        <v>65</v>
      </c>
      <c r="U28" s="1323">
        <f t="shared" si="13"/>
        <v>100</v>
      </c>
      <c r="V28" s="1322" t="s">
        <v>65</v>
      </c>
      <c r="W28" s="1323">
        <f t="shared" si="14"/>
        <v>100</v>
      </c>
      <c r="X28" s="1316"/>
      <c r="Y28" s="3684"/>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684"/>
      <c r="Q29" s="1321" t="str">
        <f t="shared" si="11"/>
        <v>有无电梯</v>
      </c>
      <c r="R29" s="1322" t="s">
        <v>65</v>
      </c>
      <c r="S29" s="1323">
        <f t="shared" si="12"/>
        <v>100</v>
      </c>
      <c r="T29" s="1322" t="s">
        <v>65</v>
      </c>
      <c r="U29" s="1323">
        <f t="shared" si="13"/>
        <v>100</v>
      </c>
      <c r="V29" s="1322" t="s">
        <v>65</v>
      </c>
      <c r="W29" s="1323">
        <f t="shared" si="14"/>
        <v>100</v>
      </c>
      <c r="X29" s="1316"/>
      <c r="Y29" s="3684"/>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84"/>
      <c r="Q30" s="1321" t="str">
        <f t="shared" si="11"/>
        <v>建筑面积</v>
      </c>
      <c r="R30" s="1322" t="s">
        <v>65</v>
      </c>
      <c r="S30" s="1323" t="e">
        <f t="shared" si="12"/>
        <v>#N/A</v>
      </c>
      <c r="T30" s="1322" t="s">
        <v>65</v>
      </c>
      <c r="U30" s="1323" t="e">
        <f t="shared" si="13"/>
        <v>#N/A</v>
      </c>
      <c r="V30" s="1322" t="s">
        <v>65</v>
      </c>
      <c r="W30" s="1323" t="e">
        <f t="shared" si="14"/>
        <v>#N/A</v>
      </c>
      <c r="X30" s="1316"/>
      <c r="Y30" s="3684"/>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684"/>
      <c r="Q31" s="295" t="str">
        <f t="shared" si="11"/>
        <v>是否封闭</v>
      </c>
      <c r="R31" s="1317" t="s">
        <v>65</v>
      </c>
      <c r="S31" s="1318">
        <f t="shared" si="12"/>
        <v>100</v>
      </c>
      <c r="T31" s="1317" t="s">
        <v>65</v>
      </c>
      <c r="U31" s="1318">
        <f t="shared" si="13"/>
        <v>100</v>
      </c>
      <c r="V31" s="1317" t="s">
        <v>65</v>
      </c>
      <c r="W31" s="1318">
        <f t="shared" si="14"/>
        <v>100</v>
      </c>
      <c r="X31" s="1319"/>
      <c r="Y31" s="3684"/>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684" t="s">
        <v>407</v>
      </c>
      <c r="Q32" s="1321">
        <f t="shared" si="11"/>
        <v>111</v>
      </c>
      <c r="R32" s="1322" t="s">
        <v>65</v>
      </c>
      <c r="S32" s="1323">
        <f t="shared" si="12"/>
        <v>100</v>
      </c>
      <c r="T32" s="1322" t="s">
        <v>65</v>
      </c>
      <c r="U32" s="1323">
        <f t="shared" si="13"/>
        <v>100</v>
      </c>
      <c r="V32" s="1322" t="s">
        <v>65</v>
      </c>
      <c r="W32" s="1323">
        <f t="shared" si="14"/>
        <v>100</v>
      </c>
      <c r="X32" s="1316"/>
      <c r="Y32" s="3684"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684"/>
      <c r="Q33" s="1321">
        <f t="shared" si="11"/>
        <v>111</v>
      </c>
      <c r="R33" s="1322" t="s">
        <v>65</v>
      </c>
      <c r="S33" s="1323">
        <f t="shared" si="12"/>
        <v>100</v>
      </c>
      <c r="T33" s="1322" t="s">
        <v>65</v>
      </c>
      <c r="U33" s="1323">
        <f t="shared" si="13"/>
        <v>100</v>
      </c>
      <c r="V33" s="1322" t="s">
        <v>65</v>
      </c>
      <c r="W33" s="1323">
        <f t="shared" si="14"/>
        <v>100</v>
      </c>
      <c r="X33" s="1316"/>
      <c r="Y33" s="3684"/>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684"/>
      <c r="Q34" s="1321">
        <f t="shared" si="11"/>
        <v>111</v>
      </c>
      <c r="R34" s="1322" t="s">
        <v>65</v>
      </c>
      <c r="S34" s="1323">
        <f t="shared" si="12"/>
        <v>100</v>
      </c>
      <c r="T34" s="1322" t="s">
        <v>65</v>
      </c>
      <c r="U34" s="1323">
        <f t="shared" si="13"/>
        <v>100</v>
      </c>
      <c r="V34" s="1322" t="s">
        <v>65</v>
      </c>
      <c r="W34" s="1323">
        <f t="shared" si="14"/>
        <v>100</v>
      </c>
      <c r="X34" s="1316"/>
      <c r="Y34" s="3684"/>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76" t="str">
        <f>A35</f>
        <v>成交单价（元/平方米）</v>
      </c>
      <c r="Q35" s="3676"/>
      <c r="R35" s="3677">
        <f>E35</f>
        <v>0</v>
      </c>
      <c r="S35" s="3677"/>
      <c r="T35" s="3677">
        <f>G35</f>
        <v>0</v>
      </c>
      <c r="U35" s="3677"/>
      <c r="V35" s="3677">
        <f>I35</f>
        <v>0</v>
      </c>
      <c r="W35" s="3677"/>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305"/>
      <c r="Y36" s="1305"/>
      <c r="Z36" s="1305"/>
      <c r="AA36" s="1305"/>
      <c r="AB36" s="1305"/>
      <c r="AC36" s="1305"/>
    </row>
    <row r="37" spans="1:29" ht="15.75" thickBot="1">
      <c r="A37" s="115" t="s">
        <v>3005</v>
      </c>
      <c r="B37" s="834"/>
      <c r="C37" s="2841" t="e">
        <f>R37</f>
        <v>#DIV/0!</v>
      </c>
      <c r="D37" s="2841"/>
      <c r="E37" s="2841"/>
      <c r="F37" s="2841"/>
      <c r="G37" s="2841"/>
      <c r="H37" s="2841"/>
      <c r="I37" s="2841"/>
      <c r="J37" s="2841"/>
      <c r="K37" s="1400"/>
      <c r="L37" s="2359"/>
      <c r="M37" s="2360"/>
      <c r="N37" s="2360"/>
      <c r="O37" s="2360"/>
      <c r="P37" s="3678" t="str">
        <f>A37</f>
        <v>估价对象XX用房的比较价值（楼面单价，元/平方米）</v>
      </c>
      <c r="Q37" s="3679"/>
      <c r="R37" s="3680" t="e">
        <f>IF(F1="售价",ROUND(AVERAGE(R36:V36),0),ROUND(AVERAGE(R36:V36),1))</f>
        <v>#DIV/0!</v>
      </c>
      <c r="S37" s="3680"/>
      <c r="T37" s="3680"/>
      <c r="U37" s="3680"/>
      <c r="V37" s="3680"/>
      <c r="W37" s="3680"/>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88" t="s">
        <v>389</v>
      </c>
      <c r="D4" s="3689"/>
      <c r="E4" s="3690" t="s">
        <v>390</v>
      </c>
      <c r="F4" s="3691"/>
      <c r="G4" s="3688" t="s">
        <v>391</v>
      </c>
      <c r="H4" s="3689"/>
      <c r="I4" s="3688" t="s">
        <v>392</v>
      </c>
      <c r="J4" s="3689"/>
      <c r="K4" s="951" t="s">
        <v>393</v>
      </c>
      <c r="L4" s="2346"/>
      <c r="M4" s="2347"/>
      <c r="N4" s="2347"/>
      <c r="O4" s="2347"/>
      <c r="P4" s="3692" t="s">
        <v>394</v>
      </c>
      <c r="Q4" s="3693"/>
      <c r="R4" s="3698" t="s">
        <v>390</v>
      </c>
      <c r="S4" s="3699"/>
      <c r="T4" s="3698" t="s">
        <v>391</v>
      </c>
      <c r="U4" s="3699"/>
      <c r="V4" s="3704" t="s">
        <v>392</v>
      </c>
      <c r="W4" s="3704"/>
      <c r="X4" s="1316"/>
      <c r="Y4" s="3698" t="s">
        <v>394</v>
      </c>
      <c r="Z4" s="3699"/>
      <c r="AA4" s="3685" t="s">
        <v>390</v>
      </c>
      <c r="AB4" s="3686" t="s">
        <v>391</v>
      </c>
      <c r="AC4" s="3685" t="s">
        <v>392</v>
      </c>
    </row>
    <row r="5" spans="1:30" ht="15">
      <c r="A5" s="745"/>
      <c r="B5" s="746"/>
      <c r="C5" s="3651" t="s">
        <v>1126</v>
      </c>
      <c r="D5" s="3652"/>
      <c r="E5" s="3658" t="s">
        <v>3057</v>
      </c>
      <c r="F5" s="3659"/>
      <c r="G5" s="3651" t="s">
        <v>1130</v>
      </c>
      <c r="H5" s="3652"/>
      <c r="I5" s="3651" t="s">
        <v>1128</v>
      </c>
      <c r="J5" s="3652"/>
      <c r="K5" s="951"/>
      <c r="L5" s="2346"/>
      <c r="M5" s="2347"/>
      <c r="N5" s="2347"/>
      <c r="O5" s="2347"/>
      <c r="P5" s="3694"/>
      <c r="Q5" s="3695"/>
      <c r="R5" s="3700"/>
      <c r="S5" s="3701"/>
      <c r="T5" s="3700"/>
      <c r="U5" s="3701"/>
      <c r="V5" s="3704"/>
      <c r="W5" s="3704"/>
      <c r="X5" s="1316"/>
      <c r="Y5" s="3700"/>
      <c r="Z5" s="3701"/>
      <c r="AA5" s="3686"/>
      <c r="AB5" s="3686"/>
      <c r="AC5" s="3686"/>
    </row>
    <row r="6" spans="1:30" ht="15.75" thickBot="1">
      <c r="A6" s="747"/>
      <c r="B6" s="748"/>
      <c r="C6" s="3649" t="s">
        <v>1129</v>
      </c>
      <c r="D6" s="3650"/>
      <c r="E6" s="3656" t="s">
        <v>3055</v>
      </c>
      <c r="F6" s="3657"/>
      <c r="G6" s="3649" t="s">
        <v>1129</v>
      </c>
      <c r="H6" s="3650"/>
      <c r="I6" s="3649" t="s">
        <v>1129</v>
      </c>
      <c r="J6" s="3650"/>
      <c r="K6" s="951" t="s">
        <v>395</v>
      </c>
      <c r="L6" s="2346"/>
      <c r="M6" s="2347"/>
      <c r="N6" s="2347"/>
      <c r="O6" s="2347"/>
      <c r="P6" s="3696"/>
      <c r="Q6" s="3697"/>
      <c r="R6" s="3700"/>
      <c r="S6" s="3701"/>
      <c r="T6" s="3702"/>
      <c r="U6" s="3703"/>
      <c r="V6" s="3704"/>
      <c r="W6" s="3704"/>
      <c r="X6" s="1316"/>
      <c r="Y6" s="3702"/>
      <c r="Z6" s="3703"/>
      <c r="AA6" s="3687"/>
      <c r="AB6" s="3687"/>
      <c r="AC6" s="3687"/>
    </row>
    <row r="7" spans="1:30" s="406" customFormat="1" ht="15.75" thickBot="1">
      <c r="A7" s="749" t="s">
        <v>396</v>
      </c>
      <c r="B7" s="750"/>
      <c r="C7" s="751">
        <f>'数据-取费表'!B2</f>
        <v>42993</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709" t="s">
        <v>397</v>
      </c>
      <c r="Q7" s="3711"/>
      <c r="R7" s="1317" t="s">
        <v>65</v>
      </c>
      <c r="S7" s="1318">
        <f t="shared" ref="S7:S15" si="0">F7</f>
        <v>0</v>
      </c>
      <c r="T7" s="1317" t="s">
        <v>65</v>
      </c>
      <c r="U7" s="1318">
        <f t="shared" ref="U7:U15" si="1">H7</f>
        <v>0</v>
      </c>
      <c r="V7" s="1317" t="s">
        <v>65</v>
      </c>
      <c r="W7" s="1318">
        <f t="shared" ref="W7:W15" si="2">J7</f>
        <v>0</v>
      </c>
      <c r="X7" s="1319"/>
      <c r="Y7" s="3709" t="s">
        <v>397</v>
      </c>
      <c r="Z7" s="3710"/>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709" t="s">
        <v>433</v>
      </c>
      <c r="Q8" s="3710"/>
      <c r="R8" s="1317" t="s">
        <v>65</v>
      </c>
      <c r="S8" s="1318">
        <f t="shared" si="0"/>
        <v>100</v>
      </c>
      <c r="T8" s="1317" t="s">
        <v>65</v>
      </c>
      <c r="U8" s="1318">
        <f t="shared" si="1"/>
        <v>0</v>
      </c>
      <c r="V8" s="1317" t="s">
        <v>65</v>
      </c>
      <c r="W8" s="1318">
        <f t="shared" si="2"/>
        <v>0</v>
      </c>
      <c r="X8" s="1319"/>
      <c r="Y8" s="3709" t="s">
        <v>433</v>
      </c>
      <c r="Z8" s="3710"/>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76" t="s">
        <v>400</v>
      </c>
      <c r="Q9" s="295" t="str">
        <f t="shared" ref="Q9:Q15" si="6">B9</f>
        <v>用途</v>
      </c>
      <c r="R9" s="1317" t="s">
        <v>65</v>
      </c>
      <c r="S9" s="1318">
        <f t="shared" si="0"/>
        <v>100</v>
      </c>
      <c r="T9" s="1317" t="s">
        <v>65</v>
      </c>
      <c r="U9" s="1318">
        <f t="shared" si="1"/>
        <v>100</v>
      </c>
      <c r="V9" s="1317" t="s">
        <v>65</v>
      </c>
      <c r="W9" s="1318">
        <f t="shared" si="2"/>
        <v>100</v>
      </c>
      <c r="X9" s="1319"/>
      <c r="Y9" s="3482"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101</v>
      </c>
      <c r="G10" s="804"/>
      <c r="H10" s="425">
        <f>ROUND(100/'数据-取费表'!G16,0)</f>
        <v>101</v>
      </c>
      <c r="I10" s="804"/>
      <c r="J10" s="425">
        <f>ROUND(100/'数据-取费表'!G16,0)</f>
        <v>101</v>
      </c>
      <c r="K10" s="1079"/>
      <c r="L10" s="2351"/>
      <c r="M10" s="2352"/>
      <c r="N10" s="2352"/>
      <c r="O10" s="2353"/>
      <c r="P10" s="3676"/>
      <c r="Q10" s="295" t="str">
        <f t="shared" si="6"/>
        <v>土地使用年限（年）</v>
      </c>
      <c r="R10" s="1317" t="s">
        <v>65</v>
      </c>
      <c r="S10" s="1318">
        <f t="shared" si="0"/>
        <v>101</v>
      </c>
      <c r="T10" s="1317" t="s">
        <v>65</v>
      </c>
      <c r="U10" s="1318">
        <f t="shared" si="1"/>
        <v>101</v>
      </c>
      <c r="V10" s="1317" t="s">
        <v>65</v>
      </c>
      <c r="W10" s="1318">
        <f t="shared" si="2"/>
        <v>101</v>
      </c>
      <c r="X10" s="1319"/>
      <c r="Y10" s="3482"/>
      <c r="Z10" s="343" t="str">
        <f t="shared" si="7"/>
        <v>土地使用年限（年）</v>
      </c>
      <c r="AA10" s="1320">
        <f t="shared" si="3"/>
        <v>0.99009900990099009</v>
      </c>
      <c r="AB10" s="1320">
        <f t="shared" si="4"/>
        <v>0.99009900990099009</v>
      </c>
      <c r="AC10" s="1320">
        <f t="shared" si="5"/>
        <v>0.99009900990099009</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76"/>
      <c r="Q11" s="295" t="str">
        <f t="shared" si="6"/>
        <v>容积率</v>
      </c>
      <c r="R11" s="1317" t="s">
        <v>65</v>
      </c>
      <c r="S11" s="1318" t="e">
        <f t="shared" si="0"/>
        <v>#N/A</v>
      </c>
      <c r="T11" s="1317" t="s">
        <v>65</v>
      </c>
      <c r="U11" s="1318" t="e">
        <f t="shared" si="1"/>
        <v>#N/A</v>
      </c>
      <c r="V11" s="1317" t="s">
        <v>65</v>
      </c>
      <c r="W11" s="1318" t="e">
        <f t="shared" si="2"/>
        <v>#N/A</v>
      </c>
      <c r="X11" s="1319"/>
      <c r="Y11" s="3482"/>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76"/>
      <c r="Q12" s="295" t="str">
        <f t="shared" si="6"/>
        <v>配建</v>
      </c>
      <c r="R12" s="1317" t="s">
        <v>65</v>
      </c>
      <c r="S12" s="1318">
        <f t="shared" si="0"/>
        <v>100</v>
      </c>
      <c r="T12" s="1317" t="s">
        <v>65</v>
      </c>
      <c r="U12" s="1318">
        <f t="shared" si="1"/>
        <v>100</v>
      </c>
      <c r="V12" s="1317" t="s">
        <v>65</v>
      </c>
      <c r="W12" s="1318">
        <f t="shared" si="2"/>
        <v>100</v>
      </c>
      <c r="X12" s="1319"/>
      <c r="Y12" s="3482"/>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76"/>
      <c r="Q13" s="295">
        <f t="shared" si="6"/>
        <v>111</v>
      </c>
      <c r="R13" s="1317" t="s">
        <v>65</v>
      </c>
      <c r="S13" s="1318">
        <f t="shared" si="0"/>
        <v>100</v>
      </c>
      <c r="T13" s="1317" t="s">
        <v>65</v>
      </c>
      <c r="U13" s="1318">
        <f t="shared" si="1"/>
        <v>100</v>
      </c>
      <c r="V13" s="1317" t="s">
        <v>65</v>
      </c>
      <c r="W13" s="1318">
        <f t="shared" si="2"/>
        <v>100</v>
      </c>
      <c r="X13" s="1319"/>
      <c r="Y13" s="3482"/>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76"/>
      <c r="Q14" s="295">
        <f t="shared" si="6"/>
        <v>111</v>
      </c>
      <c r="R14" s="1317" t="s">
        <v>65</v>
      </c>
      <c r="S14" s="1318">
        <f t="shared" si="0"/>
        <v>100</v>
      </c>
      <c r="T14" s="1317" t="s">
        <v>65</v>
      </c>
      <c r="U14" s="1318">
        <f t="shared" si="1"/>
        <v>100</v>
      </c>
      <c r="V14" s="1317" t="s">
        <v>65</v>
      </c>
      <c r="W14" s="1318">
        <f t="shared" si="2"/>
        <v>100</v>
      </c>
      <c r="X14" s="1319"/>
      <c r="Y14" s="3482"/>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681" t="s">
        <v>405</v>
      </c>
      <c r="Q15" s="1321" t="str">
        <f t="shared" si="6"/>
        <v>居住社区成熟度</v>
      </c>
      <c r="R15" s="1322" t="s">
        <v>65</v>
      </c>
      <c r="S15" s="1323">
        <f t="shared" si="0"/>
        <v>100</v>
      </c>
      <c r="T15" s="1322" t="s">
        <v>65</v>
      </c>
      <c r="U15" s="1323">
        <f t="shared" si="1"/>
        <v>100</v>
      </c>
      <c r="V15" s="1322" t="s">
        <v>65</v>
      </c>
      <c r="W15" s="1323">
        <f t="shared" si="2"/>
        <v>100</v>
      </c>
      <c r="X15" s="1316"/>
      <c r="Y15" s="3681"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682"/>
      <c r="Q16" s="1321"/>
      <c r="R16" s="1322"/>
      <c r="S16" s="1323"/>
      <c r="T16" s="1322"/>
      <c r="U16" s="1323"/>
      <c r="V16" s="1322"/>
      <c r="W16" s="1323"/>
      <c r="X16" s="1316"/>
      <c r="Y16" s="3682"/>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682"/>
      <c r="Q17" s="1321" t="str">
        <f>B17</f>
        <v>商业繁华度</v>
      </c>
      <c r="R17" s="1322" t="s">
        <v>65</v>
      </c>
      <c r="S17" s="1323">
        <f>F17</f>
        <v>100</v>
      </c>
      <c r="T17" s="1322" t="s">
        <v>65</v>
      </c>
      <c r="U17" s="1323">
        <f>H17</f>
        <v>100</v>
      </c>
      <c r="V17" s="1322" t="s">
        <v>65</v>
      </c>
      <c r="W17" s="1323">
        <f>J17</f>
        <v>100</v>
      </c>
      <c r="X17" s="1316"/>
      <c r="Y17" s="3682"/>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682"/>
      <c r="Q18" s="1321"/>
      <c r="R18" s="1322"/>
      <c r="S18" s="1323"/>
      <c r="T18" s="1322"/>
      <c r="U18" s="1323"/>
      <c r="V18" s="1322"/>
      <c r="W18" s="1323"/>
      <c r="X18" s="1316"/>
      <c r="Y18" s="3682"/>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682"/>
      <c r="Q19" s="1321" t="str">
        <f>B19</f>
        <v>办公集聚程度</v>
      </c>
      <c r="R19" s="1322" t="s">
        <v>65</v>
      </c>
      <c r="S19" s="1323">
        <f>F19</f>
        <v>100</v>
      </c>
      <c r="T19" s="1322" t="s">
        <v>65</v>
      </c>
      <c r="U19" s="1323">
        <f>H19</f>
        <v>100</v>
      </c>
      <c r="V19" s="1322" t="s">
        <v>65</v>
      </c>
      <c r="W19" s="1323">
        <f>J19</f>
        <v>100</v>
      </c>
      <c r="X19" s="1316"/>
      <c r="Y19" s="3682"/>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682"/>
      <c r="Q20" s="1321"/>
      <c r="R20" s="1322"/>
      <c r="S20" s="1323"/>
      <c r="T20" s="1322"/>
      <c r="U20" s="1323"/>
      <c r="V20" s="1322"/>
      <c r="W20" s="1323"/>
      <c r="X20" s="1316"/>
      <c r="Y20" s="3682"/>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682"/>
      <c r="Q21" s="1321" t="str">
        <f>B21</f>
        <v>交通便捷度</v>
      </c>
      <c r="R21" s="1322" t="s">
        <v>65</v>
      </c>
      <c r="S21" s="1323">
        <f>F21</f>
        <v>100</v>
      </c>
      <c r="T21" s="1322" t="s">
        <v>65</v>
      </c>
      <c r="U21" s="1323">
        <f>H21</f>
        <v>100</v>
      </c>
      <c r="V21" s="1322" t="s">
        <v>65</v>
      </c>
      <c r="W21" s="1323">
        <f>J21</f>
        <v>100</v>
      </c>
      <c r="X21" s="1316"/>
      <c r="Y21" s="3682"/>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682"/>
      <c r="Q22" s="1321"/>
      <c r="R22" s="1322"/>
      <c r="S22" s="1323"/>
      <c r="T22" s="1322"/>
      <c r="U22" s="1323"/>
      <c r="V22" s="1322"/>
      <c r="W22" s="1323"/>
      <c r="X22" s="1316"/>
      <c r="Y22" s="3682"/>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682"/>
      <c r="Q23" s="1321" t="str">
        <f t="shared" ref="Q23:Q37" si="8">B23</f>
        <v>区域土地利用方向</v>
      </c>
      <c r="R23" s="1322" t="s">
        <v>65</v>
      </c>
      <c r="S23" s="1323">
        <f>F23</f>
        <v>100</v>
      </c>
      <c r="T23" s="1322" t="s">
        <v>65</v>
      </c>
      <c r="U23" s="1323">
        <f>H23</f>
        <v>100</v>
      </c>
      <c r="V23" s="1322" t="s">
        <v>65</v>
      </c>
      <c r="W23" s="1323">
        <f>J23</f>
        <v>100</v>
      </c>
      <c r="X23" s="1316"/>
      <c r="Y23" s="3682"/>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682"/>
      <c r="Q24" s="1467"/>
      <c r="R24" s="1322"/>
      <c r="S24" s="1323"/>
      <c r="T24" s="1322"/>
      <c r="U24" s="1323"/>
      <c r="V24" s="1322"/>
      <c r="W24" s="1323"/>
      <c r="X24" s="1466"/>
      <c r="Y24" s="3682"/>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682"/>
      <c r="Q25" s="1321" t="str">
        <f t="shared" si="8"/>
        <v>自然及人文环境状况</v>
      </c>
      <c r="R25" s="1322" t="s">
        <v>65</v>
      </c>
      <c r="S25" s="1323">
        <f>F25</f>
        <v>100</v>
      </c>
      <c r="T25" s="1322" t="s">
        <v>65</v>
      </c>
      <c r="U25" s="1323">
        <f>H25</f>
        <v>100</v>
      </c>
      <c r="V25" s="1322" t="s">
        <v>65</v>
      </c>
      <c r="W25" s="1323">
        <f>J25</f>
        <v>100</v>
      </c>
      <c r="X25" s="1316"/>
      <c r="Y25" s="3682"/>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682"/>
      <c r="Q26" s="1321"/>
      <c r="R26" s="1322"/>
      <c r="S26" s="1323"/>
      <c r="T26" s="1322"/>
      <c r="U26" s="1323"/>
      <c r="V26" s="1322"/>
      <c r="W26" s="1323"/>
      <c r="X26" s="1316"/>
      <c r="Y26" s="3682"/>
      <c r="Z26" s="1324"/>
      <c r="AA26" s="1325">
        <v>1</v>
      </c>
      <c r="AB26" s="1325">
        <v>1</v>
      </c>
      <c r="AC26" s="1325">
        <v>1</v>
      </c>
    </row>
    <row r="27" spans="1:29" s="406" customFormat="1" ht="40.5">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682"/>
      <c r="Q27" s="295" t="str">
        <f t="shared" si="8"/>
        <v>公共配套设施</v>
      </c>
      <c r="R27" s="1317" t="s">
        <v>65</v>
      </c>
      <c r="S27" s="1318">
        <f>F27</f>
        <v>100</v>
      </c>
      <c r="T27" s="1317" t="s">
        <v>65</v>
      </c>
      <c r="U27" s="1318">
        <f>H27</f>
        <v>100</v>
      </c>
      <c r="V27" s="1317" t="s">
        <v>65</v>
      </c>
      <c r="W27" s="1318">
        <f>J27</f>
        <v>100</v>
      </c>
      <c r="X27" s="1319"/>
      <c r="Y27" s="3682"/>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682"/>
      <c r="Q28" s="295"/>
      <c r="R28" s="1317"/>
      <c r="S28" s="1318"/>
      <c r="T28" s="1317"/>
      <c r="U28" s="1318"/>
      <c r="V28" s="1317"/>
      <c r="W28" s="1318"/>
      <c r="X28" s="1319"/>
      <c r="Y28" s="3682"/>
      <c r="Z28" s="343"/>
      <c r="AA28" s="1325">
        <v>1</v>
      </c>
      <c r="AB28" s="1325">
        <v>1</v>
      </c>
      <c r="AC28" s="1325">
        <v>1</v>
      </c>
    </row>
    <row r="29" spans="1:29" s="406" customFormat="1" ht="40.5">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682"/>
      <c r="Q29" s="2742" t="str">
        <f t="shared" ref="Q29" si="9">B29</f>
        <v>基础设施水平</v>
      </c>
      <c r="R29" s="1317" t="s">
        <v>65</v>
      </c>
      <c r="S29" s="1318">
        <f>F29</f>
        <v>100</v>
      </c>
      <c r="T29" s="1317" t="s">
        <v>65</v>
      </c>
      <c r="U29" s="1318">
        <f>H29</f>
        <v>100</v>
      </c>
      <c r="V29" s="1317" t="s">
        <v>65</v>
      </c>
      <c r="W29" s="1318">
        <f>J29</f>
        <v>100</v>
      </c>
      <c r="X29" s="1319"/>
      <c r="Y29" s="3682"/>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682"/>
      <c r="Q30" s="2742"/>
      <c r="R30" s="1317"/>
      <c r="S30" s="1318"/>
      <c r="T30" s="1317"/>
      <c r="U30" s="1318"/>
      <c r="V30" s="1317"/>
      <c r="W30" s="1318"/>
      <c r="X30" s="1319"/>
      <c r="Y30" s="3682"/>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682"/>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82"/>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682"/>
      <c r="Q32" s="1321" t="str">
        <f t="shared" si="8"/>
        <v>毗邻道路的类型与等级</v>
      </c>
      <c r="R32" s="1322" t="s">
        <v>65</v>
      </c>
      <c r="S32" s="1323">
        <f t="shared" si="10"/>
        <v>100</v>
      </c>
      <c r="T32" s="1322" t="s">
        <v>65</v>
      </c>
      <c r="U32" s="1323">
        <f t="shared" si="11"/>
        <v>100</v>
      </c>
      <c r="V32" s="1322" t="s">
        <v>65</v>
      </c>
      <c r="W32" s="1323">
        <f t="shared" si="12"/>
        <v>100</v>
      </c>
      <c r="X32" s="1316"/>
      <c r="Y32" s="3682"/>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682"/>
      <c r="Q33" s="1321"/>
      <c r="R33" s="1322"/>
      <c r="S33" s="1323"/>
      <c r="T33" s="1322"/>
      <c r="U33" s="1323"/>
      <c r="V33" s="1322"/>
      <c r="W33" s="1323"/>
      <c r="X33" s="1316"/>
      <c r="Y33" s="3682"/>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682"/>
      <c r="Q34" s="1321" t="str">
        <f t="shared" si="8"/>
        <v>土地级别</v>
      </c>
      <c r="R34" s="1322" t="s">
        <v>65</v>
      </c>
      <c r="S34" s="1323">
        <f t="shared" si="10"/>
        <v>100</v>
      </c>
      <c r="T34" s="1322" t="s">
        <v>65</v>
      </c>
      <c r="U34" s="1323">
        <f t="shared" si="11"/>
        <v>100</v>
      </c>
      <c r="V34" s="1322" t="s">
        <v>65</v>
      </c>
      <c r="W34" s="1323">
        <f t="shared" si="12"/>
        <v>100</v>
      </c>
      <c r="X34" s="1316"/>
      <c r="Y34" s="3682"/>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682"/>
      <c r="Q35" s="1321">
        <f t="shared" si="8"/>
        <v>111</v>
      </c>
      <c r="R35" s="1322" t="s">
        <v>65</v>
      </c>
      <c r="S35" s="1323">
        <f t="shared" si="10"/>
        <v>100</v>
      </c>
      <c r="T35" s="1322" t="s">
        <v>65</v>
      </c>
      <c r="U35" s="1323">
        <f t="shared" si="11"/>
        <v>100</v>
      </c>
      <c r="V35" s="1322" t="s">
        <v>65</v>
      </c>
      <c r="W35" s="1323">
        <f t="shared" si="12"/>
        <v>100</v>
      </c>
      <c r="X35" s="1316"/>
      <c r="Y35" s="3682"/>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683" t="s">
        <v>407</v>
      </c>
      <c r="Q36" s="1321">
        <f t="shared" si="8"/>
        <v>111</v>
      </c>
      <c r="R36" s="1322" t="s">
        <v>65</v>
      </c>
      <c r="S36" s="1323">
        <f t="shared" si="10"/>
        <v>100</v>
      </c>
      <c r="T36" s="1322" t="s">
        <v>65</v>
      </c>
      <c r="U36" s="1323">
        <f t="shared" si="11"/>
        <v>100</v>
      </c>
      <c r="V36" s="1322" t="s">
        <v>65</v>
      </c>
      <c r="W36" s="1323">
        <f t="shared" si="12"/>
        <v>100</v>
      </c>
      <c r="X36" s="1316"/>
      <c r="Y36" s="3684"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684"/>
      <c r="Q37" s="1321">
        <f t="shared" si="8"/>
        <v>111</v>
      </c>
      <c r="R37" s="1327" t="s">
        <v>65</v>
      </c>
      <c r="S37" s="1328">
        <f t="shared" si="10"/>
        <v>100</v>
      </c>
      <c r="T37" s="1327" t="s">
        <v>65</v>
      </c>
      <c r="U37" s="1328">
        <f t="shared" si="11"/>
        <v>100</v>
      </c>
      <c r="V37" s="1327" t="s">
        <v>65</v>
      </c>
      <c r="W37" s="1328">
        <f t="shared" si="12"/>
        <v>100</v>
      </c>
      <c r="X37" s="1329"/>
      <c r="Y37" s="3684"/>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684"/>
      <c r="Q38" s="1321" t="str">
        <f>B38</f>
        <v>宗地面积</v>
      </c>
      <c r="R38" s="1322" t="s">
        <v>65</v>
      </c>
      <c r="S38" s="1323" t="e">
        <f t="shared" si="10"/>
        <v>#N/A</v>
      </c>
      <c r="T38" s="1322" t="s">
        <v>65</v>
      </c>
      <c r="U38" s="1323" t="e">
        <f t="shared" si="11"/>
        <v>#N/A</v>
      </c>
      <c r="V38" s="1322" t="s">
        <v>65</v>
      </c>
      <c r="W38" s="1323" t="e">
        <f t="shared" si="12"/>
        <v>#N/A</v>
      </c>
      <c r="X38" s="1316"/>
      <c r="Y38" s="3684"/>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684"/>
      <c r="Q39" s="1321" t="str">
        <f t="shared" ref="Q39:Q45" si="14">B39</f>
        <v>宗地形状</v>
      </c>
      <c r="R39" s="1322" t="s">
        <v>65</v>
      </c>
      <c r="S39" s="1323">
        <f t="shared" si="10"/>
        <v>100</v>
      </c>
      <c r="T39" s="1322" t="s">
        <v>65</v>
      </c>
      <c r="U39" s="1323">
        <f t="shared" si="11"/>
        <v>100</v>
      </c>
      <c r="V39" s="1322" t="s">
        <v>65</v>
      </c>
      <c r="W39" s="1323">
        <f t="shared" si="12"/>
        <v>100</v>
      </c>
      <c r="X39" s="1316"/>
      <c r="Y39" s="3684"/>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684"/>
      <c r="Q40" s="1321" t="str">
        <f t="shared" si="14"/>
        <v>临街宽度及深度</v>
      </c>
      <c r="R40" s="1322" t="s">
        <v>65</v>
      </c>
      <c r="S40" s="1323">
        <f t="shared" si="10"/>
        <v>100</v>
      </c>
      <c r="T40" s="1322" t="s">
        <v>65</v>
      </c>
      <c r="U40" s="1323">
        <f t="shared" si="11"/>
        <v>100</v>
      </c>
      <c r="V40" s="1322" t="s">
        <v>65</v>
      </c>
      <c r="W40" s="1323">
        <f t="shared" si="12"/>
        <v>100</v>
      </c>
      <c r="X40" s="1316"/>
      <c r="Y40" s="3684"/>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684"/>
      <c r="Q41" s="1321" t="str">
        <f t="shared" si="14"/>
        <v>宗地开发程度</v>
      </c>
      <c r="R41" s="1317" t="s">
        <v>65</v>
      </c>
      <c r="S41" s="1318">
        <f t="shared" si="10"/>
        <v>100</v>
      </c>
      <c r="T41" s="1317" t="s">
        <v>65</v>
      </c>
      <c r="U41" s="1318">
        <f t="shared" si="11"/>
        <v>100</v>
      </c>
      <c r="V41" s="1317" t="s">
        <v>65</v>
      </c>
      <c r="W41" s="1318">
        <f t="shared" si="12"/>
        <v>100</v>
      </c>
      <c r="X41" s="1319"/>
      <c r="Y41" s="3684"/>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684" t="s">
        <v>407</v>
      </c>
      <c r="Q42" s="1321" t="str">
        <f t="shared" si="14"/>
        <v>工程地质条件</v>
      </c>
      <c r="R42" s="1322" t="s">
        <v>65</v>
      </c>
      <c r="S42" s="1323">
        <f t="shared" si="10"/>
        <v>100</v>
      </c>
      <c r="T42" s="1322" t="s">
        <v>65</v>
      </c>
      <c r="U42" s="1323">
        <f t="shared" si="11"/>
        <v>100</v>
      </c>
      <c r="V42" s="1322" t="s">
        <v>65</v>
      </c>
      <c r="W42" s="1323">
        <f t="shared" si="12"/>
        <v>100</v>
      </c>
      <c r="X42" s="1316"/>
      <c r="Y42" s="3684"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84"/>
      <c r="Q43" s="1321">
        <f t="shared" si="14"/>
        <v>111</v>
      </c>
      <c r="R43" s="1322" t="s">
        <v>65</v>
      </c>
      <c r="S43" s="1323">
        <f t="shared" si="10"/>
        <v>100</v>
      </c>
      <c r="T43" s="1322" t="s">
        <v>65</v>
      </c>
      <c r="U43" s="1323">
        <f t="shared" si="11"/>
        <v>100</v>
      </c>
      <c r="V43" s="1322" t="s">
        <v>65</v>
      </c>
      <c r="W43" s="1323">
        <f t="shared" si="12"/>
        <v>100</v>
      </c>
      <c r="X43" s="1316"/>
      <c r="Y43" s="3684"/>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84"/>
      <c r="Q44" s="1321">
        <f t="shared" si="14"/>
        <v>111</v>
      </c>
      <c r="R44" s="1322" t="s">
        <v>65</v>
      </c>
      <c r="S44" s="1323">
        <f t="shared" si="10"/>
        <v>100</v>
      </c>
      <c r="T44" s="1322" t="s">
        <v>65</v>
      </c>
      <c r="U44" s="1323">
        <f t="shared" si="11"/>
        <v>100</v>
      </c>
      <c r="V44" s="1322" t="s">
        <v>65</v>
      </c>
      <c r="W44" s="1323">
        <f t="shared" si="12"/>
        <v>100</v>
      </c>
      <c r="X44" s="1316"/>
      <c r="Y44" s="3684"/>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684"/>
      <c r="Q45" s="1321">
        <f t="shared" si="14"/>
        <v>111</v>
      </c>
      <c r="R45" s="1327" t="s">
        <v>65</v>
      </c>
      <c r="S45" s="1328">
        <f t="shared" si="10"/>
        <v>100</v>
      </c>
      <c r="T45" s="1327" t="s">
        <v>65</v>
      </c>
      <c r="U45" s="1328">
        <f t="shared" si="11"/>
        <v>100</v>
      </c>
      <c r="V45" s="1327" t="s">
        <v>65</v>
      </c>
      <c r="W45" s="1328">
        <f t="shared" si="12"/>
        <v>100</v>
      </c>
      <c r="X45" s="1329"/>
      <c r="Y45" s="3684"/>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76" t="str">
        <f>A46</f>
        <v>成交单价</v>
      </c>
      <c r="Q46" s="3676"/>
      <c r="R46" s="3704">
        <f>E46</f>
        <v>0</v>
      </c>
      <c r="S46" s="3704"/>
      <c r="T46" s="3704">
        <f>G46</f>
        <v>0</v>
      </c>
      <c r="U46" s="3704"/>
      <c r="V46" s="3704">
        <f>I46</f>
        <v>0</v>
      </c>
      <c r="W46" s="3704"/>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76" t="str">
        <f>A47</f>
        <v>比较价值（元/平方米）</v>
      </c>
      <c r="Q47" s="3676"/>
      <c r="R47" s="3716" t="e">
        <f>ROUND(PRODUCT(R46,AA7:AA45),0)</f>
        <v>#DIV/0!</v>
      </c>
      <c r="S47" s="3716"/>
      <c r="T47" s="3716" t="e">
        <f>ROUND(PRODUCT(T46,AB7:AB45),0)</f>
        <v>#DIV/0!</v>
      </c>
      <c r="U47" s="3716"/>
      <c r="V47" s="3716" t="e">
        <f>ROUND(PRODUCT(V46,AC7:AC45),0)</f>
        <v>#DIV/0!</v>
      </c>
      <c r="W47" s="3716"/>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678" t="str">
        <f>A48</f>
        <v>估价对象XX用房的比较价值（楼面单价，元/平方米）</v>
      </c>
      <c r="Q48" s="3679"/>
      <c r="R48" s="3717" t="e">
        <f>ROUND(AVERAGE(R47:V47),0)</f>
        <v>#DIV/0!</v>
      </c>
      <c r="S48" s="3717"/>
      <c r="T48" s="3717"/>
      <c r="U48" s="3717"/>
      <c r="V48" s="3717"/>
      <c r="W48" s="3717"/>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8" t="s">
        <v>2312</v>
      </c>
      <c r="H55" s="3719"/>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0"/>
      <c r="H56" s="3721"/>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2"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2"/>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2"/>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2"/>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2783</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F81" sqref="F81"/>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17468</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986</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88" t="s">
        <v>389</v>
      </c>
      <c r="D4" s="3689"/>
      <c r="E4" s="3690" t="s">
        <v>390</v>
      </c>
      <c r="F4" s="3691"/>
      <c r="G4" s="3688" t="s">
        <v>391</v>
      </c>
      <c r="H4" s="3689"/>
      <c r="I4" s="3688" t="s">
        <v>392</v>
      </c>
      <c r="J4" s="3689"/>
      <c r="K4" s="951" t="s">
        <v>393</v>
      </c>
      <c r="L4" s="2346"/>
      <c r="M4" s="2347"/>
      <c r="N4" s="2347"/>
      <c r="O4" s="2347"/>
      <c r="P4" s="3692" t="s">
        <v>394</v>
      </c>
      <c r="Q4" s="3693"/>
      <c r="R4" s="3698" t="s">
        <v>390</v>
      </c>
      <c r="S4" s="3699"/>
      <c r="T4" s="3698" t="s">
        <v>391</v>
      </c>
      <c r="U4" s="3699"/>
      <c r="V4" s="3704" t="s">
        <v>392</v>
      </c>
      <c r="W4" s="3704"/>
      <c r="X4" s="1316"/>
      <c r="Y4" s="3698" t="s">
        <v>394</v>
      </c>
      <c r="Z4" s="3699"/>
      <c r="AA4" s="3685" t="s">
        <v>390</v>
      </c>
      <c r="AB4" s="3686" t="s">
        <v>391</v>
      </c>
      <c r="AC4" s="3685" t="s">
        <v>392</v>
      </c>
    </row>
    <row r="5" spans="1:29" ht="26.25" customHeight="1">
      <c r="A5" s="745"/>
      <c r="B5" s="746"/>
      <c r="C5" s="3651" t="s">
        <v>3135</v>
      </c>
      <c r="D5" s="3652"/>
      <c r="E5" s="3658" t="s">
        <v>3056</v>
      </c>
      <c r="F5" s="3659"/>
      <c r="G5" s="3651" t="s">
        <v>3062</v>
      </c>
      <c r="H5" s="3652"/>
      <c r="I5" s="3651" t="s">
        <v>3064</v>
      </c>
      <c r="J5" s="3652"/>
      <c r="K5" s="951"/>
      <c r="L5" s="2346"/>
      <c r="M5" s="2347"/>
      <c r="N5" s="2347"/>
      <c r="O5" s="2347"/>
      <c r="P5" s="3694"/>
      <c r="Q5" s="3695"/>
      <c r="R5" s="3700"/>
      <c r="S5" s="3701"/>
      <c r="T5" s="3700"/>
      <c r="U5" s="3701"/>
      <c r="V5" s="3704"/>
      <c r="W5" s="3704"/>
      <c r="X5" s="1316"/>
      <c r="Y5" s="3700"/>
      <c r="Z5" s="3701"/>
      <c r="AA5" s="3686"/>
      <c r="AB5" s="3686"/>
      <c r="AC5" s="3686"/>
    </row>
    <row r="6" spans="1:29" ht="67.5" customHeight="1" thickBot="1">
      <c r="A6" s="747"/>
      <c r="B6" s="748"/>
      <c r="C6" s="3723" t="s">
        <v>3136</v>
      </c>
      <c r="D6" s="3724"/>
      <c r="E6" s="3725" t="s">
        <v>3058</v>
      </c>
      <c r="F6" s="3726"/>
      <c r="G6" s="3723" t="s">
        <v>3167</v>
      </c>
      <c r="H6" s="3724"/>
      <c r="I6" s="3723" t="s">
        <v>3065</v>
      </c>
      <c r="J6" s="3724"/>
      <c r="K6" s="951" t="s">
        <v>395</v>
      </c>
      <c r="L6" s="2346"/>
      <c r="M6" s="2347"/>
      <c r="N6" s="2347"/>
      <c r="O6" s="2347"/>
      <c r="P6" s="3696"/>
      <c r="Q6" s="3697"/>
      <c r="R6" s="3700"/>
      <c r="S6" s="3701"/>
      <c r="T6" s="3702"/>
      <c r="U6" s="3703"/>
      <c r="V6" s="3704"/>
      <c r="W6" s="3704"/>
      <c r="X6" s="1316"/>
      <c r="Y6" s="3702"/>
      <c r="Z6" s="3703"/>
      <c r="AA6" s="3687"/>
      <c r="AB6" s="3687"/>
      <c r="AC6" s="3687"/>
    </row>
    <row r="7" spans="1:29" s="406" customFormat="1" ht="15.75" thickBot="1">
      <c r="A7" s="749" t="s">
        <v>396</v>
      </c>
      <c r="B7" s="750"/>
      <c r="C7" s="751">
        <f>'数据-取费表'!B2</f>
        <v>42993</v>
      </c>
      <c r="D7" s="752">
        <v>100</v>
      </c>
      <c r="E7" s="1015">
        <v>42817</v>
      </c>
      <c r="F7" s="754">
        <f>SUMIF(65:65,YEAR(E7)&amp;"-"&amp;INT((MONTH(E7)+2)/3),66:66)</f>
        <v>99</v>
      </c>
      <c r="G7" s="1016">
        <v>42817</v>
      </c>
      <c r="H7" s="752">
        <f>SUMIF(65:65,YEAR(G7)&amp;"-"&amp;INT((MONTH(G7)+2)/3),66:66)</f>
        <v>99</v>
      </c>
      <c r="I7" s="1016">
        <v>42758</v>
      </c>
      <c r="J7" s="752">
        <f>SUMIF(65:65,YEAR(I7)&amp;"-"&amp;INT((MONTH(I7)+2)/3),66:66)</f>
        <v>99</v>
      </c>
      <c r="K7" s="952"/>
      <c r="L7" s="2348"/>
      <c r="M7" s="2349"/>
      <c r="N7" s="2349"/>
      <c r="O7" s="2349"/>
      <c r="P7" s="3709" t="s">
        <v>397</v>
      </c>
      <c r="Q7" s="3711"/>
      <c r="R7" s="1317" t="s">
        <v>65</v>
      </c>
      <c r="S7" s="1318">
        <f t="shared" ref="S7:S15" si="0">F7</f>
        <v>99</v>
      </c>
      <c r="T7" s="1317" t="s">
        <v>65</v>
      </c>
      <c r="U7" s="1318">
        <f t="shared" ref="U7:U15" si="1">H7</f>
        <v>99</v>
      </c>
      <c r="V7" s="1317" t="s">
        <v>65</v>
      </c>
      <c r="W7" s="1318">
        <f t="shared" ref="W7:W15" si="2">J7</f>
        <v>99</v>
      </c>
      <c r="X7" s="1319"/>
      <c r="Y7" s="3709" t="s">
        <v>397</v>
      </c>
      <c r="Z7" s="3710"/>
      <c r="AA7" s="1320">
        <f>D7/F7</f>
        <v>1.0101010101010102</v>
      </c>
      <c r="AB7" s="1320">
        <f>D7/H7</f>
        <v>1.0101010101010102</v>
      </c>
      <c r="AC7" s="1320">
        <f>D7/J7</f>
        <v>1.0101010101010102</v>
      </c>
    </row>
    <row r="8" spans="1:29" s="406" customFormat="1" ht="15.7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709" t="s">
        <v>433</v>
      </c>
      <c r="Q8" s="3710"/>
      <c r="R8" s="1317" t="s">
        <v>65</v>
      </c>
      <c r="S8" s="1318">
        <f t="shared" si="0"/>
        <v>100</v>
      </c>
      <c r="T8" s="1317" t="s">
        <v>65</v>
      </c>
      <c r="U8" s="1318">
        <f t="shared" si="1"/>
        <v>100</v>
      </c>
      <c r="V8" s="1317" t="s">
        <v>65</v>
      </c>
      <c r="W8" s="1318">
        <f t="shared" si="2"/>
        <v>100</v>
      </c>
      <c r="X8" s="1319"/>
      <c r="Y8" s="3709" t="s">
        <v>433</v>
      </c>
      <c r="Z8" s="3710"/>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76" t="s">
        <v>400</v>
      </c>
      <c r="Q9" s="295" t="str">
        <f t="shared" ref="Q9:Q15" si="6">B9</f>
        <v>用途</v>
      </c>
      <c r="R9" s="1317" t="s">
        <v>65</v>
      </c>
      <c r="S9" s="1318">
        <f t="shared" si="0"/>
        <v>100</v>
      </c>
      <c r="T9" s="1317" t="s">
        <v>65</v>
      </c>
      <c r="U9" s="1318">
        <f t="shared" si="1"/>
        <v>100</v>
      </c>
      <c r="V9" s="1317" t="s">
        <v>65</v>
      </c>
      <c r="W9" s="1318">
        <f t="shared" si="2"/>
        <v>100</v>
      </c>
      <c r="X9" s="1319"/>
      <c r="Y9" s="3482" t="s">
        <v>401</v>
      </c>
      <c r="Z9" s="343" t="str">
        <f t="shared" ref="Z9:Z15" si="7">Q9</f>
        <v>用途</v>
      </c>
      <c r="AA9" s="1320">
        <f t="shared" si="3"/>
        <v>1</v>
      </c>
      <c r="AB9" s="1320">
        <f t="shared" si="4"/>
        <v>1</v>
      </c>
      <c r="AC9" s="1320">
        <f t="shared" si="5"/>
        <v>1</v>
      </c>
    </row>
    <row r="10" spans="1:29" s="768" customFormat="1" ht="27">
      <c r="A10" s="762"/>
      <c r="B10" s="763" t="s">
        <v>402</v>
      </c>
      <c r="C10" s="1022">
        <f>'数据-取费表'!F6</f>
        <v>48.16</v>
      </c>
      <c r="D10" s="425">
        <v>100</v>
      </c>
      <c r="E10" s="1022">
        <v>50</v>
      </c>
      <c r="F10" s="425">
        <f>ROUND(100/'数据-取费表'!G16,0)</f>
        <v>101</v>
      </c>
      <c r="G10" s="1022">
        <v>50</v>
      </c>
      <c r="H10" s="425">
        <f>ROUND(100/'数据-取费表'!G16,0)</f>
        <v>101</v>
      </c>
      <c r="I10" s="1022">
        <v>50</v>
      </c>
      <c r="J10" s="425">
        <f>ROUND(100/'数据-取费表'!G16,0)</f>
        <v>101</v>
      </c>
      <c r="K10" s="1079"/>
      <c r="L10" s="2351"/>
      <c r="M10" s="2352"/>
      <c r="N10" s="2352"/>
      <c r="O10" s="2353"/>
      <c r="P10" s="3676"/>
      <c r="Q10" s="295" t="str">
        <f t="shared" si="6"/>
        <v>土地使用年限（年）</v>
      </c>
      <c r="R10" s="1317" t="s">
        <v>65</v>
      </c>
      <c r="S10" s="1318">
        <f t="shared" si="0"/>
        <v>101</v>
      </c>
      <c r="T10" s="1317" t="s">
        <v>65</v>
      </c>
      <c r="U10" s="1318">
        <f t="shared" si="1"/>
        <v>101</v>
      </c>
      <c r="V10" s="1317" t="s">
        <v>65</v>
      </c>
      <c r="W10" s="1318">
        <f t="shared" si="2"/>
        <v>101</v>
      </c>
      <c r="X10" s="1319"/>
      <c r="Y10" s="3482"/>
      <c r="Z10" s="343" t="str">
        <f t="shared" si="7"/>
        <v>土地使用年限（年）</v>
      </c>
      <c r="AA10" s="1320">
        <f t="shared" si="3"/>
        <v>0.99009900990099009</v>
      </c>
      <c r="AB10" s="1320">
        <f t="shared" si="4"/>
        <v>0.99009900990099009</v>
      </c>
      <c r="AC10" s="1320">
        <f t="shared" si="5"/>
        <v>0.99009900990099009</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76"/>
      <c r="Q11" s="295" t="str">
        <f t="shared" si="6"/>
        <v>容积率</v>
      </c>
      <c r="R11" s="1317" t="s">
        <v>65</v>
      </c>
      <c r="S11" s="1318">
        <f t="shared" si="0"/>
        <v>100</v>
      </c>
      <c r="T11" s="1317" t="s">
        <v>65</v>
      </c>
      <c r="U11" s="1318">
        <f t="shared" si="1"/>
        <v>100</v>
      </c>
      <c r="V11" s="1317" t="s">
        <v>65</v>
      </c>
      <c r="W11" s="1318">
        <f t="shared" si="2"/>
        <v>100</v>
      </c>
      <c r="X11" s="1319"/>
      <c r="Y11" s="3482"/>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76"/>
      <c r="Q12" s="295">
        <f t="shared" si="6"/>
        <v>0</v>
      </c>
      <c r="R12" s="1317" t="s">
        <v>65</v>
      </c>
      <c r="S12" s="1318">
        <f t="shared" si="0"/>
        <v>100</v>
      </c>
      <c r="T12" s="1317" t="s">
        <v>65</v>
      </c>
      <c r="U12" s="1318">
        <f t="shared" si="1"/>
        <v>100</v>
      </c>
      <c r="V12" s="1317" t="s">
        <v>65</v>
      </c>
      <c r="W12" s="1318">
        <f t="shared" si="2"/>
        <v>100</v>
      </c>
      <c r="X12" s="1319"/>
      <c r="Y12" s="3482"/>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76"/>
      <c r="Q13" s="295">
        <f t="shared" si="6"/>
        <v>0</v>
      </c>
      <c r="R13" s="1317" t="s">
        <v>65</v>
      </c>
      <c r="S13" s="1318">
        <f t="shared" si="0"/>
        <v>100</v>
      </c>
      <c r="T13" s="1317" t="s">
        <v>65</v>
      </c>
      <c r="U13" s="1318">
        <f t="shared" si="1"/>
        <v>100</v>
      </c>
      <c r="V13" s="1317" t="s">
        <v>65</v>
      </c>
      <c r="W13" s="1318">
        <f t="shared" si="2"/>
        <v>100</v>
      </c>
      <c r="X13" s="1319"/>
      <c r="Y13" s="3482"/>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76"/>
      <c r="Q14" s="295">
        <f t="shared" si="6"/>
        <v>0</v>
      </c>
      <c r="R14" s="1317" t="s">
        <v>65</v>
      </c>
      <c r="S14" s="1318">
        <f t="shared" si="0"/>
        <v>100</v>
      </c>
      <c r="T14" s="1317" t="s">
        <v>65</v>
      </c>
      <c r="U14" s="1318">
        <f t="shared" si="1"/>
        <v>100</v>
      </c>
      <c r="V14" s="1317" t="s">
        <v>65</v>
      </c>
      <c r="W14" s="1318">
        <f t="shared" si="2"/>
        <v>100</v>
      </c>
      <c r="X14" s="1319"/>
      <c r="Y14" s="3482"/>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3169</v>
      </c>
      <c r="F15" s="782">
        <f>SUMIF(83:83,E16,84:84)-SUMIF(83:83,C16,84:84)+100</f>
        <v>100</v>
      </c>
      <c r="G15" s="95" t="s">
        <v>3168</v>
      </c>
      <c r="H15" s="782">
        <f>SUMIF(83:83,G16,84:84)-SUMIF(83:83,C16,84:84)+100</f>
        <v>100</v>
      </c>
      <c r="I15" s="96" t="s">
        <v>3168</v>
      </c>
      <c r="J15" s="782">
        <f>SUMIF(83:83,I16,84:84)-SUMIF(83:83,C16,84:84)+100</f>
        <v>100</v>
      </c>
      <c r="K15" s="1080">
        <v>2</v>
      </c>
      <c r="L15" s="2356"/>
      <c r="M15" s="2347"/>
      <c r="N15" s="2347"/>
      <c r="O15" s="2355"/>
      <c r="P15" s="3681" t="s">
        <v>405</v>
      </c>
      <c r="Q15" s="1321" t="str">
        <f t="shared" si="6"/>
        <v>产业集聚程度</v>
      </c>
      <c r="R15" s="1322" t="s">
        <v>65</v>
      </c>
      <c r="S15" s="1323">
        <f t="shared" si="0"/>
        <v>100</v>
      </c>
      <c r="T15" s="1322" t="s">
        <v>65</v>
      </c>
      <c r="U15" s="1323">
        <f t="shared" si="1"/>
        <v>100</v>
      </c>
      <c r="V15" s="1322" t="s">
        <v>65</v>
      </c>
      <c r="W15" s="1323">
        <f t="shared" si="2"/>
        <v>100</v>
      </c>
      <c r="X15" s="1316"/>
      <c r="Y15" s="3681" t="s">
        <v>405</v>
      </c>
      <c r="Z15" s="1324" t="str">
        <f t="shared" si="7"/>
        <v>产业集聚程度</v>
      </c>
      <c r="AA15" s="1325">
        <f t="shared" si="3"/>
        <v>1</v>
      </c>
      <c r="AB15" s="1325">
        <f t="shared" si="4"/>
        <v>1</v>
      </c>
      <c r="AC15" s="1325">
        <f t="shared" si="5"/>
        <v>1</v>
      </c>
    </row>
    <row r="16" spans="1:29" ht="15">
      <c r="A16" s="769"/>
      <c r="B16" s="971"/>
      <c r="C16" s="97" t="s">
        <v>3137</v>
      </c>
      <c r="D16" s="789"/>
      <c r="E16" s="97" t="s">
        <v>3137</v>
      </c>
      <c r="F16" s="789"/>
      <c r="G16" s="97" t="s">
        <v>3137</v>
      </c>
      <c r="H16" s="791"/>
      <c r="I16" s="97" t="s">
        <v>3137</v>
      </c>
      <c r="J16" s="789"/>
      <c r="K16" s="1079"/>
      <c r="L16" s="2356"/>
      <c r="M16" s="2347"/>
      <c r="N16" s="2347"/>
      <c r="O16" s="2355"/>
      <c r="P16" s="3682"/>
      <c r="Q16" s="1321"/>
      <c r="R16" s="1322"/>
      <c r="S16" s="1323"/>
      <c r="T16" s="1322"/>
      <c r="U16" s="1323"/>
      <c r="V16" s="1322"/>
      <c r="W16" s="1323"/>
      <c r="X16" s="1316"/>
      <c r="Y16" s="3682"/>
      <c r="Z16" s="1324"/>
      <c r="AA16" s="1325">
        <v>1</v>
      </c>
      <c r="AB16" s="1325">
        <v>1</v>
      </c>
      <c r="AC16" s="1325">
        <v>1</v>
      </c>
    </row>
    <row r="17" spans="1:29" ht="121.5">
      <c r="A17" s="769"/>
      <c r="B17" s="972" t="s">
        <v>454</v>
      </c>
      <c r="C17" s="158" t="str">
        <f>估价对象房地状况!G16</f>
        <v>估价对象周边有523路、通12路、开发区4路公交车及地铁亦庄线经过，停车较便捷，综合评价交通便捷度较好</v>
      </c>
      <c r="D17" s="791">
        <v>100</v>
      </c>
      <c r="E17" s="100" t="s">
        <v>3173</v>
      </c>
      <c r="F17" s="796">
        <f>SUMIF(85:85,E18,86:86)-SUMIF(85:85,C18,86:86)+100</f>
        <v>100</v>
      </c>
      <c r="G17" s="100" t="s">
        <v>3067</v>
      </c>
      <c r="H17" s="796">
        <f>SUMIF(85:85,G18,86:86)-SUMIF(85:85,C18,86:86)+100</f>
        <v>100</v>
      </c>
      <c r="I17" s="101" t="s">
        <v>3173</v>
      </c>
      <c r="J17" s="791">
        <f>SUMIF(85:85,I18,86:86)-SUMIF(85:85,C18,86:86)+100</f>
        <v>100</v>
      </c>
      <c r="K17" s="1080">
        <v>2</v>
      </c>
      <c r="L17" s="2356"/>
      <c r="M17" s="2347"/>
      <c r="N17" s="2347"/>
      <c r="O17" s="2355"/>
      <c r="P17" s="3682"/>
      <c r="Q17" s="1321" t="str">
        <f>B17</f>
        <v>交通便捷度</v>
      </c>
      <c r="R17" s="1322" t="s">
        <v>65</v>
      </c>
      <c r="S17" s="1323">
        <f>F17</f>
        <v>100</v>
      </c>
      <c r="T17" s="1322" t="s">
        <v>65</v>
      </c>
      <c r="U17" s="1323">
        <f>H17</f>
        <v>100</v>
      </c>
      <c r="V17" s="1322" t="s">
        <v>65</v>
      </c>
      <c r="W17" s="1323">
        <f>J17</f>
        <v>100</v>
      </c>
      <c r="X17" s="1316"/>
      <c r="Y17" s="3682"/>
      <c r="Z17" s="1324" t="str">
        <f>Q17</f>
        <v>交通便捷度</v>
      </c>
      <c r="AA17" s="1325">
        <f t="shared" si="3"/>
        <v>1</v>
      </c>
      <c r="AB17" s="1325">
        <f t="shared" si="4"/>
        <v>1</v>
      </c>
      <c r="AC17" s="1325">
        <f t="shared" si="5"/>
        <v>1</v>
      </c>
    </row>
    <row r="18" spans="1:29" ht="15">
      <c r="A18" s="769"/>
      <c r="B18" s="973"/>
      <c r="C18" s="3374" t="s">
        <v>3138</v>
      </c>
      <c r="D18" s="789"/>
      <c r="E18" s="3374" t="s">
        <v>3138</v>
      </c>
      <c r="F18" s="789"/>
      <c r="G18" s="3374" t="s">
        <v>3138</v>
      </c>
      <c r="H18" s="789"/>
      <c r="I18" s="3374" t="s">
        <v>3138</v>
      </c>
      <c r="J18" s="789"/>
      <c r="K18" s="1079"/>
      <c r="L18" s="2356"/>
      <c r="M18" s="2347"/>
      <c r="N18" s="2347"/>
      <c r="O18" s="2355"/>
      <c r="P18" s="3682"/>
      <c r="Q18" s="1321"/>
      <c r="R18" s="1322"/>
      <c r="S18" s="1323"/>
      <c r="T18" s="1322"/>
      <c r="U18" s="1323"/>
      <c r="V18" s="1322"/>
      <c r="W18" s="1323"/>
      <c r="X18" s="1316"/>
      <c r="Y18" s="3682"/>
      <c r="Z18" s="1324"/>
      <c r="AA18" s="1325">
        <v>1</v>
      </c>
      <c r="AB18" s="1325">
        <v>1</v>
      </c>
      <c r="AC18" s="1325">
        <v>1</v>
      </c>
    </row>
    <row r="19" spans="1:29" ht="40.5">
      <c r="A19" s="769"/>
      <c r="B19" s="972" t="s">
        <v>1848</v>
      </c>
      <c r="C19" s="158" t="str">
        <f>估价对象房地状况!G17</f>
        <v>零星有其他用地，基本不影响本宗地</v>
      </c>
      <c r="D19" s="791">
        <v>100</v>
      </c>
      <c r="E19" s="100" t="s">
        <v>3171</v>
      </c>
      <c r="F19" s="796">
        <f>SUMIF(87:87,E20,88:88)-SUMIF(87:87,C20,88:88)+100</f>
        <v>100</v>
      </c>
      <c r="G19" s="100" t="s">
        <v>3171</v>
      </c>
      <c r="H19" s="796">
        <f>SUMIF(87:87,G20,88:88)-SUMIF(87:87,C20,88:88)+100</f>
        <v>100</v>
      </c>
      <c r="I19" s="100" t="s">
        <v>3172</v>
      </c>
      <c r="J19" s="796">
        <f>SUMIF(87:87,I20,88:88)-SUMIF(87:87,C20,88:88)+100</f>
        <v>100</v>
      </c>
      <c r="K19" s="1080">
        <v>3</v>
      </c>
      <c r="L19" s="2356"/>
      <c r="M19" s="2347"/>
      <c r="N19" s="2347"/>
      <c r="O19" s="2355"/>
      <c r="P19" s="3682"/>
      <c r="Q19" s="1321" t="str">
        <f t="shared" ref="Q19:Q33" si="8">B19</f>
        <v>区域土地利用方向</v>
      </c>
      <c r="R19" s="1322" t="s">
        <v>65</v>
      </c>
      <c r="S19" s="1323">
        <f>F19</f>
        <v>100</v>
      </c>
      <c r="T19" s="1322" t="s">
        <v>65</v>
      </c>
      <c r="U19" s="1323">
        <f>H19</f>
        <v>100</v>
      </c>
      <c r="V19" s="1322" t="s">
        <v>65</v>
      </c>
      <c r="W19" s="1323">
        <f>J19</f>
        <v>100</v>
      </c>
      <c r="X19" s="1316"/>
      <c r="Y19" s="3682"/>
      <c r="Z19" s="1324" t="str">
        <f>Q19</f>
        <v>区域土地利用方向</v>
      </c>
      <c r="AA19" s="1325">
        <f t="shared" si="3"/>
        <v>1</v>
      </c>
      <c r="AB19" s="1325">
        <f t="shared" si="4"/>
        <v>1</v>
      </c>
      <c r="AC19" s="1325">
        <f t="shared" si="5"/>
        <v>1</v>
      </c>
    </row>
    <row r="20" spans="1:29" ht="15">
      <c r="A20" s="745"/>
      <c r="B20" s="973"/>
      <c r="C20" s="3374" t="s">
        <v>3138</v>
      </c>
      <c r="D20" s="789"/>
      <c r="E20" s="3374" t="s">
        <v>3138</v>
      </c>
      <c r="F20" s="789"/>
      <c r="G20" s="3374" t="s">
        <v>3138</v>
      </c>
      <c r="H20" s="789"/>
      <c r="I20" s="3374" t="s">
        <v>3138</v>
      </c>
      <c r="J20" s="789"/>
      <c r="K20" s="1483"/>
      <c r="L20" s="2356"/>
      <c r="M20" s="2347"/>
      <c r="N20" s="2347"/>
      <c r="O20" s="2355"/>
      <c r="P20" s="3682"/>
      <c r="Q20" s="1467"/>
      <c r="R20" s="1322"/>
      <c r="S20" s="1323"/>
      <c r="T20" s="1322"/>
      <c r="U20" s="1323"/>
      <c r="V20" s="1322"/>
      <c r="W20" s="1323"/>
      <c r="X20" s="1466"/>
      <c r="Y20" s="3682"/>
      <c r="Z20" s="1468"/>
      <c r="AA20" s="1325"/>
      <c r="AB20" s="1325"/>
      <c r="AC20" s="1325"/>
    </row>
    <row r="21" spans="1:29" ht="108">
      <c r="A21" s="745"/>
      <c r="B21" s="972" t="s">
        <v>517</v>
      </c>
      <c r="C21" s="158" t="str">
        <f>估价对象房地状况!G18</f>
        <v>周边约2公里范围内有无大型污染源，无明显危险设施，绿化较好，卫生条件良好，整体环境状况较好</v>
      </c>
      <c r="D21" s="791">
        <v>100</v>
      </c>
      <c r="E21" s="100" t="s">
        <v>3174</v>
      </c>
      <c r="F21" s="791">
        <f>SUMIF(89:89,E22,90:90)-SUMIF(89:89,C22,90:90)+100</f>
        <v>100</v>
      </c>
      <c r="G21" s="100" t="s">
        <v>3174</v>
      </c>
      <c r="H21" s="791">
        <f>SUMIF(89:89,G22,90:90)-SUMIF(89:89,C22,90:90)+100</f>
        <v>100</v>
      </c>
      <c r="I21" s="101" t="s">
        <v>3174</v>
      </c>
      <c r="J21" s="791">
        <f>SUMIF(89:89,I22,90:90)-SUMIF(89:89,C22,90:90)+100</f>
        <v>100</v>
      </c>
      <c r="K21" s="1080">
        <v>2</v>
      </c>
      <c r="L21" s="2356"/>
      <c r="M21" s="2347"/>
      <c r="N21" s="2347"/>
      <c r="O21" s="2355"/>
      <c r="P21" s="3682"/>
      <c r="Q21" s="1321" t="str">
        <f t="shared" si="8"/>
        <v>环境状况</v>
      </c>
      <c r="R21" s="1322" t="s">
        <v>65</v>
      </c>
      <c r="S21" s="1323">
        <f>F21</f>
        <v>100</v>
      </c>
      <c r="T21" s="1322" t="s">
        <v>65</v>
      </c>
      <c r="U21" s="1323">
        <f>H21</f>
        <v>100</v>
      </c>
      <c r="V21" s="1322" t="s">
        <v>65</v>
      </c>
      <c r="W21" s="1323">
        <f>J21</f>
        <v>100</v>
      </c>
      <c r="X21" s="1316"/>
      <c r="Y21" s="3682"/>
      <c r="Z21" s="1324" t="str">
        <f>Q21</f>
        <v>环境状况</v>
      </c>
      <c r="AA21" s="1325">
        <f t="shared" si="3"/>
        <v>1</v>
      </c>
      <c r="AB21" s="1325">
        <f t="shared" si="4"/>
        <v>1</v>
      </c>
      <c r="AC21" s="1325">
        <f t="shared" si="5"/>
        <v>1</v>
      </c>
    </row>
    <row r="22" spans="1:29" ht="15">
      <c r="A22" s="745"/>
      <c r="B22" s="973"/>
      <c r="C22" s="3374" t="s">
        <v>3138</v>
      </c>
      <c r="D22" s="789"/>
      <c r="E22" s="3374" t="s">
        <v>3138</v>
      </c>
      <c r="F22" s="789"/>
      <c r="G22" s="3374" t="s">
        <v>3138</v>
      </c>
      <c r="H22" s="789"/>
      <c r="I22" s="3374" t="s">
        <v>3138</v>
      </c>
      <c r="J22" s="789"/>
      <c r="K22" s="1079"/>
      <c r="L22" s="2356"/>
      <c r="M22" s="2347"/>
      <c r="N22" s="2347"/>
      <c r="O22" s="2355"/>
      <c r="P22" s="3682"/>
      <c r="Q22" s="1321"/>
      <c r="R22" s="1322"/>
      <c r="S22" s="1323"/>
      <c r="T22" s="1322"/>
      <c r="U22" s="1323"/>
      <c r="V22" s="1322"/>
      <c r="W22" s="1323"/>
      <c r="X22" s="1316"/>
      <c r="Y22" s="3682"/>
      <c r="Z22" s="1324"/>
      <c r="AA22" s="1325">
        <v>1</v>
      </c>
      <c r="AB22" s="1325">
        <v>1</v>
      </c>
      <c r="AC22" s="1325">
        <v>1</v>
      </c>
    </row>
    <row r="23" spans="1:29" s="406" customFormat="1" ht="135">
      <c r="A23" s="990"/>
      <c r="B23" s="1034" t="s">
        <v>2661</v>
      </c>
      <c r="C23" s="158" t="str">
        <f>估价对象房地状况!G19</f>
        <v>估价对象所在区域银行、购物场所、学校等公共配套设施齐备，综合评价公用设施及基础设施水平一般。</v>
      </c>
      <c r="D23" s="791">
        <v>100</v>
      </c>
      <c r="E23" s="100" t="s">
        <v>3177</v>
      </c>
      <c r="F23" s="791">
        <f>SUMIF(91:91,E24,92:92)-SUMIF(91:91,C24,92:92)+100</f>
        <v>100</v>
      </c>
      <c r="G23" s="100" t="s">
        <v>3177</v>
      </c>
      <c r="H23" s="791">
        <f>SUMIF(91:91,G24,92:92)-SUMIF(91:91,C24,92:92)+100</f>
        <v>100</v>
      </c>
      <c r="I23" s="101" t="s">
        <v>3177</v>
      </c>
      <c r="J23" s="791">
        <f>SUMIF(91:91,I24,92:92)-SUMIF(91:91,C24,92:92)+100</f>
        <v>100</v>
      </c>
      <c r="K23" s="1080">
        <v>2</v>
      </c>
      <c r="L23" s="2348"/>
      <c r="M23" s="2349"/>
      <c r="N23" s="2349"/>
      <c r="O23" s="2350"/>
      <c r="P23" s="3682"/>
      <c r="Q23" s="295" t="str">
        <f t="shared" si="8"/>
        <v>公共配套设施</v>
      </c>
      <c r="R23" s="1317" t="s">
        <v>65</v>
      </c>
      <c r="S23" s="1318">
        <f>F23</f>
        <v>100</v>
      </c>
      <c r="T23" s="1317" t="s">
        <v>65</v>
      </c>
      <c r="U23" s="1318">
        <f>H23</f>
        <v>100</v>
      </c>
      <c r="V23" s="1317" t="s">
        <v>65</v>
      </c>
      <c r="W23" s="1318">
        <f>J23</f>
        <v>100</v>
      </c>
      <c r="X23" s="1319"/>
      <c r="Y23" s="3682"/>
      <c r="Z23" s="343" t="str">
        <f>Q23</f>
        <v>公共配套设施</v>
      </c>
      <c r="AA23" s="1325">
        <f>D23/F23</f>
        <v>1</v>
      </c>
      <c r="AB23" s="1325">
        <f>D23/H23</f>
        <v>1</v>
      </c>
      <c r="AC23" s="1325">
        <f>D23/J23</f>
        <v>1</v>
      </c>
    </row>
    <row r="24" spans="1:29" s="406" customFormat="1" ht="15">
      <c r="A24" s="990"/>
      <c r="B24" s="973"/>
      <c r="C24" s="3384" t="s">
        <v>3196</v>
      </c>
      <c r="D24" s="789"/>
      <c r="E24" s="3384" t="s">
        <v>3196</v>
      </c>
      <c r="F24" s="789"/>
      <c r="G24" s="3384" t="s">
        <v>3196</v>
      </c>
      <c r="H24" s="789"/>
      <c r="I24" s="3384" t="s">
        <v>3196</v>
      </c>
      <c r="J24" s="789"/>
      <c r="K24" s="1079"/>
      <c r="L24" s="2348"/>
      <c r="M24" s="2349"/>
      <c r="N24" s="2349"/>
      <c r="O24" s="2350"/>
      <c r="P24" s="3682"/>
      <c r="Q24" s="295"/>
      <c r="R24" s="1317"/>
      <c r="S24" s="1318"/>
      <c r="T24" s="1317"/>
      <c r="U24" s="1318"/>
      <c r="V24" s="1317"/>
      <c r="W24" s="1318"/>
      <c r="X24" s="1319"/>
      <c r="Y24" s="3682"/>
      <c r="Z24" s="343"/>
      <c r="AA24" s="1320">
        <v>1</v>
      </c>
      <c r="AB24" s="1320">
        <v>1</v>
      </c>
      <c r="AC24" s="1320">
        <v>1</v>
      </c>
    </row>
    <row r="25" spans="1:29" s="406" customFormat="1" ht="27">
      <c r="A25" s="990"/>
      <c r="B25" s="1034" t="s">
        <v>2662</v>
      </c>
      <c r="C25" s="158" t="str">
        <f>估价对象房地状况!G20</f>
        <v>基础设施水平为“七通”</v>
      </c>
      <c r="D25" s="791">
        <v>100</v>
      </c>
      <c r="E25" s="100" t="s">
        <v>3179</v>
      </c>
      <c r="F25" s="791">
        <f>SUMIF(93:93,E26,94:94)-SUMIF(93:93,C26,94:94)+100</f>
        <v>100</v>
      </c>
      <c r="G25" s="100" t="s">
        <v>3179</v>
      </c>
      <c r="H25" s="791">
        <f>SUMIF(93:93,G26,94:94)-SUMIF(93:93,C26,94:94)+100</f>
        <v>100</v>
      </c>
      <c r="I25" s="101" t="s">
        <v>3179</v>
      </c>
      <c r="J25" s="791">
        <f>SUMIF(93:93,I26,94:94)-SUMIF(93:93,C26,94:94)+100</f>
        <v>100</v>
      </c>
      <c r="K25" s="1080">
        <v>2</v>
      </c>
      <c r="L25" s="2348"/>
      <c r="M25" s="2349"/>
      <c r="N25" s="2349"/>
      <c r="O25" s="2350"/>
      <c r="P25" s="3682"/>
      <c r="Q25" s="2742" t="str">
        <f t="shared" ref="Q25" si="9">B25</f>
        <v>基础设施水平</v>
      </c>
      <c r="R25" s="1317" t="s">
        <v>65</v>
      </c>
      <c r="S25" s="1318">
        <f>F25</f>
        <v>100</v>
      </c>
      <c r="T25" s="1317" t="s">
        <v>65</v>
      </c>
      <c r="U25" s="1318">
        <f>H25</f>
        <v>100</v>
      </c>
      <c r="V25" s="1317" t="s">
        <v>65</v>
      </c>
      <c r="W25" s="1318">
        <f>J25</f>
        <v>100</v>
      </c>
      <c r="X25" s="1319"/>
      <c r="Y25" s="3682"/>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682"/>
      <c r="Q26" s="2742"/>
      <c r="R26" s="1317"/>
      <c r="S26" s="1318"/>
      <c r="T26" s="1317"/>
      <c r="U26" s="1318"/>
      <c r="V26" s="1317"/>
      <c r="W26" s="1318"/>
      <c r="X26" s="1319"/>
      <c r="Y26" s="3682"/>
      <c r="Z26" s="343"/>
      <c r="AA26" s="1320">
        <v>1</v>
      </c>
      <c r="AB26" s="1320">
        <v>1</v>
      </c>
      <c r="AC26" s="1320">
        <v>1</v>
      </c>
    </row>
    <row r="27" spans="1:29" ht="15">
      <c r="A27" s="769"/>
      <c r="B27" s="973" t="s">
        <v>435</v>
      </c>
      <c r="C27" s="182" t="s">
        <v>3070</v>
      </c>
      <c r="D27" s="776">
        <v>100</v>
      </c>
      <c r="E27" s="182" t="s">
        <v>3070</v>
      </c>
      <c r="F27" s="776">
        <f>SUMIF(95:95,E27,96:96)-SUMIF(95:95,C27,96:96)+100</f>
        <v>100</v>
      </c>
      <c r="G27" s="195" t="s">
        <v>3175</v>
      </c>
      <c r="H27" s="776">
        <f>SUMIF(95:95,G27,96:96)-SUMIF(95:95,C27,96:96)+100</f>
        <v>97</v>
      </c>
      <c r="I27" s="182" t="s">
        <v>3070</v>
      </c>
      <c r="J27" s="776">
        <f>SUMIF(95:95,I27,96:96)-SUMIF(95:95,C27,96:96)+100</f>
        <v>100</v>
      </c>
      <c r="K27" s="1080">
        <v>1.5</v>
      </c>
      <c r="L27" s="2356"/>
      <c r="M27" s="2347"/>
      <c r="N27" s="2347"/>
      <c r="O27" s="2355"/>
      <c r="P27" s="3682"/>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682"/>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682"/>
      <c r="Q28" s="1321" t="str">
        <f t="shared" si="8"/>
        <v>毗邻道路的类型与等级</v>
      </c>
      <c r="R28" s="1322" t="s">
        <v>65</v>
      </c>
      <c r="S28" s="1323">
        <f t="shared" si="10"/>
        <v>98</v>
      </c>
      <c r="T28" s="1322" t="s">
        <v>65</v>
      </c>
      <c r="U28" s="1323">
        <f t="shared" si="11"/>
        <v>98</v>
      </c>
      <c r="V28" s="1322" t="s">
        <v>65</v>
      </c>
      <c r="W28" s="1323">
        <f t="shared" si="12"/>
        <v>98</v>
      </c>
      <c r="X28" s="1316"/>
      <c r="Y28" s="3682"/>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3165</v>
      </c>
      <c r="D29" s="789"/>
      <c r="E29" s="192" t="s">
        <v>3176</v>
      </c>
      <c r="F29" s="789"/>
      <c r="G29" s="192" t="s">
        <v>3176</v>
      </c>
      <c r="H29" s="789"/>
      <c r="I29" s="192" t="s">
        <v>3176</v>
      </c>
      <c r="J29" s="789"/>
      <c r="K29" s="954"/>
      <c r="L29" s="2356"/>
      <c r="M29" s="2347"/>
      <c r="N29" s="2347"/>
      <c r="O29" s="2355"/>
      <c r="P29" s="3682"/>
      <c r="Q29" s="1321"/>
      <c r="R29" s="1322"/>
      <c r="S29" s="1323"/>
      <c r="T29" s="1322"/>
      <c r="U29" s="1323"/>
      <c r="V29" s="1322"/>
      <c r="W29" s="1323"/>
      <c r="X29" s="1316"/>
      <c r="Y29" s="3682"/>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682"/>
      <c r="Q30" s="1321" t="str">
        <f t="shared" si="8"/>
        <v>土地级别</v>
      </c>
      <c r="R30" s="1322" t="s">
        <v>65</v>
      </c>
      <c r="S30" s="1323">
        <f t="shared" si="10"/>
        <v>100</v>
      </c>
      <c r="T30" s="1322" t="s">
        <v>65</v>
      </c>
      <c r="U30" s="1323">
        <f t="shared" si="11"/>
        <v>100</v>
      </c>
      <c r="V30" s="1322" t="s">
        <v>65</v>
      </c>
      <c r="W30" s="1323">
        <f t="shared" si="12"/>
        <v>100</v>
      </c>
      <c r="X30" s="1316"/>
      <c r="Y30" s="3682"/>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682"/>
      <c r="Q31" s="1321">
        <f t="shared" si="8"/>
        <v>111</v>
      </c>
      <c r="R31" s="1322" t="s">
        <v>65</v>
      </c>
      <c r="S31" s="1323">
        <f t="shared" si="10"/>
        <v>100</v>
      </c>
      <c r="T31" s="1322" t="s">
        <v>65</v>
      </c>
      <c r="U31" s="1323">
        <f t="shared" si="11"/>
        <v>100</v>
      </c>
      <c r="V31" s="1322" t="s">
        <v>65</v>
      </c>
      <c r="W31" s="1323">
        <f t="shared" si="12"/>
        <v>100</v>
      </c>
      <c r="X31" s="1316"/>
      <c r="Y31" s="3682"/>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83" t="s">
        <v>407</v>
      </c>
      <c r="Q32" s="1321">
        <f t="shared" si="8"/>
        <v>111</v>
      </c>
      <c r="R32" s="1322" t="s">
        <v>65</v>
      </c>
      <c r="S32" s="1323">
        <f t="shared" si="10"/>
        <v>100</v>
      </c>
      <c r="T32" s="1322" t="s">
        <v>65</v>
      </c>
      <c r="U32" s="1323">
        <f t="shared" si="11"/>
        <v>100</v>
      </c>
      <c r="V32" s="1322" t="s">
        <v>65</v>
      </c>
      <c r="W32" s="1323">
        <f t="shared" si="12"/>
        <v>100</v>
      </c>
      <c r="X32" s="1316"/>
      <c r="Y32" s="3684"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684"/>
      <c r="Q33" s="1321">
        <f t="shared" si="8"/>
        <v>111</v>
      </c>
      <c r="R33" s="1327" t="s">
        <v>65</v>
      </c>
      <c r="S33" s="1328">
        <f t="shared" si="10"/>
        <v>100</v>
      </c>
      <c r="T33" s="1327" t="s">
        <v>65</v>
      </c>
      <c r="U33" s="1328">
        <f t="shared" si="11"/>
        <v>100</v>
      </c>
      <c r="V33" s="1327" t="s">
        <v>65</v>
      </c>
      <c r="W33" s="1328">
        <f t="shared" si="12"/>
        <v>100</v>
      </c>
      <c r="X33" s="1329"/>
      <c r="Y33" s="3684"/>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684"/>
      <c r="Q34" s="1321" t="str">
        <f>B34</f>
        <v>宗地面积</v>
      </c>
      <c r="R34" s="1322" t="s">
        <v>65</v>
      </c>
      <c r="S34" s="1323">
        <f t="shared" si="10"/>
        <v>98</v>
      </c>
      <c r="T34" s="1322" t="s">
        <v>65</v>
      </c>
      <c r="U34" s="1323">
        <f t="shared" si="11"/>
        <v>97</v>
      </c>
      <c r="V34" s="1322" t="s">
        <v>65</v>
      </c>
      <c r="W34" s="1323">
        <f t="shared" si="12"/>
        <v>97</v>
      </c>
      <c r="X34" s="1316"/>
      <c r="Y34" s="3684"/>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3166</v>
      </c>
      <c r="D35" s="776">
        <v>100</v>
      </c>
      <c r="E35" s="109" t="s">
        <v>3166</v>
      </c>
      <c r="F35" s="776">
        <f>SUMIF(110:110,E35,111:111)-SUMIF(110:110,C35,111:111)+100</f>
        <v>100</v>
      </c>
      <c r="G35" s="109" t="s">
        <v>3166</v>
      </c>
      <c r="H35" s="776">
        <f>SUMIF(110:110,G35,111:111)-SUMIF(110:110,C35,111:111)+100</f>
        <v>100</v>
      </c>
      <c r="I35" s="109" t="s">
        <v>3166</v>
      </c>
      <c r="J35" s="776">
        <f>SUMIF(110:110,I35,111:111)-SUMIF(110:110,C35,111:111)+100</f>
        <v>100</v>
      </c>
      <c r="K35" s="953">
        <v>2</v>
      </c>
      <c r="L35" s="2356"/>
      <c r="M35" s="2347"/>
      <c r="N35" s="2347"/>
      <c r="O35" s="2355"/>
      <c r="P35" s="3684"/>
      <c r="Q35" s="1321" t="str">
        <f t="shared" ref="Q35:Q40" si="14">B35</f>
        <v>宗地形状</v>
      </c>
      <c r="R35" s="1322" t="s">
        <v>65</v>
      </c>
      <c r="S35" s="1323">
        <f t="shared" si="10"/>
        <v>100</v>
      </c>
      <c r="T35" s="1322" t="s">
        <v>65</v>
      </c>
      <c r="U35" s="1323">
        <f t="shared" si="11"/>
        <v>100</v>
      </c>
      <c r="V35" s="1322" t="s">
        <v>65</v>
      </c>
      <c r="W35" s="1323">
        <f t="shared" si="12"/>
        <v>100</v>
      </c>
      <c r="X35" s="1316"/>
      <c r="Y35" s="3684"/>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684"/>
      <c r="Q36" s="1321" t="str">
        <f t="shared" si="14"/>
        <v>宗地开发程度</v>
      </c>
      <c r="R36" s="1317" t="s">
        <v>65</v>
      </c>
      <c r="S36" s="1318">
        <f t="shared" si="10"/>
        <v>100</v>
      </c>
      <c r="T36" s="1317" t="s">
        <v>65</v>
      </c>
      <c r="U36" s="1318">
        <f t="shared" si="11"/>
        <v>98</v>
      </c>
      <c r="V36" s="1317" t="s">
        <v>65</v>
      </c>
      <c r="W36" s="1318">
        <f t="shared" si="12"/>
        <v>100</v>
      </c>
      <c r="X36" s="1319"/>
      <c r="Y36" s="3684"/>
      <c r="Z36" s="343" t="str">
        <f t="shared" si="13"/>
        <v>宗地开发程度</v>
      </c>
      <c r="AA36" s="1320">
        <f t="shared" si="3"/>
        <v>1</v>
      </c>
      <c r="AB36" s="1320">
        <f t="shared" si="4"/>
        <v>1.0204081632653061</v>
      </c>
      <c r="AC36" s="1320">
        <f t="shared" si="5"/>
        <v>1</v>
      </c>
    </row>
    <row r="37" spans="1:29" ht="15">
      <c r="A37" s="813"/>
      <c r="B37" s="763" t="s">
        <v>487</v>
      </c>
      <c r="C37" s="109" t="s">
        <v>3137</v>
      </c>
      <c r="D37" s="776">
        <v>100</v>
      </c>
      <c r="E37" s="109" t="s">
        <v>3137</v>
      </c>
      <c r="F37" s="776">
        <f>SUMIF(114:114,E37,115:115)-SUMIF(114:114,C37,115:115)+100</f>
        <v>100</v>
      </c>
      <c r="G37" s="109" t="s">
        <v>3137</v>
      </c>
      <c r="H37" s="776">
        <f>SUMIF(114:114,G37,115:115)-SUMIF(114:114,C37,115:115)+100</f>
        <v>100</v>
      </c>
      <c r="I37" s="109" t="s">
        <v>3137</v>
      </c>
      <c r="J37" s="776">
        <f>SUMIF(114:114,I37,115:115)-SUMIF(114:114,C37,115:115)+100</f>
        <v>100</v>
      </c>
      <c r="K37" s="953">
        <v>1.5</v>
      </c>
      <c r="L37" s="2356"/>
      <c r="M37" s="2347"/>
      <c r="N37" s="2347"/>
      <c r="O37" s="2355"/>
      <c r="P37" s="3684" t="s">
        <v>518</v>
      </c>
      <c r="Q37" s="1321" t="str">
        <f t="shared" si="14"/>
        <v>工程地质条件</v>
      </c>
      <c r="R37" s="1322" t="s">
        <v>65</v>
      </c>
      <c r="S37" s="1323">
        <f t="shared" si="10"/>
        <v>100</v>
      </c>
      <c r="T37" s="1322" t="s">
        <v>65</v>
      </c>
      <c r="U37" s="1323">
        <f t="shared" si="11"/>
        <v>100</v>
      </c>
      <c r="V37" s="1322" t="s">
        <v>65</v>
      </c>
      <c r="W37" s="1323">
        <f t="shared" si="12"/>
        <v>100</v>
      </c>
      <c r="X37" s="1316"/>
      <c r="Y37" s="3684"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84"/>
      <c r="Q38" s="1321">
        <f t="shared" si="14"/>
        <v>111</v>
      </c>
      <c r="R38" s="1322" t="s">
        <v>65</v>
      </c>
      <c r="S38" s="1323">
        <f t="shared" si="10"/>
        <v>100</v>
      </c>
      <c r="T38" s="1322" t="s">
        <v>65</v>
      </c>
      <c r="U38" s="1323">
        <f t="shared" si="11"/>
        <v>100</v>
      </c>
      <c r="V38" s="1322" t="s">
        <v>65</v>
      </c>
      <c r="W38" s="1323">
        <f t="shared" si="12"/>
        <v>100</v>
      </c>
      <c r="X38" s="1316"/>
      <c r="Y38" s="3684"/>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84"/>
      <c r="Q39" s="1321">
        <f t="shared" si="14"/>
        <v>111</v>
      </c>
      <c r="R39" s="1322" t="s">
        <v>65</v>
      </c>
      <c r="S39" s="1323">
        <f t="shared" si="10"/>
        <v>100</v>
      </c>
      <c r="T39" s="1322" t="s">
        <v>65</v>
      </c>
      <c r="U39" s="1323">
        <f t="shared" si="11"/>
        <v>100</v>
      </c>
      <c r="V39" s="1322" t="s">
        <v>65</v>
      </c>
      <c r="W39" s="1323">
        <f t="shared" si="12"/>
        <v>100</v>
      </c>
      <c r="X39" s="1316"/>
      <c r="Y39" s="368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684"/>
      <c r="Q40" s="1321">
        <f t="shared" si="14"/>
        <v>111</v>
      </c>
      <c r="R40" s="1327" t="s">
        <v>65</v>
      </c>
      <c r="S40" s="1328">
        <f t="shared" si="10"/>
        <v>100</v>
      </c>
      <c r="T40" s="1327" t="s">
        <v>65</v>
      </c>
      <c r="U40" s="1328">
        <f t="shared" si="11"/>
        <v>100</v>
      </c>
      <c r="V40" s="1327" t="s">
        <v>65</v>
      </c>
      <c r="W40" s="1328">
        <f t="shared" si="12"/>
        <v>100</v>
      </c>
      <c r="X40" s="1329"/>
      <c r="Y40" s="3684"/>
      <c r="Z40" s="1330">
        <f t="shared" si="13"/>
        <v>111</v>
      </c>
      <c r="AA40" s="1325">
        <f t="shared" si="3"/>
        <v>1</v>
      </c>
      <c r="AB40" s="1325">
        <f t="shared" si="4"/>
        <v>1</v>
      </c>
      <c r="AC40" s="1325">
        <f t="shared" si="5"/>
        <v>1</v>
      </c>
    </row>
    <row r="41" spans="1:29" ht="15">
      <c r="A41" s="820" t="s">
        <v>488</v>
      </c>
      <c r="B41" s="207" t="s">
        <v>3198</v>
      </c>
      <c r="C41" s="1089" t="s">
        <v>23</v>
      </c>
      <c r="D41" s="822"/>
      <c r="E41" s="823">
        <v>1620</v>
      </c>
      <c r="F41" s="824"/>
      <c r="G41" s="825">
        <v>1620</v>
      </c>
      <c r="H41" s="826"/>
      <c r="I41" s="3354">
        <v>1620</v>
      </c>
      <c r="J41" s="826"/>
      <c r="K41" s="1398"/>
      <c r="L41" s="2359"/>
      <c r="M41" s="2347"/>
      <c r="N41" s="2347"/>
      <c r="O41" s="2360"/>
      <c r="P41" s="3676" t="str">
        <f>A41</f>
        <v>成交单价</v>
      </c>
      <c r="Q41" s="3676"/>
      <c r="R41" s="3704">
        <f>E41</f>
        <v>1620</v>
      </c>
      <c r="S41" s="3704"/>
      <c r="T41" s="3704">
        <f>G41</f>
        <v>1620</v>
      </c>
      <c r="U41" s="3704"/>
      <c r="V41" s="3704">
        <f>I41</f>
        <v>1620</v>
      </c>
      <c r="W41" s="3704"/>
      <c r="X41" s="1305"/>
      <c r="Y41" s="1331"/>
      <c r="Z41" s="1305"/>
      <c r="AA41" s="1305"/>
      <c r="AB41" s="1305"/>
      <c r="AC41" s="1305"/>
    </row>
    <row r="42" spans="1:29" ht="15.75" thickBot="1">
      <c r="A42" s="827" t="s">
        <v>409</v>
      </c>
      <c r="B42" s="1090"/>
      <c r="C42" s="831">
        <f>R43</f>
        <v>1728</v>
      </c>
      <c r="D42" s="830"/>
      <c r="E42" s="831">
        <f>R42</f>
        <v>1687</v>
      </c>
      <c r="F42" s="832"/>
      <c r="G42" s="829">
        <f>T42</f>
        <v>1793</v>
      </c>
      <c r="H42" s="830"/>
      <c r="I42" s="831">
        <f>V42</f>
        <v>1704</v>
      </c>
      <c r="J42" s="830"/>
      <c r="K42" s="1399"/>
      <c r="L42" s="2359"/>
      <c r="M42" s="2347"/>
      <c r="N42" s="2347"/>
      <c r="O42" s="2360"/>
      <c r="P42" s="3676" t="str">
        <f>A42</f>
        <v>比较价值（元/平方米）</v>
      </c>
      <c r="Q42" s="3676"/>
      <c r="R42" s="3716">
        <f>ROUND(PRODUCT(R41,AA7:AA40),0)</f>
        <v>1687</v>
      </c>
      <c r="S42" s="3716"/>
      <c r="T42" s="3716">
        <f>ROUND(PRODUCT(T41,AB7:AB40),0)</f>
        <v>1793</v>
      </c>
      <c r="U42" s="3716"/>
      <c r="V42" s="3716">
        <f>ROUND(PRODUCT(V41,AC7:AC40),0)</f>
        <v>1704</v>
      </c>
      <c r="W42" s="3716"/>
      <c r="X42" s="1305"/>
      <c r="Y42" s="1305"/>
      <c r="Z42" s="1305"/>
      <c r="AA42" s="1305"/>
      <c r="AB42" s="1305"/>
      <c r="AC42" s="1305"/>
    </row>
    <row r="43" spans="1:29" ht="15.75" thickBot="1">
      <c r="A43" s="115" t="s">
        <v>3005</v>
      </c>
      <c r="B43" s="834"/>
      <c r="C43" s="835">
        <f>R43</f>
        <v>1728</v>
      </c>
      <c r="D43" s="835"/>
      <c r="E43" s="835"/>
      <c r="F43" s="835"/>
      <c r="G43" s="835"/>
      <c r="H43" s="835"/>
      <c r="I43" s="835"/>
      <c r="J43" s="835"/>
      <c r="K43" s="1400"/>
      <c r="L43" s="2359"/>
      <c r="M43" s="2347"/>
      <c r="N43" s="2347"/>
      <c r="O43" s="2360"/>
      <c r="P43" s="3678" t="str">
        <f>A43</f>
        <v>估价对象XX用房的比较价值（楼面单价，元/平方米）</v>
      </c>
      <c r="Q43" s="3679"/>
      <c r="R43" s="3717">
        <f>ROUND(AVERAGE(R42:V42),0)</f>
        <v>1728</v>
      </c>
      <c r="S43" s="3717"/>
      <c r="T43" s="3717"/>
      <c r="U43" s="3717"/>
      <c r="V43" s="3717"/>
      <c r="W43" s="3717"/>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4.1358024691358075E-2</v>
      </c>
      <c r="F46" s="841" t="str">
        <f>IF(OR(E46&gt;=0.3,E46&lt;=-0.3),"超过30%","")</f>
        <v/>
      </c>
      <c r="G46" s="840">
        <f>IF(G41&lt;G42,G42/G41-1,G41/G42-1)</f>
        <v>0.10679012345679006</v>
      </c>
      <c r="H46" s="841" t="str">
        <f>IF(OR(G46&gt;=0.3,G46&lt;=-0.3),"超过30%","")</f>
        <v/>
      </c>
      <c r="I46" s="840">
        <f>IF(I41&lt;I42,I42/I41-1,I41/I42-1)</f>
        <v>5.1851851851851816E-2</v>
      </c>
      <c r="J46" s="841" t="str">
        <f>IF(OR(I46&gt;=0.3,I46&lt;=-0.3),"超过30%","")</f>
        <v/>
      </c>
      <c r="K46" s="2186"/>
      <c r="L46" s="2187"/>
      <c r="M46" s="2347"/>
      <c r="N46" s="2347"/>
      <c r="O46" s="2360"/>
    </row>
    <row r="47" spans="1:29" ht="13.5" customHeight="1">
      <c r="A47" s="2360"/>
      <c r="B47" s="2360"/>
      <c r="C47" s="838" t="s">
        <v>411</v>
      </c>
      <c r="D47" s="842"/>
      <c r="E47" s="840">
        <f>IF(E42&lt;G42,G42/E42-1,E42/G42-1)</f>
        <v>6.2833432128037936E-2</v>
      </c>
      <c r="F47" s="841" t="str">
        <f>IF(OR(E47&gt;=0.2,E47&lt;=-0.2),"超过20%","")</f>
        <v/>
      </c>
      <c r="G47" s="840">
        <f>IF(G42&lt;I42,I42/G42-1,G42/I42-1)</f>
        <v>5.2230046948356756E-2</v>
      </c>
      <c r="H47" s="841" t="str">
        <f>IF(OR(G47&gt;=0.2,G47&lt;=-0.2),"超过20%","")</f>
        <v/>
      </c>
      <c r="I47" s="840">
        <f>IF(I42&lt;E42,E42/I42-1,I42/E42-1)</f>
        <v>1.0077059869590954E-2</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18" t="s">
        <v>2312</v>
      </c>
      <c r="H50" s="3719"/>
      <c r="I50" s="2181" t="s">
        <v>1886</v>
      </c>
      <c r="J50" s="1764">
        <f>项目基本情况!F35</f>
        <v>0</v>
      </c>
      <c r="K50" s="2374" t="s">
        <v>1888</v>
      </c>
      <c r="L50" s="2187"/>
      <c r="M50" s="2360"/>
      <c r="N50" s="2360"/>
      <c r="O50" s="2360"/>
    </row>
    <row r="51" spans="1:17" s="1099" customFormat="1">
      <c r="A51" s="1095" t="s">
        <v>493</v>
      </c>
      <c r="B51" s="1096">
        <f>C43</f>
        <v>1728</v>
      </c>
      <c r="C51" s="1097">
        <v>1</v>
      </c>
      <c r="D51" s="2392">
        <v>1</v>
      </c>
      <c r="E51" s="1097">
        <f>'数据-汇总表'!E8+'数据-汇总表'!E9</f>
        <v>134884.83000000002</v>
      </c>
      <c r="F51" s="1098">
        <f t="shared" ref="F51:F60" si="15">ROUND(B51*E51/10000,0)</f>
        <v>23308</v>
      </c>
      <c r="G51" s="3720"/>
      <c r="H51" s="3721"/>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2"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2"/>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2"/>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2"/>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17468</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2783</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2782</v>
      </c>
      <c r="B66" s="663" t="str">
        <f>"北京市平均增长率"&amp;TEXT(基准地价修正!P24,"0.00%")</f>
        <v>北京市平均增长率1.37%</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3139</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3140</v>
      </c>
      <c r="D70" s="871" t="s">
        <v>3141</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3142</v>
      </c>
      <c r="D97" s="895" t="s">
        <v>3143</v>
      </c>
      <c r="E97" s="895" t="s">
        <v>3144</v>
      </c>
      <c r="F97" s="895" t="s">
        <v>3145</v>
      </c>
      <c r="G97" s="895" t="s">
        <v>3146</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3147</v>
      </c>
      <c r="D99" s="924" t="s">
        <v>3148</v>
      </c>
      <c r="E99" s="924" t="s">
        <v>3149</v>
      </c>
      <c r="F99" s="924" t="s">
        <v>3150</v>
      </c>
      <c r="G99" s="924" t="s">
        <v>3151</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3152</v>
      </c>
      <c r="D110" s="924" t="s">
        <v>3153</v>
      </c>
      <c r="E110" s="924" t="s">
        <v>3154</v>
      </c>
      <c r="F110" s="924" t="s">
        <v>3155</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3156</v>
      </c>
      <c r="D112" s="895" t="s">
        <v>3157</v>
      </c>
      <c r="E112" s="895" t="s">
        <v>3158</v>
      </c>
      <c r="F112" s="895" t="s">
        <v>3159</v>
      </c>
      <c r="G112" s="895" t="s">
        <v>3160</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3161</v>
      </c>
      <c r="D114" s="895" t="s">
        <v>3138</v>
      </c>
      <c r="E114" s="924" t="s">
        <v>3162</v>
      </c>
      <c r="F114" s="924" t="s">
        <v>3163</v>
      </c>
      <c r="G114" s="924" t="s">
        <v>3164</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0" sqref="C20"/>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1794</v>
      </c>
      <c r="B2" s="579">
        <f ca="1">C26</f>
        <v>16630</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2471</v>
      </c>
      <c r="U2" s="3076"/>
      <c r="V2" s="3075">
        <f ca="1">ROUND(T2*U2/10000,0)</f>
        <v>0</v>
      </c>
      <c r="W2" s="3071"/>
      <c r="X2" s="3071"/>
      <c r="Y2" s="3071"/>
      <c r="Z2" s="3071"/>
      <c r="AA2" s="3071"/>
      <c r="AB2" s="3071"/>
      <c r="AC2" s="3072"/>
      <c r="AD2" s="3073"/>
      <c r="AE2" s="3073"/>
      <c r="AF2" s="3073"/>
      <c r="AG2" s="3073"/>
      <c r="AH2" s="3073"/>
      <c r="AI2" s="3073"/>
      <c r="AJ2" s="3074"/>
    </row>
    <row r="3" spans="1:36" ht="15.75">
      <c r="A3" s="87" t="s">
        <v>1798</v>
      </c>
      <c r="B3" s="579">
        <f ca="1">ROUND(B2*10000/D1,0)</f>
        <v>1101</v>
      </c>
      <c r="C3" s="1469" t="s">
        <v>1799</v>
      </c>
      <c r="D3" s="1626" t="s">
        <v>1138</v>
      </c>
      <c r="E3" s="1781" t="s">
        <v>3199</v>
      </c>
      <c r="F3" s="1782" t="s">
        <v>3200</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1773</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30"/>
      <c r="B4" s="3731"/>
      <c r="C4" s="3731"/>
      <c r="D4" s="3732"/>
      <c r="E4" s="3732"/>
      <c r="F4" s="3732"/>
      <c r="G4" s="3732"/>
      <c r="H4" s="3732"/>
      <c r="I4" s="3732"/>
      <c r="J4" s="3733"/>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1431</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1148</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978</v>
      </c>
      <c r="U6" s="3076"/>
      <c r="V6" s="3075">
        <f t="shared" ca="1" si="1"/>
        <v>0</v>
      </c>
      <c r="W6" s="3071"/>
      <c r="X6" s="3071"/>
      <c r="Y6" s="3071"/>
      <c r="Z6" s="3071"/>
      <c r="AA6" s="3071"/>
      <c r="AB6" s="3071"/>
      <c r="AC6" s="3077"/>
      <c r="AD6" s="3078"/>
      <c r="AE6" s="3078"/>
      <c r="AF6" s="3078"/>
      <c r="AG6" s="3078"/>
      <c r="AH6" s="3078"/>
      <c r="AI6" s="3078"/>
      <c r="AJ6" s="3079"/>
    </row>
    <row r="7" spans="1:36" ht="24">
      <c r="A7" s="3734"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860</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35"/>
      <c r="B8" s="1629" t="s">
        <v>1804</v>
      </c>
      <c r="C8" s="1785" t="s">
        <v>3201</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27" t="s">
        <v>2889</v>
      </c>
      <c r="X8" s="3728"/>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35"/>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29"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35"/>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2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35"/>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29"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34"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29"/>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36"/>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29"/>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36"/>
      <c r="B14" s="1668"/>
      <c r="C14" s="1788" t="s">
        <v>3203</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37"/>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34" t="s">
        <v>1945</v>
      </c>
      <c r="B16" s="1643" t="s">
        <v>1819</v>
      </c>
      <c r="C16" s="1776">
        <f>ROUND(SUM(G17:J17)/C17,0)</f>
        <v>0</v>
      </c>
      <c r="D16" s="1674" t="s">
        <v>1820</v>
      </c>
      <c r="E16" s="1792" t="s">
        <v>3204</v>
      </c>
      <c r="F16" s="1793" t="s">
        <v>3205</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35"/>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f>ROUND(IF(H19="按公示增长率计算",SUMPRODUCT((地价!A3:A19=YEAR(G19)&amp;"-"&amp;ROUNDUP(MONTH(G19)/3,0))*(地价!X2:AB2=E2)*(地价!X3:AB19)),IF(H19="地价指数",M20/M19,(1+I19)^O19)),4)</f>
        <v>1.2094</v>
      </c>
      <c r="D19" s="1690" t="s">
        <v>1146</v>
      </c>
      <c r="E19" s="1691">
        <v>41640</v>
      </c>
      <c r="F19" s="1690" t="s">
        <v>1147</v>
      </c>
      <c r="G19" s="1692">
        <f>'数据-取费表'!B2</f>
        <v>42993</v>
      </c>
      <c r="H19" s="3017" t="s">
        <v>3206</v>
      </c>
      <c r="I19" s="1693" t="str">
        <f>IF(H19="季度增幅（自定义）",SUMIF(N21:N24,E2,O21:O24),"")</f>
        <v/>
      </c>
      <c r="J19" s="1686"/>
      <c r="K19" s="2387"/>
      <c r="L19" s="3243" t="s">
        <v>2948</v>
      </c>
      <c r="M19" s="3245">
        <f>ROUND(SUMIF(地价!B2:F2,E2,地价!B19:F19),0)</f>
        <v>230</v>
      </c>
      <c r="N19" s="3241" t="s">
        <v>1870</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f ca="1">ROUND(POWER(1+G20,J20-I20)*(POWER(1+G20,I20)-1)/(POWER(1+G20,J20)-1),4)</f>
        <v>0.99039999999999995</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48.16</v>
      </c>
      <c r="J20" s="1753">
        <f>IF(E2="住宅",70,IF(E2="商业",40,50))</f>
        <v>50</v>
      </c>
      <c r="K20" s="2387"/>
      <c r="L20" s="3244" t="s">
        <v>2949</v>
      </c>
      <c r="M20" s="3246">
        <f>ROUND(SUMPRODUCT((地价!A4:A19=YEAR(G19)&amp;"-"&amp;ROUNDUP(MONTH(G19)/3,0))*(地价!B2:F2=E2)*(地价!B4:F19)),0)</f>
        <v>279</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3202</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1"/>
      <c r="B26" s="1698" t="s">
        <v>1864</v>
      </c>
      <c r="C26" s="537">
        <f ca="1">E29+SUM(E33:E39)</f>
        <v>16630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1201</v>
      </c>
      <c r="D29" s="1745">
        <f>'数据-汇总表'!F19</f>
        <v>134884.83000000002</v>
      </c>
      <c r="E29" s="1779">
        <f ca="1">ROUND(C29*D29/10000,0)</f>
        <v>16200</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f ca="1">ROUND(IF(E2="工业",C29*M39,C29*M38),0)</f>
        <v>180</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46"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47"/>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47"/>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48"/>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f ca="1">ROUND(C5*C19*C20*C24*F37,0)</f>
        <v>332</v>
      </c>
      <c r="D37" s="1745"/>
      <c r="E37" s="531">
        <f t="shared" ca="1" si="7"/>
        <v>0</v>
      </c>
      <c r="F37" s="537">
        <f>SUMIF(修正!A45:A56,G2,修正!F45:F56)</f>
        <v>0.25</v>
      </c>
      <c r="G37" s="531">
        <f t="shared" ca="1" si="6"/>
        <v>83</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f ca="1">ROUND(C5*C19*C20*C24*F38,0)</f>
        <v>332</v>
      </c>
      <c r="D38" s="1745"/>
      <c r="E38" s="531">
        <f t="shared" ca="1" si="7"/>
        <v>0</v>
      </c>
      <c r="F38" s="537">
        <f>SUMIF(修正!A45:A56,G2,修正!G45:G56)</f>
        <v>0.25</v>
      </c>
      <c r="G38" s="531">
        <f t="shared" ca="1" si="6"/>
        <v>83</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f ca="1">ROUND(C5*C19*C20*C24*F39,0)</f>
        <v>265</v>
      </c>
      <c r="D39" s="1746">
        <f>'数据-汇总表'!G19</f>
        <v>16210.670000000002</v>
      </c>
      <c r="E39" s="560">
        <f t="shared" ca="1" si="7"/>
        <v>430</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3137</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3137</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3137</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14.25">
      <c r="A84" s="1495" t="s">
        <v>1788</v>
      </c>
      <c r="B84" s="1504" t="str">
        <f>估价对象房地状况!G22</f>
        <v>城市次干道——经海路</v>
      </c>
      <c r="C84" s="1485" t="s">
        <v>3137</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t="s">
        <v>3207</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3208</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24">
      <c r="A87" s="1495" t="s">
        <v>1784</v>
      </c>
      <c r="B87" s="3300" t="s">
        <v>2489</v>
      </c>
      <c r="C87" s="1485" t="s">
        <v>3137</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t="s">
        <v>3137</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38" t="s">
        <v>1759</v>
      </c>
      <c r="B90" s="3738"/>
      <c r="C90" s="3738"/>
      <c r="D90" s="3738"/>
      <c r="E90" s="3738"/>
      <c r="F90" s="3738"/>
      <c r="G90" s="3738"/>
      <c r="H90" s="3738"/>
      <c r="I90" s="3738"/>
      <c r="J90" s="3738"/>
      <c r="K90" s="2606"/>
      <c r="L90" s="2606"/>
      <c r="M90" s="2606"/>
      <c r="N90" s="2606"/>
    </row>
    <row r="91" spans="1:37">
      <c r="A91" s="3740" t="s">
        <v>68</v>
      </c>
      <c r="B91" s="3740" t="s">
        <v>1760</v>
      </c>
      <c r="C91" s="1584" t="s">
        <v>1761</v>
      </c>
      <c r="D91" s="1585"/>
      <c r="E91" s="1585"/>
      <c r="F91" s="1585"/>
      <c r="G91" s="1585"/>
      <c r="H91" s="1585"/>
      <c r="I91" s="1585"/>
      <c r="J91" s="1586"/>
      <c r="K91" s="1574"/>
      <c r="L91" s="1574"/>
      <c r="M91" s="1574"/>
      <c r="N91" s="1574"/>
    </row>
    <row r="92" spans="1:37">
      <c r="A92" s="3740"/>
      <c r="B92" s="3740"/>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41"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2"/>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3"/>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1"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42"/>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42"/>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42"/>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42"/>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42"/>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42"/>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42"/>
      <c r="B108" s="3744"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3"/>
      <c r="B109" s="3745"/>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39" t="s">
        <v>1767</v>
      </c>
      <c r="B110" s="3739"/>
      <c r="C110" s="3739"/>
      <c r="D110" s="3739"/>
      <c r="E110" s="3739"/>
      <c r="F110" s="3739"/>
      <c r="G110" s="3739"/>
      <c r="H110" s="3739"/>
      <c r="I110" s="3739"/>
      <c r="J110" s="3739"/>
      <c r="K110" s="2604"/>
      <c r="L110" s="2604"/>
      <c r="M110" s="2604"/>
      <c r="N110" s="2604"/>
    </row>
    <row r="112" spans="1:14" ht="12.75" thickBot="1"/>
    <row r="113" spans="1:13" ht="25.5"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40" t="s">
        <v>1196</v>
      </c>
      <c r="B18" s="1570" t="s">
        <v>1573</v>
      </c>
      <c r="C18" s="1571" t="s">
        <v>1574</v>
      </c>
      <c r="D18" s="1572"/>
      <c r="E18" s="1570">
        <v>1</v>
      </c>
      <c r="F18" s="1573" t="s">
        <v>1575</v>
      </c>
      <c r="G18" s="1574"/>
      <c r="H18" s="1566"/>
      <c r="I18" s="1566"/>
    </row>
    <row r="19" spans="1:9" s="1575" customFormat="1" ht="19.5" customHeight="1">
      <c r="A19" s="3740"/>
      <c r="B19" s="3740" t="s">
        <v>1576</v>
      </c>
      <c r="C19" s="1571" t="s">
        <v>1577</v>
      </c>
      <c r="D19" s="1572"/>
      <c r="E19" s="1570">
        <v>0.9</v>
      </c>
      <c r="F19" s="1573" t="s">
        <v>1578</v>
      </c>
      <c r="G19" s="1574"/>
      <c r="H19" s="1566"/>
      <c r="I19" s="1566"/>
    </row>
    <row r="20" spans="1:9" s="1575" customFormat="1" ht="19.5" customHeight="1">
      <c r="A20" s="3740"/>
      <c r="B20" s="3740"/>
      <c r="C20" s="1571" t="s">
        <v>1579</v>
      </c>
      <c r="D20" s="1572"/>
      <c r="E20" s="1570">
        <v>1.1000000000000001</v>
      </c>
      <c r="F20" s="1573" t="s">
        <v>1580</v>
      </c>
      <c r="G20" s="1574"/>
      <c r="H20" s="1566"/>
      <c r="I20" s="1566"/>
    </row>
    <row r="21" spans="1:9" s="1575" customFormat="1" ht="19.5" customHeight="1">
      <c r="A21" s="3740"/>
      <c r="B21" s="3740"/>
      <c r="C21" s="1571" t="s">
        <v>1581</v>
      </c>
      <c r="D21" s="1572"/>
      <c r="E21" s="1570">
        <v>0.8</v>
      </c>
      <c r="F21" s="1573" t="s">
        <v>1582</v>
      </c>
      <c r="G21" s="1574"/>
      <c r="H21" s="1566"/>
      <c r="I21" s="1566"/>
    </row>
    <row r="22" spans="1:9" s="1575" customFormat="1" ht="19.5" customHeight="1">
      <c r="A22" s="3740"/>
      <c r="B22" s="3740"/>
      <c r="C22" s="1571" t="s">
        <v>1583</v>
      </c>
      <c r="D22" s="1572"/>
      <c r="E22" s="1570">
        <v>0.5</v>
      </c>
      <c r="F22" s="1573"/>
      <c r="G22" s="1574"/>
      <c r="H22" s="1566"/>
      <c r="I22" s="1566"/>
    </row>
    <row r="23" spans="1:9" s="1575" customFormat="1" ht="19.5" customHeight="1">
      <c r="A23" s="3740" t="s">
        <v>1197</v>
      </c>
      <c r="B23" s="1570" t="s">
        <v>1573</v>
      </c>
      <c r="C23" s="1571" t="s">
        <v>1584</v>
      </c>
      <c r="D23" s="1572"/>
      <c r="E23" s="1570">
        <v>1</v>
      </c>
      <c r="F23" s="1573" t="s">
        <v>1585</v>
      </c>
      <c r="G23" s="1574"/>
      <c r="H23" s="1566"/>
      <c r="I23" s="1566"/>
    </row>
    <row r="24" spans="1:9" s="1575" customFormat="1" ht="19.5" customHeight="1">
      <c r="A24" s="3740"/>
      <c r="B24" s="3740" t="s">
        <v>1576</v>
      </c>
      <c r="C24" s="1571" t="s">
        <v>1586</v>
      </c>
      <c r="D24" s="1572"/>
      <c r="E24" s="1570">
        <v>0.5</v>
      </c>
      <c r="F24" s="1573"/>
      <c r="G24" s="1574"/>
      <c r="H24" s="1566"/>
      <c r="I24" s="1566"/>
    </row>
    <row r="25" spans="1:9" s="1575" customFormat="1" ht="19.5" customHeight="1">
      <c r="A25" s="3740"/>
      <c r="B25" s="3740"/>
      <c r="C25" s="1571" t="s">
        <v>1587</v>
      </c>
      <c r="D25" s="1572"/>
      <c r="E25" s="1570">
        <v>1.1000000000000001</v>
      </c>
      <c r="F25" s="1573"/>
      <c r="G25" s="1574"/>
      <c r="H25" s="1566"/>
      <c r="I25" s="1566"/>
    </row>
    <row r="26" spans="1:9" s="1575" customFormat="1" ht="19.5" customHeight="1">
      <c r="A26" s="3740"/>
      <c r="B26" s="3740"/>
      <c r="C26" s="1571" t="s">
        <v>1588</v>
      </c>
      <c r="D26" s="1572"/>
      <c r="E26" s="1570">
        <v>1.1000000000000001</v>
      </c>
      <c r="F26" s="1573"/>
      <c r="G26" s="1574"/>
      <c r="H26" s="1566"/>
      <c r="I26" s="1566"/>
    </row>
    <row r="27" spans="1:9" s="1575" customFormat="1" ht="19.5" customHeight="1">
      <c r="A27" s="3740"/>
      <c r="B27" s="3740"/>
      <c r="C27" s="1571" t="s">
        <v>1589</v>
      </c>
      <c r="D27" s="1572"/>
      <c r="E27" s="1570">
        <v>0.9</v>
      </c>
      <c r="F27" s="1573" t="s">
        <v>1590</v>
      </c>
      <c r="G27" s="1574"/>
      <c r="H27" s="1566"/>
      <c r="I27" s="1566"/>
    </row>
    <row r="28" spans="1:9" s="1575" customFormat="1" ht="19.5" customHeight="1">
      <c r="A28" s="3740"/>
      <c r="B28" s="3740"/>
      <c r="C28" s="1571" t="s">
        <v>1591</v>
      </c>
      <c r="D28" s="1572"/>
      <c r="E28" s="1570">
        <v>0.9</v>
      </c>
      <c r="F28" s="1573" t="s">
        <v>1592</v>
      </c>
      <c r="G28" s="1574"/>
      <c r="H28" s="1566"/>
      <c r="I28" s="1566"/>
    </row>
    <row r="29" spans="1:9" s="1575" customFormat="1" ht="19.5" customHeight="1">
      <c r="A29" s="3740"/>
      <c r="B29" s="3740"/>
      <c r="C29" s="1571" t="s">
        <v>1593</v>
      </c>
      <c r="D29" s="1572"/>
      <c r="E29" s="1570">
        <v>0.9</v>
      </c>
      <c r="F29" s="1573" t="s">
        <v>1594</v>
      </c>
      <c r="G29" s="1574"/>
      <c r="H29" s="1566"/>
      <c r="I29" s="1566"/>
    </row>
    <row r="30" spans="1:9" s="1575" customFormat="1" ht="19.5" customHeight="1">
      <c r="A30" s="3740"/>
      <c r="B30" s="3740"/>
      <c r="C30" s="1571" t="s">
        <v>1595</v>
      </c>
      <c r="D30" s="1572"/>
      <c r="E30" s="1570">
        <v>0.9</v>
      </c>
      <c r="F30" s="1573" t="s">
        <v>1596</v>
      </c>
      <c r="G30" s="1574"/>
      <c r="H30" s="1566"/>
      <c r="I30" s="1566"/>
    </row>
    <row r="31" spans="1:9" s="1575" customFormat="1" ht="19.5" customHeight="1">
      <c r="A31" s="3740"/>
      <c r="B31" s="3740"/>
      <c r="C31" s="1571" t="s">
        <v>1597</v>
      </c>
      <c r="D31" s="1572"/>
      <c r="E31" s="1570">
        <v>0.8</v>
      </c>
      <c r="F31" s="1573" t="s">
        <v>1598</v>
      </c>
      <c r="G31" s="1574"/>
      <c r="H31" s="1566"/>
      <c r="I31" s="1566"/>
    </row>
    <row r="32" spans="1:9" s="1575" customFormat="1" ht="19.5" customHeight="1">
      <c r="A32" s="3740"/>
      <c r="B32" s="3740"/>
      <c r="C32" s="1571" t="s">
        <v>1599</v>
      </c>
      <c r="D32" s="1572"/>
      <c r="E32" s="1570">
        <v>0.8</v>
      </c>
      <c r="F32" s="1573" t="s">
        <v>1600</v>
      </c>
      <c r="G32" s="1574"/>
      <c r="H32" s="1566"/>
      <c r="I32" s="1566"/>
    </row>
    <row r="33" spans="1:9" s="1575" customFormat="1" ht="19.5" customHeight="1">
      <c r="A33" s="3740" t="s">
        <v>1198</v>
      </c>
      <c r="B33" s="1570" t="s">
        <v>1573</v>
      </c>
      <c r="C33" s="1571" t="s">
        <v>1601</v>
      </c>
      <c r="D33" s="1572"/>
      <c r="E33" s="1570">
        <v>1</v>
      </c>
      <c r="F33" s="1573" t="s">
        <v>1602</v>
      </c>
      <c r="G33" s="1574"/>
      <c r="H33" s="1566"/>
      <c r="I33" s="1566"/>
    </row>
    <row r="34" spans="1:9" s="1575" customFormat="1" ht="19.5" customHeight="1">
      <c r="A34" s="3740"/>
      <c r="B34" s="1570" t="s">
        <v>1576</v>
      </c>
      <c r="C34" s="1571" t="s">
        <v>1603</v>
      </c>
      <c r="D34" s="1572"/>
      <c r="E34" s="1570">
        <v>1.5</v>
      </c>
      <c r="F34" s="1573" t="s">
        <v>1604</v>
      </c>
      <c r="G34" s="1574"/>
      <c r="H34" s="1566"/>
      <c r="I34" s="1566"/>
    </row>
    <row r="35" spans="1:9" s="1575" customFormat="1" ht="19.5" customHeight="1">
      <c r="A35" s="3740" t="s">
        <v>1199</v>
      </c>
      <c r="B35" s="1570" t="s">
        <v>1573</v>
      </c>
      <c r="C35" s="1571" t="s">
        <v>1605</v>
      </c>
      <c r="D35" s="1572"/>
      <c r="E35" s="1570">
        <v>1</v>
      </c>
      <c r="F35" s="1573" t="s">
        <v>1606</v>
      </c>
      <c r="G35" s="1574"/>
      <c r="H35" s="1566"/>
      <c r="I35" s="1566"/>
    </row>
    <row r="36" spans="1:9" s="1575" customFormat="1" ht="19.5" customHeight="1">
      <c r="A36" s="3740"/>
      <c r="B36" s="3740" t="s">
        <v>1576</v>
      </c>
      <c r="C36" s="1571" t="s">
        <v>1607</v>
      </c>
      <c r="D36" s="1572"/>
      <c r="E36" s="1570">
        <v>1</v>
      </c>
      <c r="F36" s="1573" t="s">
        <v>1608</v>
      </c>
      <c r="G36" s="1574"/>
      <c r="H36" s="1566"/>
      <c r="I36" s="1566"/>
    </row>
    <row r="37" spans="1:9" s="1575" customFormat="1" ht="19.5" customHeight="1">
      <c r="A37" s="3740"/>
      <c r="B37" s="3740"/>
      <c r="C37" s="1571" t="s">
        <v>1609</v>
      </c>
      <c r="D37" s="1572"/>
      <c r="E37" s="1570">
        <v>1.5</v>
      </c>
      <c r="F37" s="1573" t="s">
        <v>1610</v>
      </c>
      <c r="G37" s="1574"/>
      <c r="H37" s="1566"/>
      <c r="I37" s="1566"/>
    </row>
    <row r="38" spans="1:9" s="1575" customFormat="1" ht="19.5" customHeight="1">
      <c r="A38" s="3740"/>
      <c r="B38" s="3740"/>
      <c r="C38" s="1571" t="s">
        <v>1611</v>
      </c>
      <c r="D38" s="1572"/>
      <c r="E38" s="1570">
        <v>1</v>
      </c>
      <c r="F38" s="1573" t="s">
        <v>1612</v>
      </c>
      <c r="G38" s="1574"/>
      <c r="H38" s="1566"/>
      <c r="I38" s="1566"/>
    </row>
    <row r="39" spans="1:9" s="1575" customFormat="1" ht="19.5" customHeight="1">
      <c r="A39" s="3740"/>
      <c r="B39" s="3740"/>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40" t="s">
        <v>1627</v>
      </c>
      <c r="C61" s="1496" t="s">
        <v>1628</v>
      </c>
      <c r="D61" s="1496" t="s">
        <v>1629</v>
      </c>
      <c r="E61" s="1583">
        <v>0.5</v>
      </c>
      <c r="F61" s="1570">
        <v>80</v>
      </c>
    </row>
    <row r="62" spans="1:8" s="1566" customFormat="1" ht="24">
      <c r="A62" s="1570">
        <v>2</v>
      </c>
      <c r="B62" s="3740"/>
      <c r="C62" s="1496" t="s">
        <v>1630</v>
      </c>
      <c r="D62" s="1496" t="s">
        <v>1631</v>
      </c>
      <c r="E62" s="1583">
        <v>0.5</v>
      </c>
      <c r="F62" s="1570">
        <v>80</v>
      </c>
    </row>
    <row r="63" spans="1:8" s="1566" customFormat="1" ht="36">
      <c r="A63" s="1570">
        <v>3</v>
      </c>
      <c r="B63" s="3740"/>
      <c r="C63" s="1496" t="s">
        <v>1632</v>
      </c>
      <c r="D63" s="1496" t="s">
        <v>1633</v>
      </c>
      <c r="E63" s="1583">
        <v>0.5</v>
      </c>
      <c r="F63" s="1570">
        <v>80</v>
      </c>
    </row>
    <row r="64" spans="1:8" s="1566" customFormat="1" ht="36">
      <c r="A64" s="1570">
        <v>4</v>
      </c>
      <c r="B64" s="3740"/>
      <c r="C64" s="1496" t="s">
        <v>1634</v>
      </c>
      <c r="D64" s="1496" t="s">
        <v>1635</v>
      </c>
      <c r="E64" s="1583">
        <v>0.4</v>
      </c>
      <c r="F64" s="1570">
        <v>60</v>
      </c>
    </row>
    <row r="65" spans="1:6" s="1566" customFormat="1" ht="36">
      <c r="A65" s="1570">
        <v>5</v>
      </c>
      <c r="B65" s="3740"/>
      <c r="C65" s="1496" t="s">
        <v>1636</v>
      </c>
      <c r="D65" s="1496" t="s">
        <v>1637</v>
      </c>
      <c r="E65" s="1583">
        <v>0.2</v>
      </c>
      <c r="F65" s="1570">
        <v>30</v>
      </c>
    </row>
    <row r="66" spans="1:6" s="1566" customFormat="1" ht="36">
      <c r="A66" s="1570">
        <v>6</v>
      </c>
      <c r="B66" s="3740"/>
      <c r="C66" s="1496" t="s">
        <v>1638</v>
      </c>
      <c r="D66" s="1496" t="s">
        <v>1639</v>
      </c>
      <c r="E66" s="1583">
        <v>0.3</v>
      </c>
      <c r="F66" s="1570">
        <v>50</v>
      </c>
    </row>
    <row r="67" spans="1:6" s="1566" customFormat="1" ht="36">
      <c r="A67" s="1570">
        <v>7</v>
      </c>
      <c r="B67" s="3740"/>
      <c r="C67" s="1496" t="s">
        <v>1640</v>
      </c>
      <c r="D67" s="1496" t="s">
        <v>1641</v>
      </c>
      <c r="E67" s="1583">
        <v>0.2</v>
      </c>
      <c r="F67" s="1570">
        <v>30</v>
      </c>
    </row>
    <row r="68" spans="1:6" s="1566" customFormat="1" ht="36">
      <c r="A68" s="1570">
        <v>8</v>
      </c>
      <c r="B68" s="3740"/>
      <c r="C68" s="1496" t="s">
        <v>1642</v>
      </c>
      <c r="D68" s="1496" t="s">
        <v>1643</v>
      </c>
      <c r="E68" s="1583">
        <v>0.2</v>
      </c>
      <c r="F68" s="1570">
        <v>30</v>
      </c>
    </row>
    <row r="69" spans="1:6" s="1566" customFormat="1" ht="36">
      <c r="A69" s="1570">
        <v>9</v>
      </c>
      <c r="B69" s="3740"/>
      <c r="C69" s="1496" t="s">
        <v>1644</v>
      </c>
      <c r="D69" s="1496" t="s">
        <v>1645</v>
      </c>
      <c r="E69" s="1583">
        <v>0.2</v>
      </c>
      <c r="F69" s="1570">
        <v>30</v>
      </c>
    </row>
    <row r="70" spans="1:6" s="1566" customFormat="1" ht="48">
      <c r="A70" s="1570">
        <v>10</v>
      </c>
      <c r="B70" s="3740"/>
      <c r="C70" s="1496" t="s">
        <v>1646</v>
      </c>
      <c r="D70" s="1496" t="s">
        <v>1647</v>
      </c>
      <c r="E70" s="1583">
        <v>0.2</v>
      </c>
      <c r="F70" s="1570">
        <v>30</v>
      </c>
    </row>
    <row r="71" spans="1:6" s="1566" customFormat="1" ht="48">
      <c r="A71" s="1570">
        <v>11</v>
      </c>
      <c r="B71" s="3740"/>
      <c r="C71" s="1496" t="s">
        <v>1648</v>
      </c>
      <c r="D71" s="1496" t="s">
        <v>1649</v>
      </c>
      <c r="E71" s="1583">
        <v>0.2</v>
      </c>
      <c r="F71" s="1570">
        <v>30</v>
      </c>
    </row>
    <row r="72" spans="1:6" s="1566" customFormat="1" ht="36">
      <c r="A72" s="1570">
        <v>12</v>
      </c>
      <c r="B72" s="3740"/>
      <c r="C72" s="1496" t="s">
        <v>1650</v>
      </c>
      <c r="D72" s="1496" t="s">
        <v>1651</v>
      </c>
      <c r="E72" s="1583">
        <v>0.5</v>
      </c>
      <c r="F72" s="1570">
        <v>80</v>
      </c>
    </row>
    <row r="73" spans="1:6" s="1566" customFormat="1" ht="24">
      <c r="A73" s="1570">
        <v>13</v>
      </c>
      <c r="B73" s="3740"/>
      <c r="C73" s="1496" t="s">
        <v>1652</v>
      </c>
      <c r="D73" s="1496" t="s">
        <v>1653</v>
      </c>
      <c r="E73" s="1583">
        <v>0.4</v>
      </c>
      <c r="F73" s="1570">
        <v>60</v>
      </c>
    </row>
    <row r="74" spans="1:6" s="1566" customFormat="1" ht="24">
      <c r="A74" s="1570">
        <v>14</v>
      </c>
      <c r="B74" s="3740"/>
      <c r="C74" s="1496" t="s">
        <v>1654</v>
      </c>
      <c r="D74" s="1496" t="s">
        <v>1655</v>
      </c>
      <c r="E74" s="1583">
        <v>0.2</v>
      </c>
      <c r="F74" s="1570">
        <v>30</v>
      </c>
    </row>
    <row r="75" spans="1:6" s="1566" customFormat="1" ht="24">
      <c r="A75" s="1570">
        <v>15</v>
      </c>
      <c r="B75" s="3740"/>
      <c r="C75" s="1496" t="s">
        <v>1656</v>
      </c>
      <c r="D75" s="1496" t="s">
        <v>1657</v>
      </c>
      <c r="E75" s="1583">
        <v>0.2</v>
      </c>
      <c r="F75" s="1570">
        <v>30</v>
      </c>
    </row>
    <row r="76" spans="1:6" s="1566" customFormat="1" ht="24">
      <c r="A76" s="1570">
        <v>16</v>
      </c>
      <c r="B76" s="3740" t="s">
        <v>1658</v>
      </c>
      <c r="C76" s="1496" t="s">
        <v>1659</v>
      </c>
      <c r="D76" s="1496" t="s">
        <v>1660</v>
      </c>
      <c r="E76" s="1583">
        <v>0.5</v>
      </c>
      <c r="F76" s="1570">
        <v>80</v>
      </c>
    </row>
    <row r="77" spans="1:6" s="1566" customFormat="1" ht="24">
      <c r="A77" s="1570">
        <v>17</v>
      </c>
      <c r="B77" s="3740"/>
      <c r="C77" s="1496" t="s">
        <v>1661</v>
      </c>
      <c r="D77" s="1496" t="s">
        <v>1662</v>
      </c>
      <c r="E77" s="1583">
        <v>0.5</v>
      </c>
      <c r="F77" s="1570">
        <v>80</v>
      </c>
    </row>
    <row r="78" spans="1:6" s="1566" customFormat="1" ht="24">
      <c r="A78" s="1570">
        <v>18</v>
      </c>
      <c r="B78" s="3740"/>
      <c r="C78" s="1496" t="s">
        <v>1663</v>
      </c>
      <c r="D78" s="1496" t="s">
        <v>1664</v>
      </c>
      <c r="E78" s="1583">
        <v>0.2</v>
      </c>
      <c r="F78" s="1570">
        <v>30</v>
      </c>
    </row>
    <row r="79" spans="1:6" s="1566" customFormat="1" ht="24">
      <c r="A79" s="1570">
        <v>19</v>
      </c>
      <c r="B79" s="3740"/>
      <c r="C79" s="1496" t="s">
        <v>1665</v>
      </c>
      <c r="D79" s="1496" t="s">
        <v>1666</v>
      </c>
      <c r="E79" s="1583">
        <v>0.5</v>
      </c>
      <c r="F79" s="1570">
        <v>80</v>
      </c>
    </row>
    <row r="80" spans="1:6" s="1566" customFormat="1" ht="36">
      <c r="A80" s="1570">
        <v>20</v>
      </c>
      <c r="B80" s="3740"/>
      <c r="C80" s="1496" t="s">
        <v>1667</v>
      </c>
      <c r="D80" s="1496" t="s">
        <v>1668</v>
      </c>
      <c r="E80" s="1583">
        <v>0.2</v>
      </c>
      <c r="F80" s="1570">
        <v>30</v>
      </c>
    </row>
    <row r="81" spans="1:6" s="1566" customFormat="1" ht="36">
      <c r="A81" s="1570">
        <v>21</v>
      </c>
      <c r="B81" s="3740"/>
      <c r="C81" s="1496" t="s">
        <v>1669</v>
      </c>
      <c r="D81" s="1496" t="s">
        <v>1670</v>
      </c>
      <c r="E81" s="1583">
        <v>0.2</v>
      </c>
      <c r="F81" s="1570">
        <v>30</v>
      </c>
    </row>
    <row r="82" spans="1:6" s="1566" customFormat="1" ht="48">
      <c r="A82" s="1570">
        <v>22</v>
      </c>
      <c r="B82" s="3740"/>
      <c r="C82" s="1496" t="s">
        <v>1671</v>
      </c>
      <c r="D82" s="1496" t="s">
        <v>1672</v>
      </c>
      <c r="E82" s="1583">
        <v>0.2</v>
      </c>
      <c r="F82" s="1570">
        <v>30</v>
      </c>
    </row>
    <row r="83" spans="1:6" s="1566" customFormat="1" ht="48">
      <c r="A83" s="1570">
        <v>23</v>
      </c>
      <c r="B83" s="3740"/>
      <c r="C83" s="1496" t="s">
        <v>1673</v>
      </c>
      <c r="D83" s="1496" t="s">
        <v>1674</v>
      </c>
      <c r="E83" s="1583">
        <v>0.2</v>
      </c>
      <c r="F83" s="1570">
        <v>30</v>
      </c>
    </row>
    <row r="84" spans="1:6" s="1566" customFormat="1" ht="36">
      <c r="A84" s="1570">
        <v>24</v>
      </c>
      <c r="B84" s="3740"/>
      <c r="C84" s="1496" t="s">
        <v>1675</v>
      </c>
      <c r="D84" s="1496" t="s">
        <v>1676</v>
      </c>
      <c r="E84" s="1583">
        <v>0.2</v>
      </c>
      <c r="F84" s="1570">
        <v>30</v>
      </c>
    </row>
    <row r="85" spans="1:6" s="1566" customFormat="1" ht="36">
      <c r="A85" s="1570">
        <v>25</v>
      </c>
      <c r="B85" s="3740"/>
      <c r="C85" s="1496" t="s">
        <v>1677</v>
      </c>
      <c r="D85" s="1496" t="s">
        <v>1678</v>
      </c>
      <c r="E85" s="1583">
        <v>0.5</v>
      </c>
      <c r="F85" s="1570">
        <v>80</v>
      </c>
    </row>
    <row r="86" spans="1:6" s="1566" customFormat="1" ht="36">
      <c r="A86" s="1570">
        <v>26</v>
      </c>
      <c r="B86" s="3740"/>
      <c r="C86" s="1496" t="s">
        <v>1679</v>
      </c>
      <c r="D86" s="1496" t="s">
        <v>1680</v>
      </c>
      <c r="E86" s="1583">
        <v>0.2</v>
      </c>
      <c r="F86" s="1570">
        <v>30</v>
      </c>
    </row>
    <row r="87" spans="1:6" s="1566" customFormat="1" ht="36">
      <c r="A87" s="1570">
        <v>27</v>
      </c>
      <c r="B87" s="3740"/>
      <c r="C87" s="1496" t="s">
        <v>1681</v>
      </c>
      <c r="D87" s="1496" t="s">
        <v>1682</v>
      </c>
      <c r="E87" s="1583">
        <v>0.2</v>
      </c>
      <c r="F87" s="1570">
        <v>30</v>
      </c>
    </row>
    <row r="88" spans="1:6" s="1566" customFormat="1" ht="36">
      <c r="A88" s="1570">
        <v>28</v>
      </c>
      <c r="B88" s="3740"/>
      <c r="C88" s="1496" t="s">
        <v>1683</v>
      </c>
      <c r="D88" s="1496" t="s">
        <v>1684</v>
      </c>
      <c r="E88" s="1583">
        <v>0.2</v>
      </c>
      <c r="F88" s="1570">
        <v>30</v>
      </c>
    </row>
    <row r="89" spans="1:6" s="1566" customFormat="1" ht="24">
      <c r="A89" s="1570">
        <v>29</v>
      </c>
      <c r="B89" s="3740"/>
      <c r="C89" s="1496" t="s">
        <v>1685</v>
      </c>
      <c r="D89" s="1496" t="s">
        <v>1686</v>
      </c>
      <c r="E89" s="1583">
        <v>0.2</v>
      </c>
      <c r="F89" s="1570">
        <v>30</v>
      </c>
    </row>
    <row r="90" spans="1:6" s="1566" customFormat="1" ht="24">
      <c r="A90" s="1570">
        <v>30</v>
      </c>
      <c r="B90" s="3740"/>
      <c r="C90" s="1496" t="s">
        <v>1687</v>
      </c>
      <c r="D90" s="1496" t="s">
        <v>1688</v>
      </c>
      <c r="E90" s="1583">
        <v>0.2</v>
      </c>
      <c r="F90" s="1570">
        <v>30</v>
      </c>
    </row>
    <row r="91" spans="1:6" s="1566" customFormat="1" ht="36">
      <c r="A91" s="1570">
        <v>31</v>
      </c>
      <c r="B91" s="3740"/>
      <c r="C91" s="1496" t="s">
        <v>1689</v>
      </c>
      <c r="D91" s="1496" t="s">
        <v>1690</v>
      </c>
      <c r="E91" s="1583">
        <v>0.2</v>
      </c>
      <c r="F91" s="1570">
        <v>30</v>
      </c>
    </row>
    <row r="92" spans="1:6" s="1566" customFormat="1" ht="24">
      <c r="A92" s="1570">
        <v>32</v>
      </c>
      <c r="B92" s="3740" t="s">
        <v>1691</v>
      </c>
      <c r="C92" s="1570" t="s">
        <v>1692</v>
      </c>
      <c r="D92" s="1496" t="s">
        <v>1693</v>
      </c>
      <c r="E92" s="1583">
        <v>0.2</v>
      </c>
      <c r="F92" s="1570">
        <v>30</v>
      </c>
    </row>
    <row r="93" spans="1:6" s="1566" customFormat="1" ht="36">
      <c r="A93" s="1570">
        <v>33</v>
      </c>
      <c r="B93" s="3740"/>
      <c r="C93" s="1570" t="s">
        <v>1694</v>
      </c>
      <c r="D93" s="1496" t="s">
        <v>1695</v>
      </c>
      <c r="E93" s="1583">
        <v>0.2</v>
      </c>
      <c r="F93" s="1570">
        <v>30</v>
      </c>
    </row>
    <row r="94" spans="1:6" s="1566" customFormat="1" ht="48">
      <c r="A94" s="1570">
        <v>34</v>
      </c>
      <c r="B94" s="3740"/>
      <c r="C94" s="1570" t="s">
        <v>1696</v>
      </c>
      <c r="D94" s="1496" t="s">
        <v>1697</v>
      </c>
      <c r="E94" s="1583">
        <v>0.2</v>
      </c>
      <c r="F94" s="1570">
        <v>30</v>
      </c>
    </row>
    <row r="95" spans="1:6" s="1566" customFormat="1" ht="36">
      <c r="A95" s="1570">
        <v>35</v>
      </c>
      <c r="B95" s="3740"/>
      <c r="C95" s="1570" t="s">
        <v>1698</v>
      </c>
      <c r="D95" s="1496" t="s">
        <v>1699</v>
      </c>
      <c r="E95" s="1583">
        <v>0.2</v>
      </c>
      <c r="F95" s="1570">
        <v>30</v>
      </c>
    </row>
    <row r="96" spans="1:6" s="1566" customFormat="1" ht="48">
      <c r="A96" s="1570">
        <v>36</v>
      </c>
      <c r="B96" s="3740"/>
      <c r="C96" s="1496" t="s">
        <v>1700</v>
      </c>
      <c r="D96" s="1496" t="s">
        <v>1701</v>
      </c>
      <c r="E96" s="1583">
        <v>0.2</v>
      </c>
      <c r="F96" s="1570">
        <v>30</v>
      </c>
    </row>
    <row r="97" spans="1:6" s="1566" customFormat="1" ht="36">
      <c r="A97" s="1570">
        <v>37</v>
      </c>
      <c r="B97" s="3740"/>
      <c r="C97" s="1570" t="s">
        <v>1702</v>
      </c>
      <c r="D97" s="1496" t="s">
        <v>1703</v>
      </c>
      <c r="E97" s="1583">
        <v>0.2</v>
      </c>
      <c r="F97" s="1570">
        <v>30</v>
      </c>
    </row>
    <row r="98" spans="1:6" s="1566" customFormat="1" ht="36">
      <c r="A98" s="1570">
        <v>38</v>
      </c>
      <c r="B98" s="3740"/>
      <c r="C98" s="1570" t="s">
        <v>1704</v>
      </c>
      <c r="D98" s="1496" t="s">
        <v>1705</v>
      </c>
      <c r="E98" s="1583">
        <v>0.2</v>
      </c>
      <c r="F98" s="1570">
        <v>30</v>
      </c>
    </row>
    <row r="99" spans="1:6" s="1566" customFormat="1" ht="36">
      <c r="A99" s="1570">
        <v>39</v>
      </c>
      <c r="B99" s="3740" t="s">
        <v>1706</v>
      </c>
      <c r="C99" s="1570" t="s">
        <v>1707</v>
      </c>
      <c r="D99" s="1496" t="s">
        <v>1708</v>
      </c>
      <c r="E99" s="1583">
        <v>0.3</v>
      </c>
      <c r="F99" s="1570">
        <v>50</v>
      </c>
    </row>
    <row r="100" spans="1:6" s="1566" customFormat="1" ht="24">
      <c r="A100" s="1570">
        <v>40</v>
      </c>
      <c r="B100" s="3740"/>
      <c r="C100" s="1570" t="s">
        <v>1709</v>
      </c>
      <c r="D100" s="1496" t="s">
        <v>1710</v>
      </c>
      <c r="E100" s="1583">
        <v>0.2</v>
      </c>
      <c r="F100" s="1570">
        <v>30</v>
      </c>
    </row>
    <row r="101" spans="1:6" s="1566" customFormat="1" ht="36">
      <c r="A101" s="1570">
        <v>41</v>
      </c>
      <c r="B101" s="3740"/>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40" t="s">
        <v>1721</v>
      </c>
      <c r="C105" s="1570" t="s">
        <v>1722</v>
      </c>
      <c r="D105" s="1496" t="s">
        <v>1723</v>
      </c>
      <c r="E105" s="1583">
        <v>0.2</v>
      </c>
      <c r="F105" s="1570">
        <v>30</v>
      </c>
    </row>
    <row r="106" spans="1:6" s="1566" customFormat="1" ht="36">
      <c r="A106" s="1570">
        <v>46</v>
      </c>
      <c r="B106" s="3740"/>
      <c r="C106" s="1570" t="s">
        <v>1724</v>
      </c>
      <c r="D106" s="1496" t="s">
        <v>1725</v>
      </c>
      <c r="E106" s="1583">
        <v>0.2</v>
      </c>
      <c r="F106" s="1570">
        <v>30</v>
      </c>
    </row>
    <row r="107" spans="1:6" s="1566" customFormat="1" ht="36">
      <c r="A107" s="1570">
        <v>47</v>
      </c>
      <c r="B107" s="3740" t="s">
        <v>1726</v>
      </c>
      <c r="C107" s="1570" t="s">
        <v>1727</v>
      </c>
      <c r="D107" s="1496" t="s">
        <v>1728</v>
      </c>
      <c r="E107" s="1583">
        <v>0.3</v>
      </c>
      <c r="F107" s="1570">
        <v>50</v>
      </c>
    </row>
    <row r="108" spans="1:6" s="1566" customFormat="1" ht="36">
      <c r="A108" s="1570">
        <v>48</v>
      </c>
      <c r="B108" s="3740"/>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40" t="s">
        <v>1737</v>
      </c>
      <c r="C111" s="1570" t="s">
        <v>1738</v>
      </c>
      <c r="D111" s="1496" t="s">
        <v>1739</v>
      </c>
      <c r="E111" s="1583">
        <v>0.2</v>
      </c>
      <c r="F111" s="1570">
        <v>30</v>
      </c>
    </row>
    <row r="112" spans="1:6" s="1566" customFormat="1" ht="24">
      <c r="A112" s="1570">
        <v>52</v>
      </c>
      <c r="B112" s="3740"/>
      <c r="C112" s="1570" t="s">
        <v>1740</v>
      </c>
      <c r="D112" s="1496" t="s">
        <v>1741</v>
      </c>
      <c r="E112" s="1583">
        <v>0.2</v>
      </c>
      <c r="F112" s="1570">
        <v>30</v>
      </c>
    </row>
    <row r="113" spans="1:6" s="1566" customFormat="1" ht="24">
      <c r="A113" s="1570">
        <v>53</v>
      </c>
      <c r="B113" s="3740"/>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40" t="s">
        <v>1750</v>
      </c>
      <c r="C116" s="1570" t="s">
        <v>1751</v>
      </c>
      <c r="D116" s="1496" t="s">
        <v>1752</v>
      </c>
      <c r="E116" s="1583">
        <v>0.2</v>
      </c>
      <c r="F116" s="1570">
        <v>30</v>
      </c>
    </row>
    <row r="117" spans="1:6" ht="36">
      <c r="A117" s="1570">
        <v>57</v>
      </c>
      <c r="B117" s="3740"/>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39" t="s">
        <v>208</v>
      </c>
      <c r="B2" s="3336">
        <f ca="1">SUMIF(B6:B13,"&lt;&gt;#ref!",B6:B13)</f>
        <v>16630</v>
      </c>
      <c r="C2" s="3339" t="s">
        <v>2664</v>
      </c>
      <c r="D2" s="3339" t="s">
        <v>3043</v>
      </c>
      <c r="E2" s="3336" t="e">
        <f ca="1">SUM(E6:E13)</f>
        <v>#REF!</v>
      </c>
    </row>
    <row r="3" spans="1:5" ht="14.25">
      <c r="A3" s="3339" t="s">
        <v>8</v>
      </c>
      <c r="B3" s="3336" t="e">
        <f ca="1">ROUND(B2*10000/E2,0)</f>
        <v>#REF!</v>
      </c>
      <c r="C3" s="3339" t="s">
        <v>2665</v>
      </c>
      <c r="D3" s="3337"/>
      <c r="E3" s="3337"/>
    </row>
    <row r="4" spans="1:5" ht="14.25">
      <c r="A4" s="3340"/>
      <c r="B4" s="3337"/>
      <c r="C4" s="3337"/>
      <c r="D4" s="3337"/>
      <c r="E4" s="3337"/>
    </row>
    <row r="5" spans="1:5" ht="28.5">
      <c r="A5" s="3341" t="s">
        <v>3046</v>
      </c>
      <c r="B5" s="3339" t="s">
        <v>3044</v>
      </c>
      <c r="C5" s="3336"/>
      <c r="D5" s="3337"/>
      <c r="E5" s="3339" t="s">
        <v>3045</v>
      </c>
    </row>
    <row r="6" spans="1:5" ht="14.25">
      <c r="A6" s="3342" t="s">
        <v>3047</v>
      </c>
      <c r="B6" s="3338">
        <f ca="1">SUMIF(INDIRECT("'"&amp;A6&amp;"'"&amp;"!A:A"),"总价",INDIRECT("'"&amp;A6&amp;"'"&amp;"!B:B"))</f>
        <v>16630</v>
      </c>
      <c r="C6" s="3339" t="s">
        <v>2664</v>
      </c>
      <c r="D6" s="3337"/>
      <c r="E6" s="2787">
        <f ca="1">SUMIF(INDIRECT("'"&amp;A6&amp;"'"&amp;"!C:C"),"建筑面积",INDIRECT("'"&amp;A6&amp;"'"&amp;"!D:D"))</f>
        <v>151095.50000000003</v>
      </c>
    </row>
    <row r="7" spans="1:5" ht="14.25">
      <c r="A7" s="3342"/>
      <c r="B7" s="3338" t="e">
        <f ca="1">SUMIF(INDIRECT("'"&amp;A7&amp;"'"&amp;"!A:A"),"总价",INDIRECT("'"&amp;A7&amp;"'"&amp;"!B:B"))</f>
        <v>#REF!</v>
      </c>
      <c r="C7" s="3339" t="s">
        <v>2664</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2664</v>
      </c>
      <c r="D8" s="3337"/>
      <c r="E8" s="2787" t="e">
        <f t="shared" ca="1" si="0"/>
        <v>#REF!</v>
      </c>
    </row>
    <row r="9" spans="1:5" ht="14.25">
      <c r="A9" s="3342"/>
      <c r="B9" s="3338" t="e">
        <f t="shared" ca="1" si="1"/>
        <v>#REF!</v>
      </c>
      <c r="C9" s="3339" t="s">
        <v>2664</v>
      </c>
      <c r="D9" s="3337"/>
      <c r="E9" s="2787" t="e">
        <f t="shared" ca="1" si="0"/>
        <v>#REF!</v>
      </c>
    </row>
    <row r="10" spans="1:5" ht="14.25">
      <c r="A10" s="3342"/>
      <c r="B10" s="3338" t="e">
        <f t="shared" ca="1" si="1"/>
        <v>#REF!</v>
      </c>
      <c r="C10" s="3339" t="s">
        <v>2664</v>
      </c>
      <c r="D10" s="3337"/>
      <c r="E10" s="2787" t="e">
        <f t="shared" ca="1" si="0"/>
        <v>#REF!</v>
      </c>
    </row>
    <row r="11" spans="1:5" ht="14.25">
      <c r="A11" s="3342"/>
      <c r="B11" s="3338" t="e">
        <f t="shared" ca="1" si="1"/>
        <v>#REF!</v>
      </c>
      <c r="C11" s="3339" t="s">
        <v>2664</v>
      </c>
      <c r="D11" s="3337"/>
      <c r="E11" s="2787" t="e">
        <f t="shared" ca="1" si="0"/>
        <v>#REF!</v>
      </c>
    </row>
    <row r="12" spans="1:5" ht="14.25">
      <c r="A12" s="3342"/>
      <c r="B12" s="3338" t="e">
        <f t="shared" ca="1" si="1"/>
        <v>#REF!</v>
      </c>
      <c r="C12" s="3339" t="s">
        <v>2664</v>
      </c>
      <c r="D12" s="3337"/>
      <c r="E12" s="2787" t="e">
        <f t="shared" ca="1" si="0"/>
        <v>#REF!</v>
      </c>
    </row>
    <row r="13" spans="1:5" ht="14.25">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4" t="s">
        <v>2705</v>
      </c>
      <c r="C1" s="3754"/>
      <c r="D1" s="3754"/>
      <c r="E1" s="3754"/>
      <c r="F1" s="3754"/>
      <c r="G1" s="3753" t="s">
        <v>2706</v>
      </c>
      <c r="H1" s="3753"/>
      <c r="I1" s="3753"/>
      <c r="J1" s="3753"/>
      <c r="K1" s="3753"/>
      <c r="L1" s="3753"/>
      <c r="N1" s="3753" t="s">
        <v>2707</v>
      </c>
      <c r="O1" s="3753"/>
      <c r="P1" s="3753"/>
      <c r="Q1" s="3753"/>
      <c r="R1" s="2898"/>
      <c r="S1" s="3753" t="s">
        <v>2708</v>
      </c>
      <c r="T1" s="3753"/>
      <c r="U1" s="3753"/>
      <c r="V1" s="3753"/>
      <c r="X1" s="3752" t="s">
        <v>2709</v>
      </c>
      <c r="Y1" s="3753"/>
      <c r="Z1" s="3753"/>
      <c r="AA1" s="3753"/>
      <c r="AB1" s="3753"/>
      <c r="AD1" s="3752" t="s">
        <v>2710</v>
      </c>
      <c r="AE1" s="3753"/>
      <c r="AF1" s="3753"/>
      <c r="AG1" s="3753"/>
      <c r="AH1" s="3753"/>
    </row>
    <row r="2" spans="1:34" s="2899" customFormat="1" ht="14.2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5">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0"/>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0"/>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2718</v>
      </c>
      <c r="B7" s="2933">
        <f>B8*(1+N7)</f>
        <v>405.524</v>
      </c>
      <c r="C7" s="2933">
        <f>C8*(1+O7)</f>
        <v>307.79840000000002</v>
      </c>
      <c r="D7" s="2933">
        <f>C7</f>
        <v>307.79840000000002</v>
      </c>
      <c r="E7" s="2933">
        <f>E8*(1+P7)</f>
        <v>574.67759999999998</v>
      </c>
      <c r="F7" s="2933">
        <f>F8*(1+Q7)</f>
        <v>270.20280000000002</v>
      </c>
      <c r="G7" s="3751"/>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5">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0"/>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0"/>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1"/>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49">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0"/>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0"/>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1"/>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49">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0"/>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0"/>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1"/>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2721</v>
      </c>
      <c r="B20" s="2925">
        <v>299</v>
      </c>
      <c r="C20" s="2925">
        <v>252</v>
      </c>
      <c r="D20" s="2925">
        <f t="shared" si="16"/>
        <v>252</v>
      </c>
      <c r="E20" s="2925">
        <v>409</v>
      </c>
      <c r="F20" s="2926">
        <v>227</v>
      </c>
      <c r="G20" s="3756">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7"/>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7"/>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58"/>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2725</v>
      </c>
      <c r="B24" s="2967">
        <v>278</v>
      </c>
      <c r="C24" s="2967">
        <v>234</v>
      </c>
      <c r="D24" s="2967">
        <f t="shared" si="16"/>
        <v>234</v>
      </c>
      <c r="E24" s="2967">
        <v>379</v>
      </c>
      <c r="F24" s="2968">
        <v>220</v>
      </c>
      <c r="G24" s="3749">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0"/>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0"/>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2728</v>
      </c>
      <c r="B27" s="2933">
        <f>B26/(1+N26)</f>
        <v>275.19025476197027</v>
      </c>
      <c r="C27" s="2969">
        <v>232</v>
      </c>
      <c r="D27" s="2969">
        <f t="shared" si="16"/>
        <v>232</v>
      </c>
      <c r="E27" s="2933">
        <f t="shared" si="27"/>
        <v>375.65990977608692</v>
      </c>
      <c r="F27" s="2933">
        <f t="shared" si="27"/>
        <v>214.12518283971252</v>
      </c>
      <c r="G27" s="3751"/>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2729</v>
      </c>
      <c r="B28" s="2925">
        <v>275</v>
      </c>
      <c r="C28" s="2925">
        <v>232</v>
      </c>
      <c r="D28" s="2925">
        <f t="shared" si="16"/>
        <v>232</v>
      </c>
      <c r="E28" s="2925">
        <v>376</v>
      </c>
      <c r="F28" s="2926">
        <v>213</v>
      </c>
      <c r="G28" s="3749">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0">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0">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1">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2733</v>
      </c>
      <c r="B32" s="2925">
        <v>269</v>
      </c>
      <c r="C32" s="2925">
        <v>221</v>
      </c>
      <c r="D32" s="2925">
        <f t="shared" si="16"/>
        <v>221</v>
      </c>
      <c r="E32" s="2925">
        <v>373</v>
      </c>
      <c r="F32" s="2926">
        <v>196</v>
      </c>
      <c r="G32" s="3749">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0">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0">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1">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2737</v>
      </c>
      <c r="B36" s="2925">
        <v>220</v>
      </c>
      <c r="C36" s="2925">
        <v>187</v>
      </c>
      <c r="D36" s="2925">
        <f t="shared" si="16"/>
        <v>187</v>
      </c>
      <c r="E36" s="2925">
        <v>301</v>
      </c>
      <c r="F36" s="2926">
        <v>168</v>
      </c>
      <c r="G36" s="3749">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0">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0">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1">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2741</v>
      </c>
      <c r="B40" s="2967">
        <v>214</v>
      </c>
      <c r="C40" s="2967">
        <v>188</v>
      </c>
      <c r="D40" s="2967">
        <f t="shared" si="16"/>
        <v>188</v>
      </c>
      <c r="E40" s="2967">
        <v>289</v>
      </c>
      <c r="F40" s="2968">
        <v>166</v>
      </c>
      <c r="G40" s="3749">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0">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0">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1">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2745</v>
      </c>
      <c r="B44" s="2925">
        <v>188</v>
      </c>
      <c r="C44" s="2925">
        <v>165</v>
      </c>
      <c r="D44" s="2925">
        <f t="shared" si="16"/>
        <v>165</v>
      </c>
      <c r="E44" s="2925">
        <v>254</v>
      </c>
      <c r="F44" s="2926">
        <v>148</v>
      </c>
      <c r="G44" s="3749">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0">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0">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1">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2749</v>
      </c>
      <c r="B48" s="2946">
        <v>159</v>
      </c>
      <c r="C48" s="2946">
        <v>141</v>
      </c>
      <c r="D48" s="2946">
        <f t="shared" si="16"/>
        <v>141</v>
      </c>
      <c r="E48" s="2946">
        <v>195</v>
      </c>
      <c r="F48" s="2947">
        <v>122</v>
      </c>
      <c r="G48" s="3749">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0">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0">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1">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2753</v>
      </c>
      <c r="B52" s="2946">
        <v>138</v>
      </c>
      <c r="C52" s="2946">
        <v>131</v>
      </c>
      <c r="D52" s="2946">
        <f t="shared" si="16"/>
        <v>131</v>
      </c>
      <c r="E52" s="2946">
        <v>155</v>
      </c>
      <c r="F52" s="2947">
        <v>114</v>
      </c>
      <c r="G52" s="3749">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0">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0">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1">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2757</v>
      </c>
      <c r="B56" s="2967">
        <v>121</v>
      </c>
      <c r="C56" s="2967">
        <v>122</v>
      </c>
      <c r="D56" s="2967">
        <f t="shared" si="16"/>
        <v>122</v>
      </c>
      <c r="E56" s="2967">
        <v>124</v>
      </c>
      <c r="F56" s="2968">
        <v>107</v>
      </c>
      <c r="G56" s="3749">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0">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0">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1">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2761</v>
      </c>
      <c r="B60" s="2988">
        <v>111</v>
      </c>
      <c r="C60" s="2988">
        <v>114</v>
      </c>
      <c r="D60" s="2988">
        <f t="shared" si="16"/>
        <v>114</v>
      </c>
      <c r="E60" s="2988">
        <v>108</v>
      </c>
      <c r="F60" s="2989">
        <v>104</v>
      </c>
      <c r="G60" s="3749">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0">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0">
        <v>2003</v>
      </c>
      <c r="H62" s="2919">
        <v>2</v>
      </c>
      <c r="I62" s="2990"/>
      <c r="J62" s="2990"/>
      <c r="K62" s="2990"/>
      <c r="L62" s="2990"/>
      <c r="X62" s="2982"/>
      <c r="Y62" s="2982"/>
      <c r="Z62" s="2982"/>
    </row>
    <row r="63" spans="1:26" ht="13.5" thickBot="1">
      <c r="A63" s="2913" t="s">
        <v>2764</v>
      </c>
      <c r="B63" s="2992">
        <f t="shared" si="52"/>
        <v>107.25</v>
      </c>
      <c r="C63" s="2992">
        <f t="shared" si="52"/>
        <v>108.75</v>
      </c>
      <c r="D63" s="2992">
        <f t="shared" si="16"/>
        <v>108.75</v>
      </c>
      <c r="E63" s="2992">
        <f t="shared" si="53"/>
        <v>105.75</v>
      </c>
      <c r="F63" s="2992">
        <f t="shared" si="53"/>
        <v>102.5</v>
      </c>
      <c r="G63" s="3751">
        <v>2003</v>
      </c>
      <c r="H63" s="2993">
        <v>1</v>
      </c>
      <c r="I63" s="2990"/>
      <c r="J63" s="2990"/>
      <c r="K63" s="2990"/>
      <c r="L63" s="2990"/>
      <c r="S63" s="2928"/>
      <c r="T63" s="2929"/>
      <c r="U63" s="2929"/>
      <c r="X63" s="2982"/>
      <c r="Y63" s="2982"/>
      <c r="Z63" s="2982"/>
    </row>
    <row r="64" spans="1:26" ht="13.5" thickBot="1">
      <c r="A64" s="2913" t="s">
        <v>2765</v>
      </c>
      <c r="B64" s="2994">
        <v>106</v>
      </c>
      <c r="C64" s="2994">
        <v>107</v>
      </c>
      <c r="D64" s="2994">
        <f t="shared" si="16"/>
        <v>107</v>
      </c>
      <c r="E64" s="2994">
        <v>105</v>
      </c>
      <c r="F64" s="2995">
        <v>102</v>
      </c>
      <c r="G64" s="3749">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0">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0">
        <v>2002</v>
      </c>
      <c r="H66" s="2919">
        <v>2</v>
      </c>
      <c r="I66" s="2990"/>
      <c r="J66" s="2990"/>
      <c r="K66" s="2990"/>
      <c r="L66" s="2990"/>
      <c r="X66" s="2982"/>
      <c r="Y66" s="2982"/>
      <c r="Z66" s="2982"/>
    </row>
    <row r="67" spans="1:26" s="2954" customFormat="1" ht="13.5" thickBot="1">
      <c r="A67" s="2950" t="s">
        <v>2768</v>
      </c>
      <c r="B67" s="2996">
        <f t="shared" si="54"/>
        <v>103</v>
      </c>
      <c r="C67" s="2996">
        <f t="shared" si="54"/>
        <v>104</v>
      </c>
      <c r="D67" s="2996">
        <f t="shared" si="16"/>
        <v>104</v>
      </c>
      <c r="E67" s="2996">
        <f t="shared" si="55"/>
        <v>103.5</v>
      </c>
      <c r="F67" s="2996">
        <f t="shared" si="55"/>
        <v>100.5</v>
      </c>
      <c r="G67" s="3751">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5"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2" t="s">
        <v>2379</v>
      </c>
      <c r="D1" s="3763"/>
      <c r="E1" s="3763"/>
      <c r="F1" s="3763"/>
      <c r="G1" s="3763"/>
      <c r="H1" s="3763"/>
      <c r="I1" s="3763"/>
      <c r="J1" s="3763"/>
      <c r="K1" s="3763"/>
      <c r="L1" s="3763"/>
      <c r="M1" s="3763"/>
      <c r="N1" s="3763"/>
      <c r="O1" s="3763"/>
      <c r="P1" s="3763"/>
      <c r="Q1" s="3763"/>
      <c r="R1" s="3763"/>
      <c r="S1" s="3764"/>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59" t="s">
        <v>169</v>
      </c>
      <c r="D22" s="3760"/>
      <c r="E22" s="3760"/>
      <c r="F22" s="3760"/>
      <c r="G22" s="3760"/>
      <c r="H22" s="3760"/>
      <c r="I22" s="3760"/>
      <c r="J22" s="3760"/>
      <c r="K22" s="3760"/>
      <c r="L22" s="3760"/>
      <c r="M22" s="3760"/>
      <c r="N22" s="3760"/>
      <c r="O22" s="3760"/>
      <c r="P22" s="3760"/>
      <c r="Q22" s="3761"/>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5"/>
      <c r="C2" s="3395"/>
      <c r="D2" s="3395"/>
      <c r="E2" s="3395"/>
    </row>
    <row r="3" spans="1:5" ht="18.75">
      <c r="A3" s="3396" t="str">
        <f>IF(项目基本情况!B9="房地产市场价值","估价结果一览表（市场价值不需“结果表-1”）","估价结果一览表")</f>
        <v>估价结果一览表</v>
      </c>
      <c r="B3" s="3396"/>
      <c r="C3" s="3396"/>
      <c r="D3" s="3396"/>
      <c r="E3" s="3396"/>
    </row>
    <row r="4" spans="1:5" ht="19.5" thickBot="1">
      <c r="A4" s="1973"/>
      <c r="B4" s="3394" t="s">
        <v>2031</v>
      </c>
      <c r="C4" s="3394"/>
      <c r="D4" s="3394"/>
      <c r="E4" s="1973"/>
    </row>
    <row r="5" spans="1:5" ht="16.5" thickTop="1">
      <c r="A5" s="1961"/>
      <c r="B5" s="3392" t="s">
        <v>2027</v>
      </c>
      <c r="C5" s="1963" t="s">
        <v>2032</v>
      </c>
      <c r="D5" s="1964">
        <f ca="1">结果表!H101</f>
        <v>50349</v>
      </c>
      <c r="E5" s="1961"/>
    </row>
    <row r="6" spans="1:5" ht="15.75">
      <c r="A6" s="1961"/>
      <c r="B6" s="3392"/>
      <c r="C6" s="1963" t="s">
        <v>2866</v>
      </c>
      <c r="D6" s="1964" t="str">
        <f ca="1">NUMBERSTRING(INT(D5*10000),2)&amp;"元整"</f>
        <v>伍亿零叁佰肆拾玖万元整</v>
      </c>
      <c r="E6" s="1961"/>
    </row>
    <row r="7" spans="1:5" ht="15.75">
      <c r="A7" s="1961"/>
      <c r="B7" s="3397"/>
      <c r="C7" s="1965" t="s">
        <v>2033</v>
      </c>
      <c r="D7" s="1966">
        <f ca="1">结果表!H102</f>
        <v>2843</v>
      </c>
      <c r="E7" s="1961"/>
    </row>
    <row r="8" spans="1:5" ht="15.75">
      <c r="A8" s="1961"/>
      <c r="B8" s="3398" t="str">
        <f>结果表!E103</f>
        <v>2.估价师知悉的法定优先受偿款</v>
      </c>
      <c r="C8" s="1967" t="s">
        <v>2034</v>
      </c>
      <c r="D8" s="1966">
        <f>结果表!H103</f>
        <v>0</v>
      </c>
      <c r="E8" s="1961"/>
    </row>
    <row r="9" spans="1:5" ht="15.75">
      <c r="A9" s="1961"/>
      <c r="B9" s="3400"/>
      <c r="C9" s="1963" t="s">
        <v>2866</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1" t="str">
        <f>结果表!E107</f>
        <v>3.房地产抵押价值</v>
      </c>
      <c r="C13" s="1971" t="s">
        <v>2032</v>
      </c>
      <c r="D13" s="1974">
        <f ca="1">结果表!H107</f>
        <v>50349</v>
      </c>
      <c r="E13" s="1961"/>
    </row>
    <row r="14" spans="1:5" ht="15.75">
      <c r="A14" s="1961"/>
      <c r="B14" s="3392"/>
      <c r="C14" s="1963" t="s">
        <v>2866</v>
      </c>
      <c r="D14" s="1964" t="str">
        <f ca="1">NUMBERSTRING(INT(D13*10000),2)&amp;"元整"</f>
        <v>伍亿零叁佰肆拾玖万元整</v>
      </c>
      <c r="E14" s="1961"/>
    </row>
    <row r="15" spans="1:5" ht="15">
      <c r="A15" s="1961"/>
      <c r="B15" s="3397"/>
      <c r="C15" s="1965" t="s">
        <v>2033</v>
      </c>
      <c r="D15" s="2076">
        <f ca="1">结果表!H108</f>
        <v>2843</v>
      </c>
      <c r="E15" s="1961"/>
    </row>
    <row r="16" spans="1:5" ht="14.25">
      <c r="A16" s="1961"/>
      <c r="B16" s="3398" t="str">
        <f>结果表!E109</f>
        <v>——</v>
      </c>
      <c r="C16" s="1971" t="s">
        <v>2032</v>
      </c>
      <c r="D16" s="2077" t="str">
        <f>结果表!H109</f>
        <v>——</v>
      </c>
      <c r="E16" s="1961"/>
    </row>
    <row r="17" spans="1:5" ht="15.75">
      <c r="A17" s="1961"/>
      <c r="B17" s="3399"/>
      <c r="C17" s="1963" t="s">
        <v>2866</v>
      </c>
      <c r="D17" s="1964" t="e">
        <f>NUMBERSTRING(INT(D16*10000),2)&amp;"元整"</f>
        <v>#VALUE!</v>
      </c>
      <c r="E17" s="1961"/>
    </row>
    <row r="18" spans="1:5" ht="15">
      <c r="A18" s="1961"/>
      <c r="B18" s="3400"/>
      <c r="C18" s="1965" t="s">
        <v>2033</v>
      </c>
      <c r="D18" s="2076" t="str">
        <f>结果表!H110</f>
        <v>——</v>
      </c>
      <c r="E18" s="1961"/>
    </row>
    <row r="19" spans="1:5" ht="15.75">
      <c r="A19" s="1961"/>
      <c r="B19" s="3391" t="str">
        <f>结果表!E111</f>
        <v>——</v>
      </c>
      <c r="C19" s="1971" t="s">
        <v>2032</v>
      </c>
      <c r="D19" s="1966" t="str">
        <f>结果表!H111</f>
        <v>——</v>
      </c>
      <c r="E19" s="1961"/>
    </row>
    <row r="20" spans="1:5" ht="15.75">
      <c r="A20" s="1961"/>
      <c r="B20" s="3392"/>
      <c r="C20" s="1963" t="s">
        <v>2866</v>
      </c>
      <c r="D20" s="1964" t="e">
        <f>NUMBERSTRING(INT(D19*10000),2)&amp;"元整"</f>
        <v>#VALUE!</v>
      </c>
      <c r="E20" s="1961"/>
    </row>
    <row r="21" spans="1:5" ht="15.75" thickBot="1">
      <c r="A21" s="1961"/>
      <c r="B21" s="3393"/>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54306</v>
      </c>
      <c r="C2" s="85" t="s">
        <v>864</v>
      </c>
      <c r="D2" s="574"/>
      <c r="E2" s="574"/>
      <c r="F2" s="574"/>
      <c r="G2" s="574"/>
    </row>
    <row r="3" spans="1:7" s="575" customFormat="1" ht="18" customHeight="1" thickBot="1">
      <c r="A3" s="578" t="s">
        <v>816</v>
      </c>
      <c r="B3" s="579">
        <f ca="1">ROUND(B2*10000/'数据-汇总表'!E3,0)</f>
        <v>3066</v>
      </c>
      <c r="C3" s="85" t="s">
        <v>865</v>
      </c>
      <c r="D3" s="574"/>
      <c r="E3" s="574"/>
      <c r="F3" s="574"/>
      <c r="G3" s="574"/>
    </row>
    <row r="4" spans="1:7" s="583" customFormat="1" ht="15.75">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3365</v>
      </c>
      <c r="D10" s="1906">
        <f>'数据-汇总表'!E6</f>
        <v>177117.85000000003</v>
      </c>
      <c r="E10" s="600">
        <f>'数据-取费表'!B28</f>
        <v>190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923</v>
      </c>
      <c r="D22" s="610">
        <f ca="1">C26</f>
        <v>2.0000000000000001E-4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780</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134</v>
      </c>
      <c r="D24" s="613"/>
      <c r="E24" s="613"/>
      <c r="F24" s="614"/>
      <c r="G24" s="615" t="s">
        <v>840</v>
      </c>
    </row>
    <row r="25" spans="1:7" s="589" customFormat="1" ht="24">
      <c r="A25" s="1803" t="s">
        <v>1922</v>
      </c>
      <c r="B25" s="590" t="s">
        <v>2504</v>
      </c>
      <c r="C25" s="2698">
        <f ca="1">ROUND(IF('数据-取费表'!B22&lt;=1,C20*F22*'数据-取费表'!B23/2,C20*(POWER((1+F22),'数据-取费表'!B23/2)-1)),0)</f>
        <v>9</v>
      </c>
      <c r="D25" s="613"/>
      <c r="E25" s="616"/>
      <c r="F25" s="614"/>
      <c r="G25" s="617" t="s">
        <v>841</v>
      </c>
    </row>
    <row r="26" spans="1:7" s="589" customFormat="1">
      <c r="A26" s="1803" t="s">
        <v>1924</v>
      </c>
      <c r="B26" s="590" t="s">
        <v>2506</v>
      </c>
      <c r="C26" s="613">
        <f ca="1">ROUND(IF('数据-取费表'!B22&lt;=1,F21*F22*'数据-取费表'!B23/2,F21*(POWER((1+F22),'数据-取费表'!B23/2)-1)),4)</f>
        <v>2.0000000000000001E-4</v>
      </c>
      <c r="D26" s="613"/>
      <c r="E26" s="616"/>
      <c r="F26" s="614"/>
      <c r="G26" s="618"/>
    </row>
    <row r="27" spans="1:7" s="589" customFormat="1" ht="24.75">
      <c r="A27" s="1800" t="s">
        <v>1916</v>
      </c>
      <c r="B27" s="619" t="s">
        <v>843</v>
      </c>
      <c r="C27" s="620">
        <f>C28</f>
        <v>985</v>
      </c>
      <c r="D27" s="610">
        <f>C29</f>
        <v>4.0000000000000002E-4</v>
      </c>
      <c r="E27" s="611" t="s">
        <v>857</v>
      </c>
      <c r="F27" s="621">
        <f>'数据-取费表'!Q16</f>
        <v>0.1</v>
      </c>
      <c r="G27" s="622" t="s">
        <v>2515</v>
      </c>
    </row>
    <row r="28" spans="1:7" s="589" customFormat="1" ht="13.5" customHeight="1">
      <c r="A28" s="1803" t="s">
        <v>1923</v>
      </c>
      <c r="B28" s="623" t="s">
        <v>2508</v>
      </c>
      <c r="C28" s="624">
        <f>ROUND((C5+C19+C20)*F27*'数据-取费表'!B21/'数据-取费表'!B20,0)</f>
        <v>985</v>
      </c>
      <c r="D28" s="610"/>
      <c r="E28" s="611"/>
      <c r="F28" s="621"/>
      <c r="G28" s="622"/>
    </row>
    <row r="29" spans="1:7" s="589" customFormat="1" ht="13.5" customHeight="1">
      <c r="A29" s="1803" t="s">
        <v>1921</v>
      </c>
      <c r="B29" s="623" t="s">
        <v>2509</v>
      </c>
      <c r="C29" s="613">
        <f>ROUND(C21*F27*'数据-取费表'!B21/'数据-取费表'!B20,4)</f>
        <v>4.0000000000000002E-4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28327</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SUM(C34:C38)</f>
        <v>21319</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19051</v>
      </c>
      <c r="D34" s="592"/>
      <c r="E34" s="595"/>
      <c r="F34" s="632">
        <f>IF('数据-取费表'!B24=0,1,'数据-取费表'!N16)</f>
        <v>0.39800000000000002</v>
      </c>
      <c r="G34" s="594" t="s">
        <v>847</v>
      </c>
    </row>
    <row r="35" spans="1:7" ht="13.5" customHeight="1">
      <c r="A35" s="1803" t="s">
        <v>1925</v>
      </c>
      <c r="B35" s="590" t="s">
        <v>348</v>
      </c>
      <c r="C35" s="595">
        <f>ROUND(C34*F35,0)</f>
        <v>572</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1410</v>
      </c>
      <c r="D37" s="592">
        <f>'数据-汇总表'!E3</f>
        <v>177117.85000000003</v>
      </c>
      <c r="E37" s="624">
        <f>'数据-取费表'!B35</f>
        <v>200</v>
      </c>
      <c r="F37" s="634"/>
      <c r="G37" s="636" t="s">
        <v>850</v>
      </c>
    </row>
    <row r="38" spans="1:7" ht="13.5" customHeight="1">
      <c r="A38" s="1803" t="s">
        <v>1928</v>
      </c>
      <c r="B38" s="590" t="s">
        <v>351</v>
      </c>
      <c r="C38" s="595">
        <f>ROUND(C34*F38,0)</f>
        <v>286</v>
      </c>
      <c r="D38" s="595"/>
      <c r="E38" s="595"/>
      <c r="F38" s="634">
        <f>'数据-取费表'!B36</f>
        <v>1.4999999999999999E-2</v>
      </c>
      <c r="G38" s="594" t="s">
        <v>848</v>
      </c>
    </row>
    <row r="39" spans="1:7" s="589" customFormat="1" ht="13.5" customHeight="1">
      <c r="A39" s="1800" t="s">
        <v>1912</v>
      </c>
      <c r="B39" s="585" t="s">
        <v>835</v>
      </c>
      <c r="C39" s="607">
        <f>ROUND(C33*F20,0)</f>
        <v>426</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407</v>
      </c>
      <c r="D41" s="610">
        <f ca="1">C44</f>
        <v>2.0000000000000001E-4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399</v>
      </c>
      <c r="D42" s="613"/>
      <c r="E42" s="613"/>
      <c r="F42" s="614"/>
      <c r="G42" s="3583" t="s">
        <v>852</v>
      </c>
    </row>
    <row r="43" spans="1:7" ht="13.5" customHeight="1">
      <c r="A43" s="1803" t="s">
        <v>1921</v>
      </c>
      <c r="B43" s="590" t="s">
        <v>2510</v>
      </c>
      <c r="C43" s="613">
        <f ca="1">ROUND(IF('数据-取费表'!B22&lt;=1,C39*F22*'数据-取费表'!B21/2,C39*(POWER((1+F22),'数据-取费表'!B21/2)-1)),0)</f>
        <v>8</v>
      </c>
      <c r="D43" s="613"/>
      <c r="E43" s="613"/>
      <c r="F43" s="614"/>
      <c r="G43" s="3584"/>
    </row>
    <row r="44" spans="1:7" ht="13.5" customHeight="1">
      <c r="A44" s="1803" t="s">
        <v>1922</v>
      </c>
      <c r="B44" s="590" t="s">
        <v>2512</v>
      </c>
      <c r="C44" s="613">
        <f ca="1">ROUND(IF('数据-取费表'!B22&lt;=1,C40*F22*'数据-取费表'!B21/2,C40*(POWER((1+F22),'数据-取费表'!B21/2)-1)),4)</f>
        <v>2.0000000000000001E-4</v>
      </c>
      <c r="D44" s="613"/>
      <c r="E44" s="613"/>
      <c r="F44" s="614"/>
      <c r="G44" s="3585"/>
    </row>
    <row r="45" spans="1:7" s="589" customFormat="1" ht="13.5" customHeight="1">
      <c r="A45" s="1800" t="s">
        <v>1915</v>
      </c>
      <c r="B45" s="619" t="s">
        <v>843</v>
      </c>
      <c r="C45" s="620">
        <f>C46</f>
        <v>2175</v>
      </c>
      <c r="D45" s="610">
        <f>C47</f>
        <v>1E-3</v>
      </c>
      <c r="E45" s="611" t="s">
        <v>860</v>
      </c>
      <c r="F45" s="621"/>
      <c r="G45" s="622" t="s">
        <v>2518</v>
      </c>
    </row>
    <row r="46" spans="1:7" s="589" customFormat="1" ht="13.5" customHeight="1">
      <c r="A46" s="1803" t="s">
        <v>1923</v>
      </c>
      <c r="B46" s="623" t="s">
        <v>2511</v>
      </c>
      <c r="C46" s="624">
        <f>ROUND((C33+C39)*F27,0)</f>
        <v>2175</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25979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25979</v>
      </c>
      <c r="D51" s="607"/>
      <c r="E51" s="607"/>
      <c r="F51" s="639"/>
      <c r="G51" s="609" t="s">
        <v>352</v>
      </c>
    </row>
    <row r="52" spans="1:7" s="583" customFormat="1" ht="16.5" thickBot="1">
      <c r="A52" s="640" t="s">
        <v>353</v>
      </c>
      <c r="B52" s="641"/>
      <c r="C52" s="642">
        <f ca="1">C31+C51</f>
        <v>54306</v>
      </c>
      <c r="D52" s="641"/>
      <c r="E52" s="641"/>
      <c r="F52" s="641"/>
      <c r="G52" s="643"/>
    </row>
    <row r="55" spans="1:7" ht="15">
      <c r="B55" s="645" t="s">
        <v>354</v>
      </c>
      <c r="C55" s="646"/>
    </row>
    <row r="56" spans="1:7">
      <c r="B56" s="648" t="s">
        <v>355</v>
      </c>
      <c r="C56" s="649">
        <f ca="1">ROUND(C51/C52,3)</f>
        <v>0.47799999999999998</v>
      </c>
    </row>
    <row r="57" spans="1:7">
      <c r="B57" s="648" t="s">
        <v>356</v>
      </c>
      <c r="C57" s="650">
        <f ca="1">1-C56</f>
        <v>0.52200000000000002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5" t="s">
        <v>1169</v>
      </c>
      <c r="B1" s="3765"/>
      <c r="C1" s="3765"/>
      <c r="D1" s="3765"/>
      <c r="E1" s="3765"/>
      <c r="F1" s="3765"/>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6" t="s">
        <v>1182</v>
      </c>
      <c r="B2" s="3766"/>
      <c r="C2" s="3766"/>
      <c r="D2" s="3766"/>
      <c r="E2" s="3766"/>
      <c r="F2" s="3766"/>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7"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8"/>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5" t="s">
        <v>2129</v>
      </c>
      <c r="B1" s="3765"/>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42993</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3026</v>
      </c>
      <c r="E1" s="3322" t="s">
        <v>3030</v>
      </c>
      <c r="F1" s="3323" t="s">
        <v>3034</v>
      </c>
    </row>
    <row r="2" spans="1:13" ht="20.25">
      <c r="A2" s="3329" t="s">
        <v>3027</v>
      </c>
    </row>
    <row r="3" spans="1:13" ht="16.5">
      <c r="A3" s="3330" t="s">
        <v>3028</v>
      </c>
    </row>
    <row r="4" spans="1:13" ht="14.25">
      <c r="A4" s="3320" t="s">
        <v>3029</v>
      </c>
      <c r="B4" s="3325" t="s">
        <v>3031</v>
      </c>
      <c r="C4" s="3326"/>
      <c r="D4" s="3327"/>
      <c r="E4" s="3325" t="s">
        <v>141</v>
      </c>
      <c r="F4" s="3326"/>
      <c r="G4" s="3327"/>
      <c r="H4" s="3325" t="s">
        <v>3032</v>
      </c>
      <c r="I4" s="3326"/>
      <c r="J4" s="3327"/>
      <c r="K4" s="3325" t="s">
        <v>39</v>
      </c>
      <c r="L4" s="3326"/>
      <c r="M4" s="3327"/>
    </row>
    <row r="5" spans="1:13" ht="14.25">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A55" workbookViewId="0">
      <selection activeCell="E83" sqref="E83"/>
    </sheetView>
  </sheetViews>
  <sheetFormatPr defaultRowHeight="13.5"/>
  <sheetData>
    <row r="82" spans="1:13">
      <c r="A82" s="3367"/>
      <c r="B82" s="3367" t="s">
        <v>3122</v>
      </c>
      <c r="C82" s="3367" t="s">
        <v>3123</v>
      </c>
      <c r="D82" s="3367" t="s">
        <v>3124</v>
      </c>
      <c r="E82" s="3367" t="s">
        <v>3125</v>
      </c>
      <c r="I82">
        <v>1</v>
      </c>
      <c r="J82">
        <v>16655.87</v>
      </c>
      <c r="K82" s="3372">
        <v>0</v>
      </c>
    </row>
    <row r="83" spans="1:13">
      <c r="A83" s="3367" t="s">
        <v>3116</v>
      </c>
      <c r="B83" s="3367">
        <f>'数据-基础表'!I5</f>
        <v>66249</v>
      </c>
      <c r="C83" s="3367">
        <v>2000</v>
      </c>
      <c r="D83" s="3367">
        <v>1.4</v>
      </c>
      <c r="E83" s="3368">
        <v>0.1</v>
      </c>
      <c r="F83" s="3368"/>
      <c r="I83">
        <v>2</v>
      </c>
      <c r="J83">
        <v>16629.87</v>
      </c>
      <c r="K83" s="3372">
        <v>0</v>
      </c>
    </row>
    <row r="84" spans="1:13">
      <c r="A84" s="3367" t="s">
        <v>141</v>
      </c>
      <c r="B84" s="3367">
        <f>'数据-基础表'!K5</f>
        <v>68635.83</v>
      </c>
      <c r="C84" s="3367">
        <v>3000</v>
      </c>
      <c r="D84" s="3367">
        <v>1.8</v>
      </c>
      <c r="E84" s="3368">
        <v>0.12</v>
      </c>
      <c r="F84" s="3371"/>
      <c r="I84">
        <v>3</v>
      </c>
      <c r="J84">
        <v>16481.63</v>
      </c>
      <c r="K84" s="3372">
        <v>0.5</v>
      </c>
      <c r="L84" s="3383">
        <f>J84+J85+J88+J92</f>
        <v>56645.09</v>
      </c>
    </row>
    <row r="85" spans="1:13">
      <c r="A85" s="3367" t="s">
        <v>3120</v>
      </c>
      <c r="B85" s="3367">
        <f>'数据-基础表'!M5</f>
        <v>16210.670000000002</v>
      </c>
      <c r="C85" s="3367">
        <v>2000</v>
      </c>
      <c r="D85" s="3367">
        <v>0.3</v>
      </c>
      <c r="E85" s="3368">
        <v>0.05</v>
      </c>
      <c r="F85" s="3371"/>
      <c r="I85">
        <v>4</v>
      </c>
      <c r="J85">
        <v>16481.63</v>
      </c>
      <c r="K85" s="3372">
        <v>0.5</v>
      </c>
    </row>
    <row r="86" spans="1:13">
      <c r="A86" s="3367"/>
      <c r="B86" s="3367">
        <f>SUM(B83:B85)</f>
        <v>151095.50000000003</v>
      </c>
      <c r="C86" s="3367">
        <f>ROUND((B83*C83+B84*C84+B85*C85)/B86,0)</f>
        <v>2454</v>
      </c>
      <c r="D86" s="3367">
        <f>ROUND((D83*B83+D84*B84+D85*B85)/B86,2)</f>
        <v>1.46</v>
      </c>
      <c r="E86" s="3369">
        <f>ROUND((E83*B83+E84*B84+E85*B85)/B86,2)</f>
        <v>0.1</v>
      </c>
      <c r="F86" s="3372"/>
      <c r="K86" s="3372"/>
      <c r="M86">
        <f>SUM(J82:J85)</f>
        <v>66249</v>
      </c>
    </row>
    <row r="87" spans="1:13">
      <c r="A87" s="3367"/>
      <c r="B87" s="3367"/>
      <c r="C87" s="3367"/>
      <c r="D87" s="3367"/>
      <c r="I87" s="3380" t="s">
        <v>3184</v>
      </c>
      <c r="J87">
        <v>16663.78</v>
      </c>
      <c r="K87" s="3372">
        <v>0.45</v>
      </c>
    </row>
    <row r="88" spans="1:13">
      <c r="A88" s="3367"/>
      <c r="B88" s="3367"/>
      <c r="C88" s="3367"/>
      <c r="D88" s="3367"/>
      <c r="I88" s="3380" t="s">
        <v>3185</v>
      </c>
      <c r="J88">
        <v>7550.85</v>
      </c>
      <c r="K88" s="3372">
        <v>0.5</v>
      </c>
    </row>
    <row r="89" spans="1:13">
      <c r="A89" s="3367"/>
      <c r="B89" s="3367" t="s">
        <v>3122</v>
      </c>
      <c r="C89" s="3367" t="s">
        <v>3123</v>
      </c>
      <c r="D89" t="s">
        <v>3128</v>
      </c>
      <c r="I89" s="3380" t="s">
        <v>3186</v>
      </c>
      <c r="J89">
        <v>27495</v>
      </c>
      <c r="K89" s="3372">
        <v>0.45</v>
      </c>
    </row>
    <row r="90" spans="1:13">
      <c r="A90" s="3367" t="s">
        <v>3126</v>
      </c>
      <c r="B90" s="3367">
        <f>'数据-基础表'!AN17</f>
        <v>0</v>
      </c>
      <c r="C90" s="3367">
        <v>5000</v>
      </c>
      <c r="D90" s="3368">
        <v>0.5</v>
      </c>
      <c r="I90" s="3380" t="s">
        <v>3187</v>
      </c>
      <c r="J90">
        <v>16926.2</v>
      </c>
      <c r="K90" s="3372">
        <v>0.45</v>
      </c>
    </row>
    <row r="91" spans="1:13">
      <c r="A91" s="3367" t="s">
        <v>3127</v>
      </c>
      <c r="B91" s="3367">
        <f>'数据-基础表'!AP5+'数据-基础表'!AN26+'数据-基础表'!AN28+'数据-基础表'!AN29+'数据-基础表'!AN31+'数据-基础表'!AN32+'数据-基础表'!AN30</f>
        <v>51.6</v>
      </c>
      <c r="C91" s="3367">
        <v>2000</v>
      </c>
      <c r="D91" s="3368">
        <v>0.5</v>
      </c>
      <c r="K91" s="3372"/>
      <c r="M91">
        <f>SUM(J87:J90)</f>
        <v>68635.83</v>
      </c>
    </row>
    <row r="92" spans="1:13">
      <c r="A92" s="3367"/>
      <c r="B92" s="3367">
        <f>SUM(B90:B91)</f>
        <v>51.6</v>
      </c>
      <c r="C92" s="3367">
        <f>ROUND((C90*B90+C91*B91)/B92,0)</f>
        <v>2000</v>
      </c>
      <c r="D92" s="3369">
        <f>SUMPRODUCT(B90:B91*D90:D91/(B90+B91))</f>
        <v>0.5</v>
      </c>
      <c r="I92" s="3380" t="s">
        <v>3188</v>
      </c>
      <c r="J92">
        <v>16130.98</v>
      </c>
      <c r="K92" s="3372">
        <v>0.5</v>
      </c>
    </row>
    <row r="93" spans="1:13">
      <c r="I93" s="3381"/>
      <c r="J93" s="3381">
        <f>SUM(J82:J92)</f>
        <v>151015.81000000003</v>
      </c>
      <c r="K93" s="3382">
        <f>SUMPRODUCT(J82:J92*K82:K92/J93)</f>
        <v>0.36956915967937393</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1" t="str">
        <f>IF(项目基本情况!B9="房地产市场价值","估价结果一览表","结果表-2")</f>
        <v>结果表-2</v>
      </c>
      <c r="B1" s="3411"/>
      <c r="C1" s="3411"/>
      <c r="D1" s="3411"/>
      <c r="E1" s="3411"/>
      <c r="F1" s="3411"/>
      <c r="G1" s="3411"/>
      <c r="H1" s="3411"/>
      <c r="I1" s="3411"/>
    </row>
    <row r="2" spans="1:9" ht="30" customHeight="1" thickTop="1">
      <c r="A2" s="3412" t="s">
        <v>2867</v>
      </c>
      <c r="B2" s="3412" t="s">
        <v>2035</v>
      </c>
      <c r="C2" s="3412" t="s">
        <v>2036</v>
      </c>
      <c r="D2" s="3412" t="str">
        <f>结果表!D116</f>
        <v>出让国有建设用地使用权价值</v>
      </c>
      <c r="E2" s="3412"/>
      <c r="F2" s="3412" t="str">
        <f>结果表!F116</f>
        <v>在建建筑物价值</v>
      </c>
      <c r="G2" s="3412"/>
      <c r="H2" s="3412" t="str">
        <f>IF(项目基本情况!B9="房地产市场价值","房地产市场价值","房地产价值")</f>
        <v>房地产价值</v>
      </c>
      <c r="I2" s="3412"/>
    </row>
    <row r="3" spans="1:9" ht="14.25">
      <c r="A3" s="3406"/>
      <c r="B3" s="3406"/>
      <c r="C3" s="3406"/>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22556</v>
      </c>
      <c r="E4" s="1975">
        <f ca="1">结果表!E118</f>
        <v>1274</v>
      </c>
      <c r="F4" s="1975">
        <f ca="1">结果表!F118</f>
        <v>27793</v>
      </c>
      <c r="G4" s="1975">
        <f ca="1">结果表!G118</f>
        <v>1569</v>
      </c>
      <c r="H4" s="1975">
        <f ca="1">结果表!H118</f>
        <v>50349</v>
      </c>
      <c r="I4" s="1975">
        <f ca="1">结果表!I118</f>
        <v>2843</v>
      </c>
    </row>
    <row r="5" spans="1:9" ht="30" customHeight="1">
      <c r="A5" s="3406" t="s">
        <v>9</v>
      </c>
      <c r="B5" s="3406"/>
      <c r="C5" s="3406"/>
      <c r="D5" s="3407" t="str">
        <f ca="1">结果表!D119</f>
        <v>贰亿贰仟伍佰伍拾陆万元整</v>
      </c>
      <c r="E5" s="3407"/>
      <c r="F5" s="3407" t="str">
        <f ca="1">结果表!F119</f>
        <v>贰亿柒仟柒佰玖拾叁万元整</v>
      </c>
      <c r="G5" s="3407"/>
      <c r="H5" s="3407" t="str">
        <f ca="1">结果表!H119</f>
        <v>伍亿零叁佰肆拾玖万元整</v>
      </c>
      <c r="I5" s="3407"/>
    </row>
    <row r="6" spans="1:9" ht="15.75">
      <c r="A6" s="3404" t="str">
        <f>结果表!A120</f>
        <v>估价师知悉的法定优先受偿款</v>
      </c>
      <c r="B6" s="3404"/>
      <c r="C6" s="3404"/>
      <c r="D6" s="3405">
        <f>结果表!D120</f>
        <v>0</v>
      </c>
      <c r="E6" s="3405"/>
      <c r="F6" s="3405"/>
      <c r="G6" s="3405"/>
      <c r="H6" s="3405"/>
      <c r="I6" s="3405"/>
    </row>
    <row r="7" spans="1:9" ht="14.25">
      <c r="A7" s="3406" t="s">
        <v>9</v>
      </c>
      <c r="B7" s="3406"/>
      <c r="C7" s="3406"/>
      <c r="D7" s="3408" t="str">
        <f>结果表!D121</f>
        <v>零元整</v>
      </c>
      <c r="E7" s="3409"/>
      <c r="F7" s="3409"/>
      <c r="G7" s="3409"/>
      <c r="H7" s="3409"/>
      <c r="I7" s="3410"/>
    </row>
    <row r="8" spans="1:9" ht="15.75">
      <c r="A8" s="3404" t="str">
        <f>结果表!A122</f>
        <v>房地产抵押价值</v>
      </c>
      <c r="B8" s="3404"/>
      <c r="C8" s="3404"/>
      <c r="D8" s="3405">
        <f ca="1">结果表!D122</f>
        <v>50349</v>
      </c>
      <c r="E8" s="3405"/>
      <c r="F8" s="3405"/>
      <c r="G8" s="3405"/>
      <c r="H8" s="3405"/>
      <c r="I8" s="3405"/>
    </row>
    <row r="9" spans="1:9" ht="14.25">
      <c r="A9" s="3406" t="s">
        <v>9</v>
      </c>
      <c r="B9" s="3406"/>
      <c r="C9" s="3406"/>
      <c r="D9" s="3407" t="str">
        <f ca="1">结果表!D123</f>
        <v>伍亿零叁佰肆拾玖万元整</v>
      </c>
      <c r="E9" s="3407"/>
      <c r="F9" s="3407"/>
      <c r="G9" s="3407"/>
      <c r="H9" s="3407"/>
      <c r="I9" s="3407"/>
    </row>
    <row r="10" spans="1:9" ht="15.75">
      <c r="A10" s="3404" t="str">
        <f>结果表!A124</f>
        <v/>
      </c>
      <c r="B10" s="3404"/>
      <c r="C10" s="3404"/>
      <c r="D10" s="3405" t="str">
        <f>结果表!D124</f>
        <v>——</v>
      </c>
      <c r="E10" s="3405"/>
      <c r="F10" s="3405"/>
      <c r="G10" s="3405"/>
      <c r="H10" s="3405"/>
      <c r="I10" s="3405"/>
    </row>
    <row r="11" spans="1:9" ht="14.25">
      <c r="A11" s="3406" t="s">
        <v>9</v>
      </c>
      <c r="B11" s="3406"/>
      <c r="C11" s="3406"/>
      <c r="D11" s="3407" t="e">
        <f>结果表!D125</f>
        <v>#VALUE!</v>
      </c>
      <c r="E11" s="3407"/>
      <c r="F11" s="3407"/>
      <c r="G11" s="3407"/>
      <c r="H11" s="3407"/>
      <c r="I11" s="3407"/>
    </row>
    <row r="12" spans="1:9" ht="15.75">
      <c r="A12" s="3404" t="str">
        <f>结果表!A126</f>
        <v/>
      </c>
      <c r="B12" s="3404"/>
      <c r="C12" s="3404"/>
      <c r="D12" s="3405" t="str">
        <f>结果表!D126</f>
        <v>——</v>
      </c>
      <c r="E12" s="3405"/>
      <c r="F12" s="3405"/>
      <c r="G12" s="3405"/>
      <c r="H12" s="3405"/>
      <c r="I12" s="3405"/>
    </row>
    <row r="13" spans="1:9" ht="15" thickBot="1">
      <c r="A13" s="3401" t="s">
        <v>9</v>
      </c>
      <c r="B13" s="3401"/>
      <c r="C13" s="3401"/>
      <c r="D13" s="3402" t="e">
        <f>结果表!D127</f>
        <v>#VALUE!</v>
      </c>
      <c r="E13" s="3402"/>
      <c r="F13" s="3402"/>
      <c r="G13" s="3402"/>
      <c r="H13" s="3402"/>
      <c r="I13" s="3402"/>
    </row>
    <row r="14" spans="1:9" ht="14.25" thickTop="1">
      <c r="A14" s="3403" t="s">
        <v>2038</v>
      </c>
      <c r="B14" s="3403"/>
      <c r="C14" s="3403"/>
      <c r="D14" s="3403"/>
      <c r="E14" s="3403"/>
      <c r="F14" s="3403"/>
      <c r="G14" s="3403"/>
      <c r="H14" s="3403"/>
      <c r="I14" s="3403"/>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9" t="s">
        <v>2844</v>
      </c>
      <c r="B1" s="3419"/>
      <c r="C1" s="3419"/>
      <c r="D1" s="3419"/>
    </row>
    <row r="2" spans="1:4" ht="18.75">
      <c r="A2" s="3420" t="s">
        <v>2107</v>
      </c>
      <c r="B2" s="3420"/>
      <c r="C2" s="3420"/>
      <c r="D2" s="3420"/>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420" t="s">
        <v>2608</v>
      </c>
      <c r="B6" s="3420"/>
      <c r="C6" s="3420"/>
      <c r="D6" s="3420"/>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21" t="s">
        <v>2699</v>
      </c>
      <c r="B11" s="3413"/>
      <c r="C11" s="3413"/>
      <c r="D11" s="3413"/>
    </row>
    <row r="12" spans="1:4" ht="14.25">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3" t="str">
        <f>IF(项目基本情况!B8="抵押","4.本次评估估价师所知悉的法定优先受偿款情况说明如下：","——")</f>
        <v>4.本次评估估价师所知悉的法定优先受偿款情况说明如下：</v>
      </c>
      <c r="B14" s="3418"/>
      <c r="C14" s="3418"/>
      <c r="D14" s="3418"/>
    </row>
    <row r="15" spans="1:4" ht="42" customHeight="1">
      <c r="A15" s="3413" t="str">
        <f>IF(项目基本情况!B8="抵押","（1）"&amp;CONCATENATE(项目基本情况!L20,项目基本情况!L21,项目基本情况!L22),"——")</f>
        <v>（1）根据估价对象《不动产权证书》复印件、《国有土地使用权》——，截至价值时点，估价对象抵押权未见登记。</v>
      </c>
      <c r="B15" s="3413"/>
      <c r="C15" s="3413"/>
      <c r="D15" s="3413"/>
    </row>
    <row r="16" spans="1:4" ht="30" customHeight="1">
      <c r="A16" s="3415" t="s">
        <v>2119</v>
      </c>
      <c r="B16" s="3415"/>
      <c r="C16" s="3415"/>
      <c r="D16" s="3415"/>
    </row>
    <row r="17" spans="1:4" ht="144" customHeight="1">
      <c r="A17" s="3415" t="s">
        <v>2120</v>
      </c>
      <c r="B17" s="3415"/>
      <c r="C17" s="3415"/>
      <c r="D17" s="3415"/>
    </row>
    <row r="18" spans="1:4" ht="15.75" customHeight="1">
      <c r="A18" s="3413" t="str">
        <f>IF(项目基本情况!B8="抵押",结果表!K120,"——")</f>
        <v>故，本次评估不存在估价师知悉的法定优先受偿款</v>
      </c>
      <c r="B18" s="3413"/>
      <c r="C18" s="3413"/>
      <c r="D18" s="3413"/>
    </row>
    <row r="19" spans="1:4" ht="46.5" customHeight="1">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spans="1:4" ht="57.75" customHeight="1">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spans="1:4" ht="57.75" customHeight="1">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spans="1:4" ht="18.75" customHeight="1">
      <c r="A22" s="3417" t="s">
        <v>2865</v>
      </c>
      <c r="B22" s="3417"/>
      <c r="C22" s="3417"/>
      <c r="D22" s="3417"/>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14">
        <v>42551</v>
      </c>
      <c r="D31" s="341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7" t="s">
        <v>555</v>
      </c>
      <c r="B15" s="3422" t="s">
        <v>1134</v>
      </c>
      <c r="C15" s="3423"/>
    </row>
    <row r="16" spans="1:7" ht="13.5">
      <c r="A16" s="3428"/>
      <c r="B16" s="3422" t="s">
        <v>528</v>
      </c>
      <c r="C16" s="3423"/>
    </row>
    <row r="17" spans="1:3" ht="13.5">
      <c r="A17" s="3428"/>
      <c r="B17" s="3425" t="s">
        <v>556</v>
      </c>
      <c r="C17" s="1148" t="s">
        <v>555</v>
      </c>
    </row>
    <row r="18" spans="1:3" ht="13.5">
      <c r="A18" s="3428"/>
      <c r="B18" s="3425"/>
      <c r="C18" s="1148" t="s">
        <v>557</v>
      </c>
    </row>
    <row r="19" spans="1:3" ht="13.5">
      <c r="A19" s="3428"/>
      <c r="B19" s="3425"/>
      <c r="C19" s="1148" t="s">
        <v>558</v>
      </c>
    </row>
    <row r="20" spans="1:3" ht="13.5">
      <c r="A20" s="3429"/>
      <c r="B20" s="3424" t="s">
        <v>559</v>
      </c>
      <c r="C20" s="3423"/>
    </row>
    <row r="21" spans="1:3" ht="13.5">
      <c r="A21" s="1149" t="s">
        <v>560</v>
      </c>
      <c r="B21" s="1150"/>
      <c r="C21" s="1151"/>
    </row>
    <row r="22" spans="1:3" ht="13.5">
      <c r="A22" s="3426" t="s">
        <v>561</v>
      </c>
      <c r="B22" s="3424" t="s">
        <v>562</v>
      </c>
      <c r="C22" s="3423"/>
    </row>
    <row r="23" spans="1:3" ht="13.5">
      <c r="A23" s="3426"/>
      <c r="B23" s="3424" t="s">
        <v>563</v>
      </c>
      <c r="C23" s="3423"/>
    </row>
    <row r="24" spans="1:3" ht="13.5">
      <c r="A24" s="3426"/>
      <c r="B24" s="3424" t="s">
        <v>564</v>
      </c>
      <c r="C24" s="3423"/>
    </row>
    <row r="25" spans="1:3" ht="13.5">
      <c r="A25" s="3426"/>
      <c r="B25" s="3425" t="s">
        <v>565</v>
      </c>
      <c r="C25" s="1148" t="s">
        <v>566</v>
      </c>
    </row>
    <row r="26" spans="1:3" ht="13.5">
      <c r="A26" s="3426"/>
      <c r="B26" s="3425"/>
      <c r="C26" s="1148" t="s">
        <v>567</v>
      </c>
    </row>
    <row r="27" spans="1:3" ht="13.5">
      <c r="A27" s="3426"/>
      <c r="B27" s="3425"/>
      <c r="C27" s="1148" t="s">
        <v>568</v>
      </c>
    </row>
    <row r="28" spans="1:3" ht="13.5">
      <c r="A28" s="3426"/>
      <c r="B28" s="3425"/>
      <c r="C28" s="1148" t="s">
        <v>569</v>
      </c>
    </row>
    <row r="29" spans="1:3" ht="13.5">
      <c r="A29" s="3426"/>
      <c r="B29" s="3425"/>
      <c r="C29" s="1148" t="s">
        <v>570</v>
      </c>
    </row>
    <row r="30" spans="1:3" ht="13.5">
      <c r="A30" s="3426"/>
      <c r="B30" s="3425"/>
      <c r="C30" s="1148" t="s">
        <v>571</v>
      </c>
    </row>
    <row r="31" spans="1:3" ht="13.5">
      <c r="A31" s="3426"/>
      <c r="B31" s="3425"/>
      <c r="C31" s="1148" t="s">
        <v>572</v>
      </c>
    </row>
    <row r="32" spans="1:3" ht="13.5">
      <c r="A32" s="3426"/>
      <c r="B32" s="3425"/>
      <c r="C32" s="1148" t="s">
        <v>573</v>
      </c>
    </row>
    <row r="33" spans="1:3" ht="13.5">
      <c r="A33" s="3426"/>
      <c r="B33" s="3425"/>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43006</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f ca="1">IF(C7&lt;B2,"已过期",1120050019)</f>
        <v>1120050019</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f ca="1">IF(C10&lt;B2,"已过期",1120060040)</f>
        <v>1120060040</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f ca="1">IF(C22&lt;B2,"已过期",1120020033)</f>
        <v>1120020033</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30" t="s">
        <v>1989</v>
      </c>
      <c r="B25" s="3430"/>
      <c r="C25" s="3430"/>
      <c r="D25" s="3430"/>
      <c r="E25" s="3430"/>
      <c r="F25" s="3430"/>
      <c r="G25" s="3430"/>
    </row>
    <row r="26" spans="1:7" s="1898" customFormat="1" ht="24" customHeight="1">
      <c r="A26" s="3431" t="s">
        <v>1990</v>
      </c>
      <c r="B26" s="3431"/>
      <c r="C26" s="3431"/>
      <c r="D26" s="1897"/>
      <c r="E26" s="3431" t="s">
        <v>1991</v>
      </c>
      <c r="F26" s="3431"/>
      <c r="G26" s="3431"/>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2017-09-21T02:47:15Z</cp:lastPrinted>
  <dcterms:created xsi:type="dcterms:W3CDTF">2015-07-13T07:17:23Z</dcterms:created>
  <dcterms:modified xsi:type="dcterms:W3CDTF">2017-09-28T02:32:18Z</dcterms:modified>
</cp:coreProperties>
</file>