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周彤\小米\"/>
    </mc:Choice>
  </mc:AlternateContent>
  <bookViews>
    <workbookView xWindow="480" yWindow="216" windowWidth="12120" windowHeight="7620" tabRatio="938"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N14" i="1" l="1"/>
  <c r="K85" i="77" l="1"/>
  <c r="K90" i="77"/>
  <c r="K88" i="77"/>
  <c r="K83" i="77"/>
  <c r="F19" i="6" l="1"/>
  <c r="D29" i="43" s="1"/>
  <c r="E35" i="6"/>
  <c r="A3" i="3" l="1"/>
  <c r="M25" i="12" l="1"/>
  <c r="L84" i="77" l="1"/>
  <c r="M86" i="77" l="1"/>
  <c r="M91" i="77"/>
  <c r="J93" i="77"/>
  <c r="K93" i="77" s="1"/>
  <c r="B90" i="77" l="1"/>
  <c r="AT23" i="3"/>
  <c r="AT22" i="3"/>
  <c r="AT27" i="3" s="1"/>
  <c r="M27" i="3" s="1"/>
  <c r="C34" i="40" l="1"/>
  <c r="B7" i="4" l="1"/>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1" i="76"/>
  <c r="E13" i="76"/>
  <c r="E10" i="76"/>
  <c r="B9" i="76"/>
  <c r="B8" i="76"/>
  <c r="E8" i="76"/>
  <c r="B11" i="76"/>
  <c r="B7" i="76"/>
  <c r="B13" i="76"/>
  <c r="E12" i="76"/>
  <c r="B12" i="76"/>
  <c r="E9" i="76"/>
  <c r="B10"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3" i="73"/>
  <c r="F4" i="73"/>
  <c r="F6" i="73"/>
  <c r="D6" i="73"/>
  <c r="D5" i="73"/>
  <c r="D3" i="73"/>
  <c r="I1" i="73" l="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V19" i="71" l="1"/>
  <c r="M19" i="43"/>
  <c r="B22" i="7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I100" i="43"/>
  <c r="M100" i="43"/>
  <c r="B48" i="43"/>
  <c r="B84" i="43"/>
  <c r="B83" i="43"/>
  <c r="B72" i="43"/>
  <c r="B61" i="43"/>
  <c r="B50" i="43"/>
  <c r="D85" i="43"/>
  <c r="D67" i="43"/>
  <c r="D60" i="43"/>
  <c r="D61" i="43"/>
  <c r="D62" i="43"/>
  <c r="D63" i="43"/>
  <c r="D64" i="43"/>
  <c r="D65" i="43"/>
  <c r="D66"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AZ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B83" i="77" s="1"/>
  <c r="AD5" i="3"/>
  <c r="AH5" i="3"/>
  <c r="AL5" i="3"/>
  <c r="AP5" i="3"/>
  <c r="B91" i="77"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F29" i="36"/>
  <c r="AA29" i="36" s="1"/>
  <c r="W8" i="36"/>
  <c r="F16" i="36"/>
  <c r="AA16" i="36" s="1"/>
  <c r="S30" i="36"/>
  <c r="AC31" i="36"/>
  <c r="J33" i="36"/>
  <c r="W33" i="36" s="1"/>
  <c r="H22" i="35"/>
  <c r="AB22" i="35" s="1"/>
  <c r="AC27" i="35"/>
  <c r="U31" i="35"/>
  <c r="W34" i="35"/>
  <c r="W22" i="35"/>
  <c r="S31" i="35"/>
  <c r="F36" i="34"/>
  <c r="J35" i="34"/>
  <c r="U34" i="34"/>
  <c r="H39" i="33"/>
  <c r="AB39" i="33" s="1"/>
  <c r="S9" i="33"/>
  <c r="U33" i="33"/>
  <c r="U35" i="33"/>
  <c r="S40" i="33"/>
  <c r="W33" i="33"/>
  <c r="W39" i="33"/>
  <c r="H39" i="37"/>
  <c r="AB39" i="37" s="1"/>
  <c r="AB39" i="40"/>
  <c r="AA9" i="40"/>
  <c r="AC9" i="40"/>
  <c r="U9" i="40"/>
  <c r="S34" i="40"/>
  <c r="U38"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U34" i="21"/>
  <c r="C25" i="39"/>
  <c r="C27" i="39"/>
  <c r="H11" i="39"/>
  <c r="H32" i="33"/>
  <c r="AB32" i="33" s="1"/>
  <c r="H11" i="21"/>
  <c r="U11" i="21" s="1"/>
  <c r="J11" i="21"/>
  <c r="W11" i="21" s="1"/>
  <c r="H37" i="40"/>
  <c r="U37" i="40" s="1"/>
  <c r="H36" i="40"/>
  <c r="AB36" i="40" s="1"/>
  <c r="F35" i="40"/>
  <c r="AA35" i="40" s="1"/>
  <c r="H23" i="40"/>
  <c r="AB23" i="40" s="1"/>
  <c r="H17" i="40"/>
  <c r="U17" i="40" s="1"/>
  <c r="J15" i="40"/>
  <c r="W15" i="40" s="1"/>
  <c r="AB12" i="33"/>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AA29" i="35"/>
  <c r="AA42" i="34"/>
  <c r="S42" i="34"/>
  <c r="AC38" i="34"/>
  <c r="AA38" i="34"/>
  <c r="J37" i="34"/>
  <c r="AC37" i="34" s="1"/>
  <c r="J11" i="33"/>
  <c r="W11" i="33" s="1"/>
  <c r="S28" i="34"/>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G509"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14" i="37"/>
  <c r="U33" i="37"/>
  <c r="W26" i="37"/>
  <c r="AC8" i="37"/>
  <c r="W37" i="34"/>
  <c r="AB37" i="34"/>
  <c r="AC36" i="34"/>
  <c r="W44" i="33"/>
  <c r="U19" i="21"/>
  <c r="W44" i="21"/>
  <c r="U26" i="21"/>
  <c r="AC46"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BL549" i="3"/>
  <c r="AZ522" i="3"/>
  <c r="G546" i="3"/>
  <c r="G524"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39" i="3"/>
  <c r="AZ67" i="3"/>
  <c r="AZ71" i="3"/>
  <c r="AZ144" i="3"/>
  <c r="AZ97"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G324" i="3"/>
  <c r="BA326" i="3"/>
  <c r="AZ326" i="3" s="1"/>
  <c r="BL327" i="3"/>
  <c r="G328" i="3"/>
  <c r="BA330" i="3"/>
  <c r="AZ330" i="3" s="1"/>
  <c r="BL331" i="3"/>
  <c r="AZ331" i="3" s="1"/>
  <c r="G332" i="3"/>
  <c r="BA334" i="3"/>
  <c r="AZ334" i="3" s="1"/>
  <c r="BL335" i="3"/>
  <c r="AZ335" i="3" s="1"/>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233" i="3"/>
  <c r="AZ237" i="3"/>
  <c r="AZ269" i="3"/>
  <c r="AZ273" i="3"/>
  <c r="AZ370" i="3"/>
  <c r="BA379" i="3"/>
  <c r="AZ379" i="3" s="1"/>
  <c r="BL380" i="3"/>
  <c r="AZ380" i="3" s="1"/>
  <c r="G381" i="3"/>
  <c r="BA383" i="3"/>
  <c r="BL384" i="3"/>
  <c r="G385" i="3"/>
  <c r="BA387" i="3"/>
  <c r="AZ387" i="3" s="1"/>
  <c r="BL388" i="3"/>
  <c r="AZ388" i="3" s="1"/>
  <c r="G389" i="3"/>
  <c r="BA391" i="3"/>
  <c r="AZ391" i="3" s="1"/>
  <c r="BL392" i="3"/>
  <c r="G393" i="3"/>
  <c r="AZ275" i="3"/>
  <c r="AZ291" i="3"/>
  <c r="BO5" i="3"/>
  <c r="BM5" i="3"/>
  <c r="BJ5" i="3"/>
  <c r="BH5" i="3"/>
  <c r="BF5" i="3"/>
  <c r="BD5" i="3"/>
  <c r="AZ325" i="3"/>
  <c r="AC5" i="3"/>
  <c r="AZ506" i="3"/>
  <c r="G548" i="3"/>
  <c r="G538" i="3"/>
  <c r="G520" i="3"/>
  <c r="G502" i="3"/>
  <c r="BS5" i="3"/>
  <c r="BP5" i="3"/>
  <c r="BN5" i="3"/>
  <c r="BK5" i="3"/>
  <c r="BI5" i="3"/>
  <c r="BG5" i="3"/>
  <c r="BE5" i="3"/>
  <c r="BC5" i="3"/>
  <c r="G17" i="3"/>
  <c r="BA17" i="3"/>
  <c r="BT5" i="3"/>
  <c r="AZ356" i="3"/>
  <c r="BA15" i="3"/>
  <c r="BB5" i="3"/>
  <c r="BR5" i="3"/>
  <c r="AZ392" i="3"/>
  <c r="AZ394" i="3"/>
  <c r="BL493" i="3"/>
  <c r="AZ376" i="3"/>
  <c r="N4" i="43"/>
  <c r="F36" i="43"/>
  <c r="H113" i="43"/>
  <c r="F48" i="43"/>
  <c r="H52" i="43" s="1"/>
  <c r="N7" i="43"/>
  <c r="F81" i="43" s="1"/>
  <c r="F70" i="43"/>
  <c r="H73" i="43" s="1"/>
  <c r="M6" i="43"/>
  <c r="M11" i="43"/>
  <c r="E17" i="43"/>
  <c r="F39" i="43"/>
  <c r="I17" i="43"/>
  <c r="F35" i="43"/>
  <c r="J17" i="43"/>
  <c r="F6" i="1"/>
  <c r="C10" i="40" s="1"/>
  <c r="U17" i="39"/>
  <c r="S14" i="35"/>
  <c r="U43" i="21"/>
  <c r="U35" i="21"/>
  <c r="AC35" i="21"/>
  <c r="U10" i="21"/>
  <c r="G8" i="1"/>
  <c r="G9" i="1"/>
  <c r="G10" i="1"/>
  <c r="F48" i="9"/>
  <c r="O52" i="9" s="1"/>
  <c r="AC11" i="39"/>
  <c r="W37" i="37"/>
  <c r="AC44" i="34"/>
  <c r="S15" i="37"/>
  <c r="U13" i="37"/>
  <c r="AA12" i="40"/>
  <c r="J37" i="33"/>
  <c r="W37" i="33" s="1"/>
  <c r="AC17" i="34"/>
  <c r="J34" i="33"/>
  <c r="W34" i="33" s="1"/>
  <c r="F33" i="34"/>
  <c r="S33" i="34" s="1"/>
  <c r="H20" i="36"/>
  <c r="U20" i="36" s="1"/>
  <c r="J20" i="36"/>
  <c r="W20" i="36" s="1"/>
  <c r="J27" i="36"/>
  <c r="W27" i="36" s="1"/>
  <c r="H35" i="40"/>
  <c r="AB35" i="40" s="1"/>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2" i="3"/>
  <c r="AZ235" i="3"/>
  <c r="AZ268" i="3"/>
  <c r="AZ271" i="3"/>
  <c r="AZ288" i="3"/>
  <c r="AZ133" i="3"/>
  <c r="AZ37" i="3"/>
  <c r="AZ42" i="3"/>
  <c r="AZ69" i="3"/>
  <c r="H74" i="43"/>
  <c r="H49"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F3" i="35"/>
  <c r="D93" i="9"/>
  <c r="J51" i="15"/>
  <c r="AE9" i="1"/>
  <c r="AB26" i="37" l="1"/>
  <c r="U26" i="37"/>
  <c r="U25" i="37"/>
  <c r="AB25" i="37"/>
  <c r="AC32" i="40"/>
  <c r="W32" i="40"/>
  <c r="U27" i="37"/>
  <c r="AB27" i="37"/>
  <c r="AC31" i="40"/>
  <c r="W31" i="40"/>
  <c r="W33" i="40"/>
  <c r="AC33" i="40"/>
  <c r="AA35" i="39"/>
  <c r="S35" i="39"/>
  <c r="B85" i="77"/>
  <c r="G19" i="6"/>
  <c r="AZ427" i="3"/>
  <c r="AZ485" i="3"/>
  <c r="BL487" i="3"/>
  <c r="BA488" i="3"/>
  <c r="AZ488" i="3" s="1"/>
  <c r="BA489" i="3"/>
  <c r="AZ489" i="3" s="1"/>
  <c r="BA491" i="3"/>
  <c r="AZ491" i="3" s="1"/>
  <c r="BL491" i="3"/>
  <c r="BA492" i="3"/>
  <c r="AZ492" i="3" s="1"/>
  <c r="BA374" i="3"/>
  <c r="AZ374" i="3" s="1"/>
  <c r="G382" i="3"/>
  <c r="BL383" i="3"/>
  <c r="BA385" i="3"/>
  <c r="AZ385" i="3" s="1"/>
  <c r="BA395" i="3"/>
  <c r="BL395" i="3"/>
  <c r="BL397" i="3"/>
  <c r="G208" i="3"/>
  <c r="G210" i="3"/>
  <c r="BA211" i="3"/>
  <c r="AZ211" i="3" s="1"/>
  <c r="BL211" i="3"/>
  <c r="BA212" i="3"/>
  <c r="AZ212" i="3" s="1"/>
  <c r="BA214" i="3"/>
  <c r="BL214" i="3"/>
  <c r="BL216" i="3"/>
  <c r="G217" i="3"/>
  <c r="G219" i="3"/>
  <c r="BA220" i="3"/>
  <c r="AZ220" i="3" s="1"/>
  <c r="BL220" i="3"/>
  <c r="BA221" i="3"/>
  <c r="AZ221" i="3" s="1"/>
  <c r="BA222" i="3"/>
  <c r="AZ222" i="3" s="1"/>
  <c r="BA223" i="3"/>
  <c r="AZ223" i="3" s="1"/>
  <c r="BL225" i="3"/>
  <c r="G226" i="3"/>
  <c r="G228" i="3"/>
  <c r="BL229" i="3"/>
  <c r="G230" i="3"/>
  <c r="G235" i="3"/>
  <c r="G239" i="3"/>
  <c r="BL240" i="3"/>
  <c r="AZ383" i="3"/>
  <c r="AZ339" i="3"/>
  <c r="AZ314" i="3"/>
  <c r="AZ303" i="3"/>
  <c r="AZ308" i="3"/>
  <c r="U12" i="40"/>
  <c r="E8" i="6"/>
  <c r="F27" i="6" s="1"/>
  <c r="AZ377" i="3"/>
  <c r="AZ307" i="3"/>
  <c r="AZ390" i="3"/>
  <c r="AZ347" i="3"/>
  <c r="AZ344" i="3"/>
  <c r="AZ320" i="3"/>
  <c r="AZ313" i="3"/>
  <c r="AZ305" i="3"/>
  <c r="AZ360" i="3"/>
  <c r="AZ343" i="3"/>
  <c r="AZ324" i="3"/>
  <c r="W14" i="39"/>
  <c r="W40" i="37"/>
  <c r="U12" i="21"/>
  <c r="AC31" i="33"/>
  <c r="W47" i="34"/>
  <c r="U39" i="37"/>
  <c r="AB28" i="37"/>
  <c r="AC33" i="36"/>
  <c r="AA36" i="39"/>
  <c r="AZ495" i="3"/>
  <c r="AZ499" i="3"/>
  <c r="AZ503" i="3"/>
  <c r="AZ553" i="3"/>
  <c r="AZ559" i="3"/>
  <c r="AZ567" i="3"/>
  <c r="AZ493" i="3"/>
  <c r="AZ497" i="3"/>
  <c r="AZ549" i="3"/>
  <c r="AZ494" i="3"/>
  <c r="AZ518" i="3"/>
  <c r="AZ530" i="3"/>
  <c r="AZ538" i="3"/>
  <c r="AZ552" i="3"/>
  <c r="AZ560" i="3"/>
  <c r="AZ568" i="3"/>
  <c r="AZ576" i="3"/>
  <c r="AZ584" i="3"/>
  <c r="AZ496" i="3"/>
  <c r="W36" i="39"/>
  <c r="F31" i="21"/>
  <c r="S31" i="21" s="1"/>
  <c r="H29" i="21"/>
  <c r="U29" i="21" s="1"/>
  <c r="H27" i="21"/>
  <c r="AB27" i="21" s="1"/>
  <c r="S41" i="33"/>
  <c r="U40" i="33"/>
  <c r="F37" i="39"/>
  <c r="AA37" i="39" s="1"/>
  <c r="AB8" i="39"/>
  <c r="S40" i="39"/>
  <c r="C21" i="39"/>
  <c r="J23" i="40"/>
  <c r="AC23" i="40" s="1"/>
  <c r="S34" i="39"/>
  <c r="U34" i="40"/>
  <c r="AC40" i="40"/>
  <c r="W8" i="40"/>
  <c r="S34" i="34"/>
  <c r="AA31" i="36"/>
  <c r="W28" i="36"/>
  <c r="F39" i="37"/>
  <c r="W25" i="37"/>
  <c r="J44" i="39"/>
  <c r="F9" i="34"/>
  <c r="H12" i="34"/>
  <c r="J12" i="35"/>
  <c r="W12" i="35" s="1"/>
  <c r="AC31" i="35"/>
  <c r="F34" i="35"/>
  <c r="AA34" i="35" s="1"/>
  <c r="J23" i="36"/>
  <c r="AC23" i="36" s="1"/>
  <c r="F25" i="37"/>
  <c r="AA25" i="37" s="1"/>
  <c r="F40" i="40"/>
  <c r="G582" i="3"/>
  <c r="G556" i="3"/>
  <c r="G552" i="3"/>
  <c r="G551" i="3"/>
  <c r="G398" i="3"/>
  <c r="BA399" i="3"/>
  <c r="BL399" i="3"/>
  <c r="BA400" i="3"/>
  <c r="AZ400" i="3" s="1"/>
  <c r="BA402" i="3"/>
  <c r="BL402" i="3"/>
  <c r="BL404" i="3"/>
  <c r="G405" i="3"/>
  <c r="G407" i="3"/>
  <c r="BA408" i="3"/>
  <c r="BL408" i="3"/>
  <c r="BA409" i="3"/>
  <c r="AZ409" i="3" s="1"/>
  <c r="BA410" i="3"/>
  <c r="AZ410" i="3" s="1"/>
  <c r="BA411" i="3"/>
  <c r="AZ411" i="3" s="1"/>
  <c r="G414" i="3"/>
  <c r="BA415" i="3"/>
  <c r="BL415" i="3"/>
  <c r="AZ416" i="3"/>
  <c r="BL418" i="3"/>
  <c r="G421" i="3"/>
  <c r="G423" i="3"/>
  <c r="G425" i="3"/>
  <c r="G429" i="3"/>
  <c r="BL430" i="3"/>
  <c r="G431" i="3"/>
  <c r="G434" i="3"/>
  <c r="G436" i="3"/>
  <c r="BA437" i="3"/>
  <c r="BL437" i="3"/>
  <c r="BL439" i="3"/>
  <c r="G440" i="3"/>
  <c r="BA441" i="3"/>
  <c r="BL441" i="3"/>
  <c r="BA443" i="3"/>
  <c r="BL443" i="3"/>
  <c r="BA444" i="3"/>
  <c r="AZ444" i="3" s="1"/>
  <c r="G447" i="3"/>
  <c r="G449"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G479" i="3"/>
  <c r="BA315" i="3"/>
  <c r="AZ315" i="3" s="1"/>
  <c r="BL317" i="3"/>
  <c r="G318" i="3"/>
  <c r="BA332" i="3"/>
  <c r="AZ332" i="3" s="1"/>
  <c r="BL332" i="3"/>
  <c r="G345" i="3"/>
  <c r="BL346" i="3"/>
  <c r="AZ346" i="3" s="1"/>
  <c r="BA352" i="3"/>
  <c r="AZ352" i="3" s="1"/>
  <c r="BL354" i="3"/>
  <c r="BA358" i="3"/>
  <c r="AZ358" i="3" s="1"/>
  <c r="BL365" i="3"/>
  <c r="AZ365" i="3" s="1"/>
  <c r="G366" i="3"/>
  <c r="BA368" i="3"/>
  <c r="AZ368" i="3" s="1"/>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2" i="3"/>
  <c r="BL202" i="3"/>
  <c r="BA204" i="3"/>
  <c r="AZ204" i="3" s="1"/>
  <c r="BA205" i="3"/>
  <c r="AZ205" i="3" s="1"/>
  <c r="BA206" i="3"/>
  <c r="AZ206" i="3" s="1"/>
  <c r="BA20" i="3"/>
  <c r="BA21" i="3"/>
  <c r="BA22" i="3"/>
  <c r="BA26" i="3"/>
  <c r="G34" i="3"/>
  <c r="G36" i="3"/>
  <c r="G39" i="3"/>
  <c r="G42" i="3"/>
  <c r="G44" i="3"/>
  <c r="BL45" i="3"/>
  <c r="G46" i="3"/>
  <c r="G48" i="3"/>
  <c r="BA49" i="3"/>
  <c r="AZ49" i="3" s="1"/>
  <c r="BL49" i="3"/>
  <c r="BA51" i="3"/>
  <c r="AZ51" i="3" s="1"/>
  <c r="BL51" i="3"/>
  <c r="BA52" i="3"/>
  <c r="AZ52" i="3" s="1"/>
  <c r="D87" i="43"/>
  <c r="D83" i="43"/>
  <c r="K100" i="43"/>
  <c r="G100" i="43"/>
  <c r="I15" i="66"/>
  <c r="I20" i="66"/>
  <c r="BA53" i="3"/>
  <c r="AZ53" i="3" s="1"/>
  <c r="BA55" i="3"/>
  <c r="BL55" i="3"/>
  <c r="BA56" i="3"/>
  <c r="AZ56" i="3" s="1"/>
  <c r="BA58" i="3"/>
  <c r="BL58" i="3"/>
  <c r="BL60" i="3"/>
  <c r="G61" i="3"/>
  <c r="BA62" i="3"/>
  <c r="AZ62" i="3" s="1"/>
  <c r="BL62" i="3"/>
  <c r="BL64" i="3"/>
  <c r="G65" i="3"/>
  <c r="G67"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BL105" i="3"/>
  <c r="BL106" i="3"/>
  <c r="G107" i="3"/>
  <c r="BL109" i="3"/>
  <c r="G110" i="3"/>
  <c r="BA111" i="3"/>
  <c r="BL111" i="3"/>
  <c r="BL112" i="3"/>
  <c r="D81" i="43"/>
  <c r="D88" i="43"/>
  <c r="D84" i="43"/>
  <c r="D82" i="43"/>
  <c r="H83" i="43"/>
  <c r="H86" i="43"/>
  <c r="H87" i="43"/>
  <c r="BL32" i="3"/>
  <c r="AZ32" i="3" s="1"/>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s="1"/>
  <c r="D92" i="77"/>
  <c r="B92" i="77"/>
  <c r="C92" i="77"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s="1"/>
  <c r="I4" i="6"/>
  <c r="B84" i="77"/>
  <c r="F12" i="34"/>
  <c r="J23" i="35"/>
  <c r="J36" i="35"/>
  <c r="H12" i="36"/>
  <c r="H24" i="36"/>
  <c r="AB24" i="36" s="1"/>
  <c r="J38" i="40"/>
  <c r="AC38" i="40" s="1"/>
  <c r="G574" i="3"/>
  <c r="G558" i="3"/>
  <c r="C30" i="9"/>
  <c r="AZ402" i="3"/>
  <c r="AZ418" i="3"/>
  <c r="AZ434" i="3"/>
  <c r="AZ443" i="3"/>
  <c r="AZ445" i="3"/>
  <c r="AZ446" i="3"/>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AZ284" i="3"/>
  <c r="G274" i="3"/>
  <c r="BL274" i="3"/>
  <c r="AZ274" i="3" s="1"/>
  <c r="G277" i="3"/>
  <c r="BL277" i="3"/>
  <c r="AZ277" i="3" s="1"/>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AZ290" i="3"/>
  <c r="AZ293" i="3"/>
  <c r="AZ300" i="3"/>
  <c r="AZ122" i="3"/>
  <c r="AZ125" i="3"/>
  <c r="BL22" i="3"/>
  <c r="BL25" i="3"/>
  <c r="AZ25" i="3" s="1"/>
  <c r="AZ104" i="3"/>
  <c r="L108" i="43"/>
  <c r="L100" i="4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30" i="3"/>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AZ98" i="3"/>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E59" i="43"/>
  <c r="B57" i="43" s="1"/>
  <c r="F28" i="40"/>
  <c r="AA28" i="40" s="1"/>
  <c r="J28" i="40"/>
  <c r="AC28" i="40" s="1"/>
  <c r="H28" i="40"/>
  <c r="U28" i="40" s="1"/>
  <c r="U23" i="40"/>
  <c r="AC21" i="40"/>
  <c r="S21" i="40"/>
  <c r="W35" i="40"/>
  <c r="BL19" i="3"/>
  <c r="G20" i="3"/>
  <c r="BL21" i="3"/>
  <c r="AZ21" i="3" s="1"/>
  <c r="AZ22" i="3"/>
  <c r="BL18" i="3"/>
  <c r="G19" i="3"/>
  <c r="G23" i="3"/>
  <c r="BL24" i="3"/>
  <c r="AZ24" i="3" s="1"/>
  <c r="BL28" i="3"/>
  <c r="G29" i="3"/>
  <c r="BL30" i="3"/>
  <c r="AZ30" i="3" s="1"/>
  <c r="BA19" i="3"/>
  <c r="E15" i="6"/>
  <c r="E60" i="40" s="1"/>
  <c r="E13" i="6"/>
  <c r="E58" i="40" s="1"/>
  <c r="E12" i="6"/>
  <c r="E63" i="39"/>
  <c r="G29" i="6"/>
  <c r="E29" i="6" s="1"/>
  <c r="BA18" i="3"/>
  <c r="BL20" i="3"/>
  <c r="AZ20" i="3" s="1"/>
  <c r="BL23" i="3"/>
  <c r="BL26" i="3"/>
  <c r="BA27" i="3"/>
  <c r="AZ27" i="3" s="1"/>
  <c r="BA28" i="3"/>
  <c r="BA29" i="3"/>
  <c r="AZ29" i="3" s="1"/>
  <c r="BL31" i="3"/>
  <c r="AZ31" i="3" s="1"/>
  <c r="AZ15" i="3"/>
  <c r="BL15" i="3"/>
  <c r="AZ23" i="3"/>
  <c r="A15" i="62"/>
  <c r="B61" i="72" s="1"/>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E65" i="39"/>
  <c r="G30" i="6"/>
  <c r="J56" i="9"/>
  <c r="J57" i="9" s="1"/>
  <c r="A24" i="51"/>
  <c r="B18" i="72" s="1"/>
  <c r="U29" i="34"/>
  <c r="E14" i="6"/>
  <c r="E64" i="39" s="1"/>
  <c r="E5" i="6"/>
  <c r="D9" i="11" s="1"/>
  <c r="C9" i="11" s="1"/>
  <c r="P10" i="1"/>
  <c r="E32" i="6"/>
  <c r="L19" i="6" s="1"/>
  <c r="G1" i="68"/>
  <c r="K1" i="12"/>
  <c r="F30" i="6"/>
  <c r="F31" i="6" s="1"/>
  <c r="E28" i="6"/>
  <c r="E57" i="40"/>
  <c r="E56" i="40"/>
  <c r="AR13" i="1"/>
  <c r="AQ13" i="1"/>
  <c r="T13" i="1"/>
  <c r="T11" i="1"/>
  <c r="AR12" i="1"/>
  <c r="AQ12" i="1"/>
  <c r="T12" i="1"/>
  <c r="AR10" i="1"/>
  <c r="AQ10" i="1"/>
  <c r="T10" i="1"/>
  <c r="E19" i="69"/>
  <c r="E19" i="68"/>
  <c r="E19" i="11"/>
  <c r="M18" i="15"/>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M23" i="67"/>
  <c r="G1" i="73"/>
  <c r="L47" i="15"/>
  <c r="F6" i="67"/>
  <c r="C76" i="67"/>
  <c r="M29" i="67"/>
  <c r="L48" i="15"/>
  <c r="M23" i="15"/>
  <c r="F42" i="67"/>
  <c r="F36" i="15"/>
  <c r="F38" i="67"/>
  <c r="F16" i="15"/>
  <c r="M26" i="67"/>
  <c r="M28" i="15"/>
  <c r="F26" i="67"/>
  <c r="L47" i="67"/>
  <c r="L48" i="67"/>
  <c r="F16" i="67"/>
  <c r="M22" i="67"/>
  <c r="F8" i="15"/>
  <c r="M9" i="15"/>
  <c r="F6" i="15"/>
  <c r="F13" i="67"/>
  <c r="J15" i="67"/>
  <c r="M28" i="67"/>
  <c r="C76" i="15"/>
  <c r="F43" i="67"/>
  <c r="M26" i="15"/>
  <c r="F37" i="67"/>
  <c r="F40" i="67"/>
  <c r="F38" i="15"/>
  <c r="M8" i="67"/>
  <c r="F26" i="15"/>
  <c r="F8" i="67"/>
  <c r="M8" i="15"/>
  <c r="F37" i="15"/>
  <c r="F36" i="67"/>
  <c r="F42" i="15"/>
  <c r="M24" i="67"/>
  <c r="F9" i="15"/>
  <c r="M6" i="67"/>
  <c r="F40" i="15"/>
  <c r="J15" i="15"/>
  <c r="F13" i="15"/>
  <c r="F7" i="67"/>
  <c r="M24" i="15"/>
  <c r="M9" i="67"/>
  <c r="F9" i="67"/>
  <c r="M6" i="15"/>
  <c r="M22" i="15"/>
  <c r="AZ105" i="3" l="1"/>
  <c r="AZ58" i="3"/>
  <c r="AZ202" i="3"/>
  <c r="AZ170" i="3"/>
  <c r="AZ117" i="3"/>
  <c r="AZ246" i="3"/>
  <c r="AZ242" i="3"/>
  <c r="AZ461" i="3"/>
  <c r="AZ415" i="3"/>
  <c r="AZ399" i="3"/>
  <c r="AA40" i="40"/>
  <c r="S40" i="40"/>
  <c r="AC44" i="39"/>
  <c r="W44" i="39"/>
  <c r="S39" i="37"/>
  <c r="AA39" i="37"/>
  <c r="D39" i="43"/>
  <c r="E19" i="6"/>
  <c r="G27" i="6"/>
  <c r="G31" i="6"/>
  <c r="AZ102" i="3"/>
  <c r="AZ100" i="3"/>
  <c r="AZ89" i="3"/>
  <c r="AZ76" i="3"/>
  <c r="AZ55" i="3"/>
  <c r="AZ186" i="3"/>
  <c r="AA9" i="34"/>
  <c r="S9" i="34"/>
  <c r="AZ214" i="3"/>
  <c r="AZ395" i="3"/>
  <c r="C24" i="43"/>
  <c r="AZ18" i="3"/>
  <c r="AC36" i="35"/>
  <c r="W36" i="35"/>
  <c r="S12" i="34"/>
  <c r="AA12" i="34"/>
  <c r="W45" i="39"/>
  <c r="AC45" i="39"/>
  <c r="AA26" i="33"/>
  <c r="S26" i="33"/>
  <c r="B86" i="77"/>
  <c r="D86" i="77" s="1"/>
  <c r="AZ13" i="3"/>
  <c r="U12" i="36"/>
  <c r="AB12" i="36"/>
  <c r="AC23" i="35"/>
  <c r="W23" i="35"/>
  <c r="C19" i="12"/>
  <c r="F30" i="69"/>
  <c r="F32" i="67"/>
  <c r="F60" i="67" s="1"/>
  <c r="F32" i="15"/>
  <c r="F60" i="15" s="1"/>
  <c r="F28" i="67"/>
  <c r="C28" i="67" s="1"/>
  <c r="F30" i="68"/>
  <c r="F31" i="12"/>
  <c r="F30" i="11"/>
  <c r="F52" i="9"/>
  <c r="F28" i="15"/>
  <c r="AZ28" i="3"/>
  <c r="AQ9" i="1"/>
  <c r="AR11" i="1"/>
  <c r="E59" i="40"/>
  <c r="E30" i="6"/>
  <c r="K15" i="1"/>
  <c r="T9" i="1"/>
  <c r="E16" i="6"/>
  <c r="C4" i="4"/>
  <c r="B4" i="62" s="1"/>
  <c r="B71" i="72" s="1"/>
  <c r="E4" i="4"/>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J53" i="67"/>
  <c r="K53" i="67"/>
  <c r="F70" i="67"/>
  <c r="F51" i="67"/>
  <c r="F68" i="67"/>
  <c r="L59" i="67"/>
  <c r="L58" i="67"/>
  <c r="F71" i="67"/>
  <c r="F66" i="67"/>
  <c r="F50" i="67"/>
  <c r="M7" i="67"/>
  <c r="Q71" i="67"/>
  <c r="F64" i="67"/>
  <c r="C6" i="67"/>
  <c r="F65" i="67"/>
  <c r="C9" i="69"/>
  <c r="L59" i="15"/>
  <c r="Q74" i="15" s="1"/>
  <c r="L58" i="15"/>
  <c r="Q73" i="15" s="1"/>
  <c r="C27" i="15"/>
  <c r="Q71" i="15"/>
  <c r="F64" i="15"/>
  <c r="F51" i="15"/>
  <c r="F65" i="15"/>
  <c r="J57" i="15"/>
  <c r="J55" i="15" s="1"/>
  <c r="J58" i="15" s="1"/>
  <c r="Q50" i="15" s="1"/>
  <c r="L56" i="15"/>
  <c r="F68" i="15"/>
  <c r="F66" i="15"/>
  <c r="C10" i="67"/>
  <c r="AP7" i="1"/>
  <c r="M7" i="1"/>
  <c r="O7" i="1" s="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6" i="67"/>
  <c r="D1" i="43" l="1"/>
  <c r="H39" i="43"/>
  <c r="K6" i="1"/>
  <c r="C7" i="12"/>
  <c r="E27" i="6"/>
  <c r="E3" i="6"/>
  <c r="E86" i="77"/>
  <c r="B97" i="77"/>
  <c r="C86" i="77"/>
  <c r="C9" i="68"/>
  <c r="K4" i="4"/>
  <c r="B46" i="48" s="1"/>
  <c r="B4" i="72" s="1"/>
  <c r="B5" i="62"/>
  <c r="B73" i="72" s="1"/>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36"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6" i="68" s="1"/>
  <c r="E36"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1" i="15"/>
  <c r="Q60" i="15"/>
  <c r="Q60" i="67"/>
  <c r="Q73" i="67"/>
  <c r="Q61" i="67"/>
  <c r="Q74" i="67"/>
  <c r="C49" i="67"/>
  <c r="F1" i="67"/>
  <c r="Q52" i="67"/>
  <c r="D14" i="12"/>
  <c r="F7" i="15"/>
  <c r="F43" i="15"/>
  <c r="M29" i="15"/>
  <c r="F71" i="15" l="1"/>
  <c r="C10" i="15"/>
  <c r="M7" i="15"/>
  <c r="F50" i="15"/>
  <c r="C49" i="15" s="1"/>
  <c r="C6" i="15"/>
  <c r="K24" i="6"/>
  <c r="M24" i="6" s="1"/>
  <c r="I24" i="6" s="1"/>
  <c r="S24" i="6" s="1"/>
  <c r="K21" i="6"/>
  <c r="M21" i="6" s="1"/>
  <c r="I21" i="6" s="1"/>
  <c r="S21" i="6" s="1"/>
  <c r="K22" i="6"/>
  <c r="M22" i="6" s="1"/>
  <c r="I22" i="6" s="1"/>
  <c r="S22" i="6" s="1"/>
  <c r="K25" i="6"/>
  <c r="M25" i="6" s="1"/>
  <c r="I25" i="6" s="1"/>
  <c r="S25" i="6" s="1"/>
  <c r="K20" i="6"/>
  <c r="M20" i="6" s="1"/>
  <c r="I20" i="6" s="1"/>
  <c r="S20" i="6" s="1"/>
  <c r="E31" i="6"/>
  <c r="K26" i="6"/>
  <c r="M26" i="6" s="1"/>
  <c r="I26" i="6" s="1"/>
  <c r="S26" i="6" s="1"/>
  <c r="K19" i="6"/>
  <c r="K23" i="6"/>
  <c r="M23" i="6" s="1"/>
  <c r="I23" i="6" s="1"/>
  <c r="S23" i="6" s="1"/>
  <c r="M6" i="1"/>
  <c r="H16" i="1"/>
  <c r="G16" i="1"/>
  <c r="Q16" i="1"/>
  <c r="K16" i="1"/>
  <c r="D17" i="12"/>
  <c r="C17" i="12" s="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D10" i="11"/>
  <c r="C10" i="11" s="1"/>
  <c r="D19" i="6"/>
  <c r="M19" i="9" s="1"/>
  <c r="C118" i="9" s="1"/>
  <c r="D25" i="6"/>
  <c r="D26" i="6"/>
  <c r="D15" i="6"/>
  <c r="C18" i="4"/>
  <c r="D22" i="6"/>
  <c r="D8" i="6"/>
  <c r="D21" i="6"/>
  <c r="D23" i="6"/>
  <c r="D24" i="6"/>
  <c r="D14" i="6"/>
  <c r="D20" i="6"/>
  <c r="D5" i="6"/>
  <c r="D6" i="6"/>
  <c r="D12" i="6"/>
  <c r="D9" i="6"/>
  <c r="D11" i="6"/>
  <c r="D10" i="6"/>
  <c r="D13" i="6"/>
  <c r="D28" i="6"/>
  <c r="D29" i="6"/>
  <c r="E61" i="40"/>
  <c r="H22" i="6"/>
  <c r="H23" i="6"/>
  <c r="H21" i="6"/>
  <c r="H26" i="6"/>
  <c r="H24" i="6"/>
  <c r="C26" i="12"/>
  <c r="C26" i="68"/>
  <c r="D22" i="68" s="1"/>
  <c r="C44" i="68"/>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50" i="11"/>
  <c r="F50" i="69"/>
  <c r="F50" i="68"/>
  <c r="C13" i="12"/>
  <c r="D10" i="68"/>
  <c r="D20" i="12"/>
  <c r="C16" i="15"/>
  <c r="C5" i="15" l="1"/>
  <c r="C32" i="15" s="1"/>
  <c r="H10" i="40"/>
  <c r="J10" i="40"/>
  <c r="J10" i="39"/>
  <c r="F10" i="40"/>
  <c r="H10" i="39"/>
  <c r="F10" i="39"/>
  <c r="O6" i="1"/>
  <c r="M16" i="1"/>
  <c r="S6" i="1"/>
  <c r="M19" i="6"/>
  <c r="K27" i="6"/>
  <c r="J6" i="15"/>
  <c r="J10" i="15"/>
  <c r="H25" i="6"/>
  <c r="F27" i="69"/>
  <c r="F28" i="12"/>
  <c r="C29" i="12" s="1"/>
  <c r="D28" i="12" s="1"/>
  <c r="F27" i="11"/>
  <c r="F27" i="68"/>
  <c r="D25" i="12"/>
  <c r="E35" i="12"/>
  <c r="D41" i="68"/>
  <c r="R25" i="6"/>
  <c r="L19" i="9"/>
  <c r="R20" i="6"/>
  <c r="C20" i="12"/>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15"/>
  <c r="C38" i="15" l="1"/>
  <c r="J5" i="15"/>
  <c r="C29" i="11"/>
  <c r="D27" i="11" s="1"/>
  <c r="C47" i="11"/>
  <c r="D45" i="11" s="1"/>
  <c r="C28" i="11"/>
  <c r="C27" i="11" s="1"/>
  <c r="C47" i="69"/>
  <c r="D45" i="69" s="1"/>
  <c r="C29" i="69"/>
  <c r="D27" i="69" s="1"/>
  <c r="M27" i="6"/>
  <c r="I19" i="6"/>
  <c r="N16" i="1"/>
  <c r="L16" i="1"/>
  <c r="S10" i="39"/>
  <c r="AA10" i="39"/>
  <c r="AA10" i="40"/>
  <c r="S10" i="40"/>
  <c r="W10" i="40"/>
  <c r="AC10" i="40"/>
  <c r="C31" i="11"/>
  <c r="C29" i="68"/>
  <c r="D27" i="68" s="1"/>
  <c r="C47" i="68"/>
  <c r="AR6" i="1"/>
  <c r="AQ6" i="1"/>
  <c r="E6" i="70"/>
  <c r="T6" i="1"/>
  <c r="P6" i="1"/>
  <c r="P16" i="1" s="1"/>
  <c r="C11" i="12" s="1"/>
  <c r="O16" i="1"/>
  <c r="U10" i="39"/>
  <c r="AB10" i="39"/>
  <c r="W10" i="39"/>
  <c r="AC10" i="39"/>
  <c r="U10" i="40"/>
  <c r="AB10" i="40"/>
  <c r="C18" i="12"/>
  <c r="D31" i="6"/>
  <c r="I5" i="6" s="1"/>
  <c r="R49" i="21"/>
  <c r="C48" i="21" s="1"/>
  <c r="G54" i="34"/>
  <c r="H54" i="34" s="1"/>
  <c r="I53" i="21"/>
  <c r="J53" i="21" s="1"/>
  <c r="C37" i="36"/>
  <c r="C36" i="36"/>
  <c r="G40" i="36"/>
  <c r="H40" i="36" s="1"/>
  <c r="E41" i="36"/>
  <c r="F41" i="36" s="1"/>
  <c r="G41" i="36"/>
  <c r="H41" i="36" s="1"/>
  <c r="C19" i="68"/>
  <c r="D37" i="68"/>
  <c r="I6" i="6"/>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J18" i="15" l="1"/>
  <c r="J24" i="15"/>
  <c r="C11" i="40"/>
  <c r="G3" i="43"/>
  <c r="D45" i="68"/>
  <c r="E54" i="68"/>
  <c r="F34" i="11"/>
  <c r="F11" i="12"/>
  <c r="C14" i="12" s="1"/>
  <c r="F34" i="68"/>
  <c r="C37" i="68" s="1"/>
  <c r="C15" i="12"/>
  <c r="C12" i="12"/>
  <c r="L18" i="9"/>
  <c r="S19" i="6"/>
  <c r="S27" i="6" s="1"/>
  <c r="H19" i="6"/>
  <c r="I27" i="6"/>
  <c r="H11" i="40"/>
  <c r="J11" i="40"/>
  <c r="F11" i="40"/>
  <c r="C49" i="21"/>
  <c r="C24" i="68"/>
  <c r="I63" i="40"/>
  <c r="H65" i="40"/>
  <c r="I70" i="39"/>
  <c r="C16" i="12" l="1"/>
  <c r="C21" i="12" s="1"/>
  <c r="C22" i="12" s="1"/>
  <c r="F22" i="43"/>
  <c r="L101" i="43"/>
  <c r="D101" i="43"/>
  <c r="I101" i="43"/>
  <c r="G22" i="43"/>
  <c r="AH11" i="43"/>
  <c r="AH13" i="43" s="1"/>
  <c r="AD11" i="43"/>
  <c r="AD13" i="43" s="1"/>
  <c r="Z11" i="43"/>
  <c r="Z13" i="43" s="1"/>
  <c r="S5" i="43"/>
  <c r="T5" i="43" s="1"/>
  <c r="V5" i="43" s="1"/>
  <c r="AG11" i="43"/>
  <c r="AG13" i="43" s="1"/>
  <c r="AC11" i="43"/>
  <c r="AC13" i="43" s="1"/>
  <c r="Y11" i="43"/>
  <c r="Y13" i="43" s="1"/>
  <c r="H22" i="43"/>
  <c r="H101" i="43"/>
  <c r="M101" i="43"/>
  <c r="E101" i="43"/>
  <c r="AJ11" i="43"/>
  <c r="AJ13" i="43" s="1"/>
  <c r="AF11" i="43"/>
  <c r="AF13" i="43" s="1"/>
  <c r="AB11" i="43"/>
  <c r="AB13" i="43" s="1"/>
  <c r="Z7" i="43"/>
  <c r="AI11" i="43"/>
  <c r="AI13" i="43" s="1"/>
  <c r="AE11" i="43"/>
  <c r="AE13" i="43" s="1"/>
  <c r="AA11" i="43"/>
  <c r="AA13" i="43" s="1"/>
  <c r="C101" i="43"/>
  <c r="F101" i="43"/>
  <c r="B113" i="43"/>
  <c r="G101" i="43"/>
  <c r="K101" i="43"/>
  <c r="C23" i="43"/>
  <c r="S3" i="43"/>
  <c r="T3" i="43" s="1"/>
  <c r="V3" i="43" s="1"/>
  <c r="N104" i="46"/>
  <c r="E22" i="43"/>
  <c r="J101" i="43"/>
  <c r="N101" i="43"/>
  <c r="S6" i="43"/>
  <c r="T6" i="43" s="1"/>
  <c r="V6" i="43" s="1"/>
  <c r="S4" i="43"/>
  <c r="T4" i="43" s="1"/>
  <c r="V4" i="43" s="1"/>
  <c r="S7" i="43"/>
  <c r="T7" i="43" s="1"/>
  <c r="V7" i="43" s="1"/>
  <c r="R19" i="6"/>
  <c r="H27" i="6"/>
  <c r="C34" i="68"/>
  <c r="C36" i="68"/>
  <c r="C37" i="11"/>
  <c r="C34" i="11"/>
  <c r="C36" i="11"/>
  <c r="AA11" i="40"/>
  <c r="S11" i="40"/>
  <c r="W11" i="40"/>
  <c r="AC11" i="40"/>
  <c r="AB11" i="40"/>
  <c r="U11" i="40"/>
  <c r="J63" i="40"/>
  <c r="I65" i="40"/>
  <c r="J70" i="39"/>
  <c r="C35" i="11" l="1"/>
  <c r="C38" i="11"/>
  <c r="J103" i="43"/>
  <c r="J107" i="43"/>
  <c r="J106" i="43"/>
  <c r="J104" i="43"/>
  <c r="J105" i="43"/>
  <c r="J102" i="43"/>
  <c r="J109" i="43"/>
  <c r="D109" i="43"/>
  <c r="D103" i="43"/>
  <c r="D104" i="43"/>
  <c r="D107" i="43"/>
  <c r="D105" i="43"/>
  <c r="D106" i="43"/>
  <c r="D102" i="43"/>
  <c r="C35" i="68"/>
  <c r="C38" i="68"/>
  <c r="R7" i="1"/>
  <c r="R27" i="6"/>
  <c r="R6" i="1"/>
  <c r="N102" i="43"/>
  <c r="N106" i="43"/>
  <c r="N109" i="43"/>
  <c r="N107" i="43"/>
  <c r="N103" i="43"/>
  <c r="N104" i="43"/>
  <c r="N105" i="43"/>
  <c r="D22" i="43"/>
  <c r="K103" i="43"/>
  <c r="K104" i="43"/>
  <c r="K102" i="43"/>
  <c r="K109" i="43"/>
  <c r="K107" i="43"/>
  <c r="K106" i="43"/>
  <c r="K105" i="43"/>
  <c r="I115" i="43"/>
  <c r="J115" i="43" s="1"/>
  <c r="K115" i="43" s="1"/>
  <c r="L115" i="43" s="1"/>
  <c r="M115" i="43" s="1"/>
  <c r="G118" i="43"/>
  <c r="H118" i="43" s="1"/>
  <c r="I116" i="43"/>
  <c r="J116" i="43" s="1"/>
  <c r="K116" i="43" s="1"/>
  <c r="L116" i="43" s="1"/>
  <c r="M116" i="43" s="1"/>
  <c r="I118" i="43"/>
  <c r="J118" i="43" s="1"/>
  <c r="K118" i="43" s="1"/>
  <c r="L118" i="43" s="1"/>
  <c r="M118" i="43" s="1"/>
  <c r="B116" i="43"/>
  <c r="C116" i="43" s="1"/>
  <c r="B117" i="43"/>
  <c r="C117" i="43" s="1"/>
  <c r="B115" i="43"/>
  <c r="C115" i="43" s="1"/>
  <c r="D113" i="43" s="1"/>
  <c r="J22" i="43" s="1"/>
  <c r="D116" i="43"/>
  <c r="E116" i="43" s="1"/>
  <c r="F116" i="43" s="1"/>
  <c r="G116" i="43" s="1"/>
  <c r="H116" i="43" s="1"/>
  <c r="B118" i="43"/>
  <c r="C118" i="43" s="1"/>
  <c r="D117" i="43"/>
  <c r="E117" i="43" s="1"/>
  <c r="F117" i="43" s="1"/>
  <c r="G117" i="43" s="1"/>
  <c r="H117" i="43" s="1"/>
  <c r="D118" i="43"/>
  <c r="E118" i="43" s="1"/>
  <c r="F118" i="43" s="1"/>
  <c r="I117" i="43"/>
  <c r="J117" i="43" s="1"/>
  <c r="K117" i="43" s="1"/>
  <c r="L117" i="43" s="1"/>
  <c r="M117" i="43" s="1"/>
  <c r="D115" i="43"/>
  <c r="E115" i="43" s="1"/>
  <c r="F115" i="43" s="1"/>
  <c r="G115" i="43" s="1"/>
  <c r="H115" i="43" s="1"/>
  <c r="C104" i="43"/>
  <c r="C107" i="43"/>
  <c r="C102" i="43"/>
  <c r="S2" i="43" s="1"/>
  <c r="T2" i="43" s="1"/>
  <c r="V2" i="43" s="1"/>
  <c r="C109" i="43"/>
  <c r="C106" i="43"/>
  <c r="C103" i="43"/>
  <c r="C105" i="43"/>
  <c r="E104" i="43"/>
  <c r="E107" i="43"/>
  <c r="E105" i="43"/>
  <c r="E109" i="43"/>
  <c r="E102" i="43"/>
  <c r="E106" i="43"/>
  <c r="E103" i="43"/>
  <c r="H107" i="43"/>
  <c r="H106" i="43"/>
  <c r="H105" i="43"/>
  <c r="H102" i="43"/>
  <c r="H103" i="43"/>
  <c r="H104" i="43"/>
  <c r="H109" i="43"/>
  <c r="I109" i="43"/>
  <c r="I102" i="43"/>
  <c r="I106" i="43"/>
  <c r="I103" i="43"/>
  <c r="I104" i="43"/>
  <c r="I107" i="43"/>
  <c r="I105" i="43"/>
  <c r="L109" i="43"/>
  <c r="L102" i="43"/>
  <c r="L105" i="43"/>
  <c r="L104" i="43"/>
  <c r="L106" i="43"/>
  <c r="L107" i="43"/>
  <c r="L103" i="43"/>
  <c r="C21" i="43"/>
  <c r="G103" i="43"/>
  <c r="G107" i="43"/>
  <c r="G106" i="43"/>
  <c r="G105" i="43"/>
  <c r="G102" i="43"/>
  <c r="G104" i="43"/>
  <c r="G109" i="43"/>
  <c r="F102" i="43"/>
  <c r="F109" i="43"/>
  <c r="F106" i="43"/>
  <c r="F104" i="43"/>
  <c r="F105" i="43"/>
  <c r="F107" i="43"/>
  <c r="F103" i="43"/>
  <c r="M109" i="43"/>
  <c r="M104" i="43"/>
  <c r="M107" i="43"/>
  <c r="M105" i="43"/>
  <c r="M102" i="43"/>
  <c r="M106" i="43"/>
  <c r="M103" i="43"/>
  <c r="K63" i="40"/>
  <c r="J65" i="40"/>
  <c r="K70" i="39"/>
  <c r="M21" i="15"/>
  <c r="F35" i="15"/>
  <c r="M21" i="67"/>
  <c r="F35" i="67"/>
  <c r="C33" i="68" l="1"/>
  <c r="C34" i="67"/>
  <c r="F63" i="67"/>
  <c r="C62" i="67" s="1"/>
  <c r="J20" i="67"/>
  <c r="F63" i="15"/>
  <c r="C62" i="15" s="1"/>
  <c r="C34" i="15"/>
  <c r="J20" i="15"/>
  <c r="C33" i="11"/>
  <c r="C29" i="43"/>
  <c r="R16" i="1"/>
  <c r="C42" i="68"/>
  <c r="C39" i="68"/>
  <c r="L63" i="40"/>
  <c r="K65" i="40"/>
  <c r="L70" i="39"/>
  <c r="E2" i="70"/>
  <c r="C34" i="69"/>
  <c r="C17" i="67"/>
  <c r="C30" i="43" l="1"/>
  <c r="E30" i="43" s="1"/>
  <c r="C27" i="43" s="1"/>
  <c r="E29" i="43"/>
  <c r="C26" i="43" s="1"/>
  <c r="C43" i="68"/>
  <c r="C41" i="68" s="1"/>
  <c r="C46" i="68"/>
  <c r="C45" i="68" s="1"/>
  <c r="C42" i="11"/>
  <c r="C39" i="11"/>
  <c r="C43" i="11" s="1"/>
  <c r="M63" i="40"/>
  <c r="L65" i="40"/>
  <c r="M70" i="39"/>
  <c r="C35" i="69"/>
  <c r="C38" i="69"/>
  <c r="D10" i="69"/>
  <c r="E6" i="76"/>
  <c r="C46" i="11" l="1"/>
  <c r="C45" i="11" s="1"/>
  <c r="E2" i="76"/>
  <c r="C49" i="68"/>
  <c r="C51" i="68" s="1"/>
  <c r="E55" i="68"/>
  <c r="E56" i="68" s="1"/>
  <c r="C41" i="11"/>
  <c r="C49" i="11" s="1"/>
  <c r="C51" i="11" s="1"/>
  <c r="B2" i="43"/>
  <c r="N63" i="40"/>
  <c r="M65" i="40"/>
  <c r="O70" i="39"/>
  <c r="N70" i="39"/>
  <c r="D19" i="69"/>
  <c r="C10" i="69"/>
  <c r="C8" i="69" s="1"/>
  <c r="C5" i="69" s="1"/>
  <c r="B6" i="76"/>
  <c r="B2" i="76" l="1"/>
  <c r="B3" i="76" s="1"/>
  <c r="C52" i="11"/>
  <c r="B2" i="11" s="1"/>
  <c r="B3" i="11" s="1"/>
  <c r="B3" i="43"/>
  <c r="O63" i="40"/>
  <c r="O65" i="40" s="1"/>
  <c r="N65" i="40"/>
  <c r="C23" i="69"/>
  <c r="C19" i="69"/>
  <c r="C24" i="69" s="1"/>
  <c r="D37" i="69"/>
  <c r="C37" i="69" s="1"/>
  <c r="C33" i="69" s="1"/>
  <c r="C14" i="67"/>
  <c r="C56" i="11" l="1"/>
  <c r="C57" i="11"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4" i="67"/>
  <c r="C56" i="67"/>
  <c r="C65" i="67" s="1"/>
  <c r="J22" i="67"/>
  <c r="J16" i="67" s="1"/>
  <c r="J25" i="67" s="1"/>
  <c r="C75" i="67"/>
  <c r="C37" i="67"/>
  <c r="C30" i="67" s="1"/>
  <c r="C39" i="67" s="1"/>
  <c r="C48" i="67"/>
  <c r="C60" i="67" s="1"/>
  <c r="AE7" i="1"/>
  <c r="C14" i="15"/>
  <c r="L51" i="67"/>
  <c r="B3" i="40" l="1"/>
  <c r="C7" i="68"/>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M27"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6" i="1"/>
  <c r="AO8" i="1"/>
  <c r="AO7" i="1"/>
  <c r="B3" i="15" l="1"/>
  <c r="C6" i="12" s="1"/>
  <c r="C8" i="12"/>
  <c r="B8" i="70"/>
  <c r="B7" i="70"/>
  <c r="B6" i="70"/>
  <c r="C46" i="15"/>
  <c r="B2" i="69"/>
  <c r="B3" i="69" s="1"/>
  <c r="B2" i="68"/>
  <c r="B3" i="67"/>
  <c r="D2" i="35"/>
  <c r="D2" i="37"/>
  <c r="D2" i="21"/>
  <c r="F20" i="31"/>
  <c r="E2" i="68"/>
  <c r="D2" i="33"/>
  <c r="D2" i="34"/>
  <c r="C19" i="9"/>
  <c r="D2" i="36"/>
  <c r="C4" i="12" l="1"/>
  <c r="C23" i="12" s="1"/>
  <c r="B20" i="31"/>
  <c r="B2" i="36"/>
  <c r="B3" i="36" s="1"/>
  <c r="B2" i="35"/>
  <c r="B3" i="35" s="1"/>
  <c r="B2" i="37"/>
  <c r="B3" i="37" s="1"/>
  <c r="B2" i="34"/>
  <c r="B3" i="34" s="1"/>
  <c r="B2" i="21"/>
  <c r="B3" i="21" s="1"/>
  <c r="B2" i="70"/>
  <c r="B3" i="70" s="1"/>
  <c r="C102" i="9"/>
  <c r="C21" i="9"/>
  <c r="B3" i="68"/>
  <c r="C31" i="12" l="1"/>
  <c r="C30" i="12"/>
  <c r="C28" i="12" s="1"/>
  <c r="C27" i="12"/>
  <c r="C25" i="12" s="1"/>
  <c r="C20" i="9"/>
  <c r="E34" i="12" l="1"/>
  <c r="E36" i="12" s="1"/>
  <c r="C103" i="9"/>
  <c r="C32" i="12"/>
  <c r="B2" i="12" s="1"/>
  <c r="B3" i="12" s="1"/>
  <c r="D34" i="9"/>
  <c r="D19" i="9"/>
  <c r="D102" i="9" l="1"/>
  <c r="D21" i="9"/>
  <c r="G19" i="9"/>
  <c r="D22" i="9"/>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<sst xmlns="http://schemas.openxmlformats.org/spreadsheetml/2006/main" count="7493" uniqueCount="3210">
  <si>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</si>
  <si>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</si>
  <si>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</si>
  <si>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</si>
  <si>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</si>
  <si>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</si>
  <si>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</si>
  <si>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</si>
  <si>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</si>
  <si>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</si>
  <si>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</si>
  <si>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</si>
  <si>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</si>
  <si>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</si>
  <si>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</si>
  <si>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</si>
  <si>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</si>
  <si>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</si>
  <si>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</si>
  <si>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</si>
  <si>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</si>
  <si>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</si>
  <si>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</si>
  <si>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</si>
  <si>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</si>
  <si>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</si>
  <si>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</si>
  <si>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</si>
  <si>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</si>
  <si>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</si>
  <si>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</si>
  <si>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</si>
  <si>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</si>
  <si>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</si>
  <si>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</si>
  <si>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</si>
  <si>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</si>
  <si>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</si>
  <si>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</si>
  <si>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</si>
  <si>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</si>
  <si>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</si>
  <si>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</si>
  <si>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</si>
  <si>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</si>
  <si>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</si>
  <si>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</si>
  <si>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</si>
  <si>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</si>
  <si>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</si>
  <si>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</si>
  <si>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</si>
  <si>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</si>
  <si>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</si>
  <si>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</si>
  <si>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</si>
  <si>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</si>
  <si>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</si>
  <si>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</si>
  <si>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</si>
  <si>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</si>
  <si>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</si>
  <si>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</si>
  <si>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</si>
  <si>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</si>
  <si>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</si>
  <si>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</si>
  <si>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</si>
  <si>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</si>
  <si>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</si>
  <si>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</si>
  <si>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</si>
  <si>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</si>
  <si>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</si>
  <si>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</si>
  <si>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</si>
  <si>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</si>
  <si>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</si>
  <si>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</si>
  <si>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</si>
  <si>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</si>
  <si>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</si>
  <si>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</si>
  <si>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</si>
  <si>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</si>
  <si>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</si>
  <si>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</si>
  <si>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</si>
  <si>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</si>
  <si>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</si>
  <si>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</si>
  <si>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</si>
  <si>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</si>
  <si>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</si>
  <si>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</si>
  <si>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</si>
  <si>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</si>
  <si>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</si>
  <si>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</si>
  <si>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</si>
  <si>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</si>
  <si>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</si>
  <si>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</si>
  <si>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</si>
  <si>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</si>
  <si>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</si>
  <si>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</si>
  <si>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</si>
  <si>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</si>
  <si>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</si>
  <si>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</si>
  <si>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</si>
  <si>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</si>
  <si>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</si>
  <si>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</si>
  <si>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</si>
  <si>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</si>
  <si>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</si>
  <si>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</si>
  <si>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</si>
  <si>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</si>
  <si>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</si>
  <si>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</si>
  <si>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</si>
  <si>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</si>
  <si>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</si>
  <si>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</si>
  <si>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</si>
  <si>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</si>
  <si>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</si>
  <si>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</si>
  <si>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</si>
  <si>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</si>
  <si>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</si>
  <si>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</si>
  <si>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</si>
  <si>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</si>
  <si>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</si>
  <si>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</si>
  <si>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</si>
  <si>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</si>
  <si>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</si>
  <si>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</si>
  <si>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</si>
  <si>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</si>
  <si>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</si>
  <si>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</si>
  <si>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</si>
  <si>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</si>
  <si>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</si>
  <si>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</si>
  <si>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</si>
  <si>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</si>
  <si>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</si>
  <si>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</si>
  <si>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</si>
  <si>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</si>
  <si>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</si>
  <si>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</si>
  <si>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</si>
  <si>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</si>
  <si>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</si>
  <si>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</si>
  <si>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</si>
  <si>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</si>
  <si>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</si>
  <si>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</si>
  <si>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</si>
  <si>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</si>
  <si>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</si>
  <si>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</si>
  <si>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</si>
  <si>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</si>
  <si>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</si>
  <si>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</si>
  <si>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</si>
  <si>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</si>
  <si>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</si>
  <si>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</si>
  <si>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</si>
  <si>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</si>
  <si>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</si>
  <si>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</si>
  <si>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</si>
  <si>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</si>
  <si>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</si>
  <si>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</si>
  <si>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</si>
  <si>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</si>
  <si>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</si>
  <si>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</si>
  <si>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</si>
  <si>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</si>
  <si>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</si>
  <si>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</si>
  <si>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</si>
  <si>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</si>
  <si>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</si>
  <si>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</si>
  <si>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</si>
  <si>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</si>
  <si>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</si>
  <si>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</si>
  <si>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</si>
  <si>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</si>
  <si>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</si>
  <si>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</si>
  <si>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</si>
  <si>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</si>
  <si>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</si>
  <si>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</si>
  <si>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</si>
  <si>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</si>
  <si>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</si>
  <si>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</si>
  <si>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</si>
  <si>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</si>
  <si>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</si>
  <si>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</si>
  <si>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</si>
  <si>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</si>
  <si>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</si>
  <si>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</si>
  <si>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</si>
  <si>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</si>
  <si>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</si>
  <si>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</si>
  <si>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</si>
  <si>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</si>
  <si>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</si>
  <si>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</si>
  <si>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</si>
  <si>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</si>
  <si>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</si>
  <si>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</si>
  <si>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</si>
  <si>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</si>
  <si>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</si>
  <si>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</si>
  <si>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</si>
  <si>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</si>
  <si>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</si>
  <si>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</si>
  <si>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</si>
  <si>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</si>
  <si>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</si>
  <si>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</si>
  <si>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</si>
  <si>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</si>
  <si>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</si>
  <si>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</si>
  <si>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</si>
  <si>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</si>
  <si>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</si>
  <si>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</si>
  <si>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</si>
  <si>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</si>
  <si>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</si>
  <si>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</si>
  <si>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</si>
  <si>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</si>
  <si>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</si>
  <si>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</si>
  <si>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</si>
  <si>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</si>
  <si>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</si>
  <si>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</si>
  <si>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</si>
  <si>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</si>
  <si>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</si>
  <si>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</si>
  <si>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</si>
  <si>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</si>
  <si>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</si>
  <si>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</si>
  <si>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</si>
  <si>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</si>
  <si>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</si>
  <si>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</si>
  <si>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</si>
  <si>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</si>
  <si>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</si>
  <si>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</si>
  <si>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</si>
  <si>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</si>
  <si>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</si>
  <si>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</si>
  <si>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</si>
  <si>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</si>
  <si>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</si>
  <si>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</si>
  <si>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</si>
  <si>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</si>
  <si>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</si>
  <si>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</si>
  <si>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</si>
  <si>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</si>
  <si>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</si>
  <si>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</si>
  <si>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</si>
  <si>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</si>
  <si>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</si>
  <si>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</si>
  <si>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</si>
  <si>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</si>
  <si>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</si>
  <si>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</si>
  <si>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</si>
  <si>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</si>
  <si>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</si>
  <si>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</si>
  <si>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</si>
  <si>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</si>
  <si>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</si>
  <si>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</si>
  <si>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</si>
  <si>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</si>
  <si>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</si>
  <si>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</si>
  <si>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</si>
  <si>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</si>
  <si>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</si>
  <si>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</si>
  <si>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</si>
  <si>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</si>
  <si>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</si>
  <si>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</si>
  <si>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</si>
  <si>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</si>
  <si>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</si>
  <si>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</si>
  <si>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</si>
  <si>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</si>
  <si>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</si>
  <si>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</si>
  <si>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</si>
  <si>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</si>
  <si>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</si>
  <si>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</si>
  <si>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</si>
  <si>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</si>
  <si>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</si>
  <si>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</si>
  <si>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</si>
  <si>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</si>
  <si>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</si>
  <si>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</si>
  <si>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</si>
  <si>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</si>
  <si>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</si>
  <si>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</si>
  <si>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</si>
  <si>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</si>
  <si>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</si>
  <si>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</si>
  <si>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</si>
  <si>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</si>
  <si>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</si>
  <si>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</si>
  <si>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</si>
  <si>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</si>
  <si>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</si>
  <si>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</si>
  <si>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</si>
  <si>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</si>
  <si>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</si>
  <si>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</si>
  <si>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</si>
  <si>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</si>
  <si>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</si>
  <si>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</si>
  <si>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</si>
  <si>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</si>
  <si>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</si>
  <si>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</si>
  <si>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</si>
  <si>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</si>
  <si>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</si>
  <si>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</si>
  <si>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</si>
  <si>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</si>
  <si>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</si>
  <si>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</si>
  <si>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</si>
  <si>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</si>
  <si>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</si>
  <si>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</si>
  <si>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</si>
  <si>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</si>
  <si>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</si>
  <si>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</si>
  <si>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</si>
  <si>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</si>
  <si>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</si>
  <si>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</si>
  <si>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</si>
  <si>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</si>
  <si>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</si>
  <si>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</si>
  <si>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</si>
  <si>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</si>
  <si>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</si>
  <si>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</si>
  <si>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</si>
  <si>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</si>
  <si>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</si>
  <si>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</si>
  <si>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</si>
  <si>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</si>
  <si>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</si>
  <si>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</si>
  <si>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</si>
  <si>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</si>
  <si>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</si>
  <si>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</si>
  <si>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</si>
  <si>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</si>
  <si>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</si>
  <si>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</si>
  <si>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</si>
  <si>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</si>
  <si>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</si>
  <si>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</si>
  <si>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</si>
  <si>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</si>
  <si>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</si>
  <si>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</si>
  <si>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</si>
  <si>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</si>
  <si>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</si>
  <si>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</si>
  <si>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</si>
  <si>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</si>
  <si>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</si>
  <si>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</si>
  <si>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</si>
  <si>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</si>
  <si>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</si>
  <si>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</si>
  <si>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</si>
  <si>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</si>
  <si>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</si>
  <si>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</si>
  <si>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</si>
  <si>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</si>
  <si>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</si>
  <si>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</si>
  <si>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</si>
  <si>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</si>
  <si>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</si>
  <si>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</si>
  <si>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</si>
  <si>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</si>
  <si>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</si>
  <si>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</si>
  <si>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</si>
  <si>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</si>
  <si>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</si>
  <si>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</si>
  <si>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</si>
  <si>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</si>
  <si>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</si>
  <si>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</si>
  <si>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</si>
  <si>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</si>
  <si>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</si>
  <si>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</si>
  <si>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</si>
  <si>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</si>
  <si>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</si>
  <si>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</si>
  <si>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</si>
  <si>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</si>
  <si>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</si>
  <si>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</si>
  <si>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</si>
  <si>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</si>
  <si>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</si>
  <si>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</si>
  <si>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</si>
  <si>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</si>
  <si>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</si>
  <si>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</si>
  <si>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</si>
  <si>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</si>
  <si>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</si>
  <si>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</si>
  <si>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</si>
  <si>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</si>
  <si>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</si>
  <si>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</si>
  <si>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</si>
  <si>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</si>
  <si>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</si>
  <si>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</si>
  <si>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</si>
  <si>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</si>
  <si>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</si>
  <si>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</si>
  <si>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</si>
  <si>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</si>
  <si>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</si>
  <si>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</si>
  <si>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</si>
  <si>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</si>
  <si>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</si>
  <si>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</si>
  <si>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</si>
  <si>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</si>
  <si>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</si>
  <si>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</si>
  <si>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</si>
  <si>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</si>
  <si>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</si>
  <si>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</si>
  <si>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</si>
  <si>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</si>
  <si>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</si>
  <si>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</si>
  <si>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</si>
  <si>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</si>
  <si>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</si>
  <si>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</si>
  <si>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</si>
  <si>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</si>
  <si>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</si>
  <si>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</si>
  <si>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</si>
  <si>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</si>
  <si>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</si>
  <si>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</si>
  <si>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</si>
  <si>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</si>
  <si>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</si>
  <si>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</si>
  <si>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</si>
  <si>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</si>
  <si>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</si>
  <si>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</si>
  <si>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</si>
  <si>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</si>
  <si>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</si>
  <si>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</si>
  <si>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</si>
  <si>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</si>
  <si>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</si>
  <si>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</si>
  <si>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</si>
  <si>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</si>
  <si>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</si>
  <si>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</si>
  <si>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</si>
  <si>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</si>
  <si>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</si>
  <si>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</si>
  <si>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</si>
  <si>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</si>
  <si>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</si>
  <si>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</si>
  <si>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</si>
  <si>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</si>
  <si>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</si>
  <si>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</si>
  <si>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</si>
  <si>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</si>
  <si>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</si>
  <si>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</si>
  <si>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</si>
  <si>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</si>
  <si>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</si>
  <si>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</si>
  <si>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</si>
  <si>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</si>
  <si>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</si>
  <si>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</si>
  <si>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</si>
  <si>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</si>
  <si>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</si>
  <si>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</si>
  <si>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</si>
  <si>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</si>
  <si>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</si>
  <si>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</si>
  <si>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</si>
  <si>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</si>
  <si>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</si>
  <si>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</si>
  <si>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</si>
  <si>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</si>
  <si>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</si>
  <si>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</si>
  <si>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</si>
  <si>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</si>
  <si>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</si>
  <si>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</si>
  <si>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</si>
  <si>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</si>
  <si>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</si>
  <si>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</si>
  <si>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</si>
  <si>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</si>
  <si>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</si>
  <si>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</si>
  <si>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</si>
  <si>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</si>
  <si>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</si>
  <si>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</si>
  <si>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</si>
  <si>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</si>
  <si>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</si>
  <si>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</si>
  <si>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</si>
  <si>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</si>
  <si>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</si>
  <si>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</si>
  <si>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</si>
  <si>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</si>
  <si>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</si>
  <si>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</si>
  <si>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</si>
  <si>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</si>
  <si>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</si>
  <si>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</si>
  <si>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</si>
  <si>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</si>
  <si>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</si>
  <si>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</si>
  <si>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</si>
  <si>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</si>
  <si>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</si>
  <si>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</si>
  <si>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</si>
  <si>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</si>
  <si>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</si>
  <si>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</si>
  <si>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</si>
  <si>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</si>
  <si>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</si>
  <si>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</si>
  <si>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</si>
  <si>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</si>
  <si>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</si>
  <si>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</si>
  <si>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</si>
  <si>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</si>
  <si>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</si>
  <si>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</si>
  <si>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</si>
  <si>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</si>
  <si>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</si>
  <si>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</si>
  <si>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</si>
  <si>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</si>
  <si>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</si>
  <si>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</si>
  <si>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</si>
  <si>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</si>
  <si>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</si>
  <si>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</si>
  <si>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</si>
  <si>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</si>
  <si>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</si>
  <si>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</si>
  <si>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</si>
  <si>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</si>
  <si>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</si>
  <si>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</si>
  <si>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</si>
  <si>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</si>
  <si>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</si>
  <si>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</si>
  <si>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</si>
  <si>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</si>
  <si>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</si>
  <si>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</si>
  <si>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</si>
  <si>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</si>
  <si>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</si>
  <si>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</si>
  <si>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</si>
  <si>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</si>
  <si>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</si>
  <si>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</si>
  <si>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</si>
  <si>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</si>
  <si>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</si>
  <si>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</si>
  <si>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</si>
  <si>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</si>
  <si>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</si>
  <si>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</si>
  <si>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</si>
  <si>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</si>
  <si>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</si>
  <si>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</si>
  <si>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</si>
  <si>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</si>
  <si>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</si>
  <si>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</si>
  <si>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</si>
  <si>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</si>
  <si>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</si>
  <si>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</si>
  <si>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</si>
  <si>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</si>
  <si>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</si>
  <si>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</si>
  <si>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</si>
  <si>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</si>
  <si>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</si>
  <si>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</si>
  <si>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</si>
  <si>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</si>
  <si>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</si>
  <si>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</si>
  <si>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</si>
  <si>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</si>
  <si>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</si>
  <si>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</si>
  <si>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</si>
  <si>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</si>
  <si>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</si>
  <si>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</si>
  <si>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</si>
  <si>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</si>
  <si>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</si>
  <si>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</si>
  <si>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</si>
  <si>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</si>
  <si>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</si>
  <si>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</si>
  <si>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</si>
  <si>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</si>
  <si>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</si>
  <si>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</si>
  <si>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</si>
  <si>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</si>
  <si>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</si>
  <si>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</si>
  <si>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</si>
  <si>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</si>
  <si>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</si>
  <si>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</si>
  <si>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</si>
  <si>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</si>
  <si>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</si>
  <si>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</si>
  <si>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</si>
  <si>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</si>
  <si>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</si>
  <si>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</si>
  <si>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</si>
  <si>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</si>
  <si>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</si>
  <si>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</si>
  <si>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</si>
  <si>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</si>
  <si>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</si>
  <si>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</si>
  <si>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</si>
  <si>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</si>
  <si>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</si>
  <si>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</si>
  <si>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</si>
  <si>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</si>
  <si>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</si>
  <si>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</si>
  <si>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</si>
  <si>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</si>
  <si>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</si>
  <si>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</si>
  <si>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</si>
  <si>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</si>
  <si>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</si>
  <si>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</si>
  <si>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</si>
  <si>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</si>
  <si>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</si>
  <si>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</si>
  <si>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</si>
  <si>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</si>
  <si>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</si>
  <si>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</si>
  <si>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</si>
  <si>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</si>
  <si>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</si>
  <si>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</si>
  <si>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</si>
  <si>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</si>
  <si>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</si>
  <si>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</si>
  <si>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</si>
  <si>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</si>
  <si>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</si>
  <si>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</si>
  <si>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</si>
  <si>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</si>
  <si>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</si>
  <si>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</si>
  <si>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</si>
  <si>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</si>
  <si>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</si>
  <si>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</si>
  <si>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</si>
  <si>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</si>
  <si>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</si>
  <si>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</si>
  <si>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</si>
  <si>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</si>
  <si>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</si>
  <si>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</si>
  <si>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</si>
  <si>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</si>
  <si>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</si>
  <si>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</si>
  <si>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</si>
  <si>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</si>
  <si>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</si>
  <si>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</si>
  <si>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</si>
  <si>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</si>
  <si>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</si>
  <si>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</si>
  <si>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</si>
  <si>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</si>
  <si>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</si>
  <si>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</si>
  <si>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</si>
  <si>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</si>
  <si>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</si>
  <si>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</si>
  <si>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</si>
  <si>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</si>
  <si>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</si>
  <si>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</si>
  <si>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</si>
  <si>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</si>
  <si>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</si>
  <si>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</si>
  <si>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</si>
  <si>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</si>
  <si>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</si>
  <si>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</si>
  <si>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</si>
  <si>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</si>
  <si>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</si>
  <si>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</si>
  <si>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</si>
  <si>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</si>
  <si>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</si>
  <si>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</si>
  <si>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</si>
  <si>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</si>
  <si>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</si>
  <si>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</si>
  <si>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</si>
  <si>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</si>
  <si>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</si>
  <si>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</si>
  <si>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</si>
  <si>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</si>
  <si>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</si>
  <si>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</si>
  <si>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</si>
  <si>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</si>
  <si>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</si>
  <si>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</si>
  <si>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</si>
  <si>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</si>
  <si>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</si>
  <si>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</si>
  <si>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</si>
  <si>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</si>
  <si>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</si>
  <si>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</si>
  <si>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</si>
  <si>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</si>
  <si>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</si>
  <si>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</si>
  <si>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</si>
  <si>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</si>
  <si>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</si>
  <si>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</si>
  <si>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</si>
  <si>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</si>
  <si>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</si>
  <si>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</si>
  <si>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</si>
  <si>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</si>
  <si>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</si>
  <si>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</si>
  <si>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</si>
  <si>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</si>
  <si>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</si>
  <si>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</si>
  <si>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</si>
  <si>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</si>
  <si>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</si>
  <si>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</si>
  <si>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</si>
  <si>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</si>
  <si>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</si>
  <si>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</si>
  <si>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</si>
  <si>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</si>
  <si>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</si>
  <si>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</si>
  <si>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</si>
  <si>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</si>
  <si>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</si>
  <si>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</si>
  <si>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</si>
  <si>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</si>
  <si>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</si>
  <si>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</si>
  <si>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</si>
  <si>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</si>
  <si>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</si>
  <si>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</si>
  <si>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</si>
  <si>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</si>
  <si>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</si>
  <si>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</si>
  <si>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</si>
  <si>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</si>
  <si>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</si>
  <si>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</si>
  <si>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</si>
  <si>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</si>
  <si>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</si>
  <si>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</si>
  <si>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</si>
  <si>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</si>
  <si>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</si>
  <si>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</si>
  <si>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</si>
  <si>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</si>
  <si>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</si>
  <si>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</si>
  <si>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</si>
  <si>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</si>
  <si>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</si>
  <si>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</si>
  <si>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</si>
  <si>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</si>
  <si>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</si>
  <si>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</si>
  <si>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</si>
  <si>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</si>
  <si>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</si>
  <si>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</si>
  <si>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</si>
  <si>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</si>
  <si>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</si>
  <si>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</si>
  <si>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</si>
  <si>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</si>
  <si>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</si>
  <si>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</si>
  <si>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</si>
  <si>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</si>
  <si>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</si>
  <si>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</si>
  <si>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</si>
  <si>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</si>
  <si>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</si>
  <si>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</si>
  <si>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</si>
  <si>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</si>
  <si>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</si>
  <si>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</si>
  <si>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</si>
  <si>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</si>
  <si>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</si>
  <si>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</si>
  <si>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</si>
  <si>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</si>
  <si>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</si>
  <si>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</si>
  <si>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</si>
  <si>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</si>
  <si>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</si>
  <si>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</si>
  <si>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</si>
  <si>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</si>
  <si>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</si>
  <si>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</si>
  <si>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</si>
  <si>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</si>
  <si>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</si>
  <si>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</si>
  <si>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</si>
  <si>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</si>
  <si>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</si>
  <si>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</si>
  <si>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</si>
  <si>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</si>
  <si>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</si>
  <si>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</si>
  <si>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</si>
  <si>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</si>
  <si>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</si>
  <si>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</si>
  <si>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</si>
  <si>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</si>
  <si>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</si>
  <si>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</si>
  <si>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</si>
  <si>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</si>
  <si>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</si>
  <si>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</si>
  <si>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</si>
  <si>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</si>
  <si>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</si>
  <si>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</si>
  <si>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</si>
  <si>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</si>
  <si>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</si>
  <si>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</si>
  <si>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</si>
  <si>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</si>
  <si>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</si>
  <si>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</si>
  <si>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</si>
  <si>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</si>
  <si>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</si>
  <si>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</si>
  <si>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</si>
  <si>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</si>
  <si>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</si>
  <si>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</si>
  <si>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</si>
  <si>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</si>
  <si>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</si>
  <si>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</si>
  <si>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</si>
  <si>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</si>
  <si>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</si>
  <si>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</si>
  <si>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</si>
  <si>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</si>
  <si>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</si>
  <si>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</si>
  <si>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</si>
  <si>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</si>
  <si>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</si>
  <si>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</si>
  <si>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</si>
  <si>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</si>
  <si>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</si>
  <si>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</si>
  <si>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</si>
  <si>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</si>
  <si>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</si>
  <si>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</si>
  <si>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</si>
  <si>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</si>
  <si>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</si>
  <si>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</si>
  <si>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</si>
  <si>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</si>
  <si>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</si>
  <si>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</si>
  <si>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</si>
  <si>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</si>
  <si>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</si>
  <si>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</si>
  <si>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</si>
  <si>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</si>
  <si>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</si>
  <si>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</si>
  <si>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</si>
  <si>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</si>
  <si>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</si>
  <si>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</si>
  <si>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</si>
  <si>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</si>
  <si>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</si>
  <si>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</si>
  <si>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</si>
  <si>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</si>
  <si>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</si>
  <si>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</si>
  <si>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</si>
  <si>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</si>
  <si>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</si>
  <si>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</si>
  <si>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</si>
  <si>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</si>
  <si>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</si>
  <si>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</si>
  <si>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</si>
  <si>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</si>
  <si>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</si>
  <si>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</si>
  <si>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</si>
  <si>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</si>
  <si>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</si>
  <si>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</si>
  <si>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</si>
  <si>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</si>
  <si>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</si>
  <si>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</si>
  <si>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</si>
  <si>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</si>
  <si>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</si>
  <si>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</si>
  <si>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</si>
  <si>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</si>
  <si>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</si>
  <si>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</si>
  <si>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</si>
  <si>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</si>
  <si>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</si>
  <si>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</si>
  <si>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</si>
  <si>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</si>
  <si>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</si>
  <si>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</si>
  <si>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</si>
  <si>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</si>
  <si>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</si>
  <si>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</si>
  <si>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</si>
  <si>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</si>
  <si>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</si>
  <si>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</si>
  <si>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</si>
  <si>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</si>
  <si>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</si>
  <si>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</si>
  <si>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</si>
  <si>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</si>
  <si>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</si>
  <si>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</si>
  <si>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</si>
  <si>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</si>
  <si>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</si>
  <si>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</si>
  <si>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</si>
  <si>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</si>
  <si>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</si>
  <si>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</si>
  <si>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</si>
  <si>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</si>
  <si>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</si>
  <si>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</si>
  <si>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</si>
  <si>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</si>
  <si>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</si>
  <si>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</si>
  <si>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</si>
  <si>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</si>
  <si>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</si>
  <si>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</si>
  <si>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</si>
  <si>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</si>
  <si>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</si>
  <si>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</si>
  <si>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</si>
  <si>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</si>
  <si>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</si>
  <si>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</si>
  <si>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</si>
  <si>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</si>
  <si>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</si>
  <si>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</si>
  <si>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</si>
  <si>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</si>
  <si>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</si>
  <si>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</si>
  <si>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</si>
  <si>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</si>
  <si>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</si>
  <si>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</si>
  <si>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</si>
  <si>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</si>
  <si>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</si>
  <si>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</si>
  <si>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</si>
  <si>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</si>
  <si>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</si>
  <si>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</si>
  <si>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</si>
  <si>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</si>
  <si>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</si>
  <si>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</si>
  <si>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</si>
  <si>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</si>
  <si>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</si>
  <si>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</si>
  <si>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</si>
  <si>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</si>
  <si>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</si>
  <si>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</si>
  <si>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</si>
  <si>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</si>
  <si>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</si>
  <si>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</si>
  <si>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</si>
  <si>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</si>
  <si>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</si>
  <si>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</si>
  <si>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</si>
  <si>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</si>
  <si>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</si>
  <si>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</si>
  <si>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</si>
  <si>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</si>
  <si>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</si>
  <si>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</si>
  <si>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</si>
  <si>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</si>
  <si>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</si>
  <si>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</si>
  <si>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</si>
  <si>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</si>
  <si>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</si>
  <si>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</si>
  <si>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</si>
  <si>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</si>
  <si>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</si>
  <si>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</si>
  <si>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</si>
  <si>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</si>
  <si>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</si>
  <si>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</si>
  <si>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</si>
  <si>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</si>
  <si>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</si>
  <si>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</si>
  <si>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</si>
  <si>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</si>
  <si>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</si>
  <si>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</si>
  <si>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</si>
  <si>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</si>
  <si>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</si>
  <si>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</si>
  <si>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</si>
  <si>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</si>
  <si>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</si>
  <si>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</si>
  <si>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</si>
  <si>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</si>
  <si>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</si>
  <si>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</si>
  <si>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</si>
  <si>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</si>
  <si>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</si>
  <si>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</si>
  <si>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</si>
  <si>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</si>
  <si>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</si>
  <si>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</si>
  <si>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</si>
  <si>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</si>
  <si>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</si>
  <si>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</si>
  <si>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</si>
  <si>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</si>
  <si>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</si>
  <si>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</si>
  <si>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</si>
  <si>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</si>
  <si>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</si>
  <si>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</si>
  <si>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</si>
  <si>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</si>
  <si>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</si>
  <si>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</si>
  <si>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</si>
  <si>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</si>
  <si>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</si>
  <si>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</si>
  <si>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</si>
  <si>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</si>
  <si>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</si>
  <si>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</si>
  <si>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</si>
  <si>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</si>
  <si>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</si>
  <si>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</si>
  <si>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</si>
  <si>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</si>
  <si>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</si>
  <si>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</si>
  <si>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</si>
  <si>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</si>
  <si>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</si>
  <si>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</si>
  <si>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</si>
  <si>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</si>
  <si>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</si>
  <si>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</si>
  <si>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</si>
  <si>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</si>
  <si>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</si>
  <si>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</si>
  <si>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</si>
  <si>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</si>
  <si>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</si>
  <si>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</si>
  <si>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</si>
  <si>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</si>
  <si>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</si>
  <si>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</si>
  <si>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</si>
  <si>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</si>
  <si>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</si>
  <si>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</si>
  <si>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</si>
  <si>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</si>
  <si>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</si>
  <si>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</si>
  <si>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</si>
  <si>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</si>
  <si>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</si>
  <si>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</si>
  <si>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</si>
  <si>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</si>
  <si>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</si>
  <si>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</si>
  <si>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</si>
  <si>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</si>
  <si>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</si>
  <si>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</si>
  <si>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</si>
  <si>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</si>
  <si>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</si>
  <si>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</si>
  <si>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</si>
  <si>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</si>
  <si>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</si>
  <si>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</si>
  <si>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</si>
  <si>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</si>
  <si>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</si>
  <si>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</si>
  <si>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</si>
  <si>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</si>
  <si>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</si>
  <si>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</si>
  <si>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</si>
  <si>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</si>
  <si>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</si>
  <si>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</si>
  <si>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</si>
  <si>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</si>
  <si>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</si>
  <si>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</si>
  <si>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</si>
  <si>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</si>
  <si>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</si>
  <si>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</si>
  <si>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</si>
  <si>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</si>
  <si>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</si>
  <si>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</si>
  <si>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</si>
  <si>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</si>
  <si>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</si>
  <si>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</si>
  <si>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</si>
  <si>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</si>
  <si>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</si>
  <si>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</si>
  <si>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</si>
  <si>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</si>
  <si>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</si>
  <si>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</si>
  <si>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</si>
  <si>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</si>
  <si>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</si>
  <si>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</si>
  <si>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</si>
  <si>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</si>
  <si>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</si>
  <si>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</si>
  <si>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</si>
  <si>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</si>
  <si>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</si>
  <si>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</si>
  <si>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</si>
  <si>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</si>
  <si>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</si>
  <si>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</si>
  <si>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</si>
  <si>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</si>
  <si>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</si>
  <si>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</si>
  <si>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</si>
  <si>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</si>
  <si>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</si>
  <si>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</si>
  <si>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</si>
  <si>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</si>
  <si>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</si>
  <si>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</si>
  <si>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</si>
  <si>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</si>
  <si>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</si>
  <si>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</si>
  <si>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</si>
  <si>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</si>
  <si>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</si>
  <si>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</si>
  <si>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</si>
  <si>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</si>
  <si>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</si>
  <si>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</si>
  <si>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</si>
  <si>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</si>
  <si>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</si>
  <si>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</si>
  <si>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</si>
  <si>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</si>
  <si>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</si>
  <si>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</si>
  <si>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</si>
  <si>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</si>
  <si>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</si>
  <si>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</si>
  <si>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</si>
  <si>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</si>
  <si>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</si>
  <si>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</si>
  <si>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</si>
  <si>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</si>
  <si>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</si>
  <si>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</si>
  <si>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</si>
  <si>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</si>
  <si>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</si>
  <si>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</si>
  <si>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</si>
  <si>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</si>
  <si>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</si>
  <si>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</si>
  <si>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</si>
  <si>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</si>
  <si>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</si>
  <si>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</si>
  <si>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</si>
  <si>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</si>
  <si>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</si>
  <si>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</si>
  <si>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</si>
  <si>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</si>
  <si>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</si>
  <si>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</si>
  <si>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</si>
  <si>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</si>
  <si>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</si>
  <si>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</si>
  <si>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</si>
  <si>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</si>
  <si>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</si>
  <si>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</si>
  <si>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</si>
  <si>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</si>
  <si>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</si>
  <si>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</si>
  <si>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</si>
  <si>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</si>
  <si>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</si>
  <si>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</si>
  <si>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</si>
  <si>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</si>
  <si>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</si>
  <si>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</si>
  <si>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</si>
  <si>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</si>
  <si>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</si>
  <si>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</si>
  <si>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</si>
  <si>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</si>
  <si>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</si>
  <si>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</si>
  <si>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</si>
  <si>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</si>
  <si>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</si>
  <si>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</si>
  <si>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</si>
  <si>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</si>
  <si>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</si>
  <si>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</si>
  <si>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</si>
  <si>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</si>
  <si>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</si>
  <si>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</si>
  <si>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</si>
  <si>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</si>
  <si>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</si>
  <si>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</si>
  <si>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</si>
  <si>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</si>
  <si>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</si>
  <si>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</si>
  <si>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</si>
  <si>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</si>
  <si>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</si>
  <si>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</si>
  <si>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</si>
  <si>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</si>
  <si>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</si>
  <si>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</si>
  <si>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</si>
  <si>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</si>
  <si>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</si>
  <si>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</si>
  <si>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</si>
  <si>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</si>
  <si>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</si>
  <si>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</si>
  <si>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</si>
  <si>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</si>
  <si>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</si>
  <si>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</si>
  <si>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</si>
  <si>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</si>
  <si>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</si>
  <si>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</si>
  <si>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</si>
  <si>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</si>
  <si>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</si>
  <si>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</si>
  <si>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</si>
  <si>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</si>
  <si>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</si>
  <si>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</si>
  <si>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</si>
  <si>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</si>
  <si>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</si>
  <si>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</si>
  <si>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</si>
  <si>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</si>
  <si>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</si>
  <si>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</si>
  <si>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</si>
  <si>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</si>
  <si>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</si>
  <si>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</si>
  <si>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</si>
  <si>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</si>
  <si>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</si>
  <si>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</si>
  <si>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</si>
  <si>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</si>
  <si>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</si>
  <si>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</si>
  <si>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</si>
  <si>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</si>
  <si>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</si>
  <si>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</si>
  <si>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</si>
  <si>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</si>
  <si>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</si>
  <si>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</si>
  <si>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</si>
  <si>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</si>
  <si>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</si>
  <si>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</si>
  <si>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</si>
  <si>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</si>
  <si>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</si>
  <si>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</si>
  <si>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</si>
  <si>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</si>
  <si>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</si>
  <si>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</si>
  <si>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</si>
  <si>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</si>
  <si>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</si>
  <si>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</si>
  <si>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</si>
  <si>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</si>
  <si>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</si>
  <si>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</si>
  <si>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</si>
  <si>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</si>
  <si>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</si>
  <si>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</si>
  <si>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</si>
  <si>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</si>
  <si>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</si>
  <si>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</si>
  <si>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</si>
  <si>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</si>
  <si>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</si>
  <si>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</si>
  <si>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</si>
  <si>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</si>
  <si>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</si>
  <si>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</si>
  <si>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</si>
  <si>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</si>
  <si>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</si>
  <si>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</si>
  <si>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</si>
  <si>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</si>
  <si>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</si>
  <si>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</si>
  <si>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</si>
  <si>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</si>
  <si>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</si>
  <si>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</si>
  <si>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</si>
  <si>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</si>
  <si>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</si>
  <si>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</si>
  <si>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</si>
  <si>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</si>
  <si>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</si>
  <si>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</si>
  <si>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</si>
  <si>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</si>
  <si>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</si>
  <si>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</si>
  <si>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</si>
  <si>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</si>
  <si>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</si>
  <si>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</si>
  <si>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</si>
  <si>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</si>
  <si>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</si>
  <si>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</si>
  <si>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</si>
  <si>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</si>
  <si>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</si>
  <si>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</si>
  <si>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</si>
  <si>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</si>
  <si>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</si>
  <si>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</si>
  <si>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</si>
  <si>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</si>
  <si>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</si>
  <si>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</si>
  <si>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</si>
  <si>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</si>
  <si>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</si>
  <si>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</si>
  <si>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</si>
  <si>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</si>
  <si>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</si>
  <si>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</si>
  <si>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</si>
  <si>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</si>
  <si>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</si>
  <si>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</si>
  <si>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</si>
  <si>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</si>
  <si>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</si>
  <si>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</si>
  <si>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</si>
  <si>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</si>
  <si>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</si>
  <si>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</si>
  <si>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</si>
  <si>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</si>
  <si>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</si>
  <si>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</si>
  <si>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</si>
  <si>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</si>
  <si>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</si>
  <si>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</si>
  <si>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</si>
  <si>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</si>
  <si>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</si>
  <si>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</si>
  <si>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</si>
  <si>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</si>
  <si>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</si>
  <si>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</si>
  <si>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</si>
  <si>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</si>
  <si>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</si>
  <si>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</si>
  <si>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</si>
  <si>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</si>
  <si>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</si>
  <si>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</si>
  <si>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</si>
  <si>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</si>
  <si>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</si>
  <si>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</si>
  <si>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</si>
  <si>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</si>
  <si>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</si>
  <si>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</si>
  <si>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</si>
  <si>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</si>
  <si>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</si>
  <si>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</si>
  <si>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</si>
  <si>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</si>
  <si>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</si>
  <si>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</si>
  <si>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</si>
  <si>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</si>
  <si>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</si>
  <si>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</si>
  <si>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</si>
  <si>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</si>
  <si>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</si>
  <si>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</si>
  <si>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</si>
  <si>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</si>
  <si>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</si>
  <si>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</si>
  <si>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</si>
  <si>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</si>
  <si>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</si>
  <si>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</si>
  <si>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</si>
  <si>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</si>
  <si>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</si>
  <si>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</si>
  <si>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</si>
  <si>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</si>
  <si>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</si>
  <si>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</si>
  <si>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</si>
  <si>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</si>
  <si>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</si>
  <si>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</si>
  <si>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</si>
  <si>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</si>
  <si>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</si>
  <si>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</si>
  <si>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</si>
  <si>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</si>
  <si>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</si>
  <si>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</si>
  <si>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</si>
  <si>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</si>
  <si>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</si>
  <si>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</si>
  <si>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</si>
  <si>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</si>
  <si>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</si>
  <si>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</si>
  <si>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</si>
  <si>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</si>
  <si>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</si>
  <si>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</si>
  <si>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</si>
  <si>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</si>
  <si>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</si>
  <si>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</si>
  <si>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</si>
  <si>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</si>
  <si>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</si>
  <si>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</si>
  <si>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</si>
  <si>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</si>
  <si>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</si>
  <si>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</si>
  <si>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</si>
  <si>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</si>
  <si>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</si>
  <si>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</si>
  <si>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</si>
  <si>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</si>
  <si>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</si>
  <si>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</si>
  <si>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</si>
  <si>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</si>
  <si>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</si>
  <si>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</si>
  <si>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</si>
  <si>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</si>
  <si>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</si>
  <si>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</si>
  <si>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</si>
  <si>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</si>
  <si>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</si>
  <si>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</si>
  <si>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</si>
  <si>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</si>
  <si>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</si>
  <si>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</si>
  <si>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</si>
  <si>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</si>
  <si>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</si>
  <si>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</si>
  <si>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</si>
  <si>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</si>
  <si>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</si>
  <si>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</si>
  <si>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</si>
  <si>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</si>
  <si>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</si>
  <si>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</si>
  <si>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</si>
  <si>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</si>
  <si>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</si>
  <si>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</si>
  <si>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</si>
  <si>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</si>
  <si>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</si>
  <si>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</si>
  <si>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</si>
  <si>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</si>
  <si>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</si>
  <si>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</si>
  <si>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</si>
  <si>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</si>
  <si>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</si>
  <si>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</si>
  <si>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</si>
  <si>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</si>
  <si>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</si>
  <si>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</si>
  <si>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</si>
  <si>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</si>
  <si>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</si>
  <si>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</si>
  <si>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</si>
  <si>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</si>
  <si>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</si>
  <si>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</si>
  <si>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</si>
  <si>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</si>
  <si>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</si>
  <si>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</si>
  <si>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</si>
  <si>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</si>
  <si>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</si>
  <si>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</si>
  <si>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</si>
  <si>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</si>
  <si>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</si>
  <si>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</si>
  <si>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</si>
  <si>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</si>
  <si>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</si>
  <si>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</si>
  <si>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</si>
  <si>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</si>
  <si>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</si>
  <si>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</si>
  <si>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</si>
  <si>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</si>
  <si>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</si>
  <si>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</si>
  <si>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</si>
  <si>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</si>
  <si>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</si>
  <si>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</si>
  <si>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</si>
  <si>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</si>
  <si>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</si>
  <si>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</si>
  <si>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</si>
  <si>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</si>
  <si>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</si>
  <si>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</si>
  <si>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</si>
  <si>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</si>
  <si>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</si>
  <si>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</si>
  <si>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</si>
  <si>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</si>
  <si>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</si>
  <si>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</si>
  <si>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</si>
  <si>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</si>
  <si>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</si>
  <si>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</si>
  <si>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</si>
  <si>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</si>
  <si>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</si>
  <si>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</si>
  <si>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</si>
  <si>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</si>
  <si>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</si>
  <si>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</si>
  <si>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</si>
  <si>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</si>
  <si>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</si>
  <si>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</si>
  <si>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</si>
  <si>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</si>
  <si>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</si>
  <si>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</si>
  <si>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</si>
  <si>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</si>
  <si>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</si>
  <si>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</si>
  <si>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</si>
  <si>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</si>
  <si>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</si>
  <si>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</si>
  <si>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</si>
  <si>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</si>
  <si>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</si>
  <si>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</si>
  <si>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</si>
  <si>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</si>
  <si>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</si>
  <si>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</si>
  <si>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</si>
  <si>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</si>
  <si>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</si>
  <si>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</si>
  <si>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</si>
  <si>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</si>
  <si>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</si>
  <si>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</si>
  <si>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</si>
  <si>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</si>
  <si>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</si>
  <si>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</si>
  <si>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</si>
  <si>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</si>
  <si>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</si>
  <si>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</si>
  <si>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</si>
  <si>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</si>
  <si>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</si>
  <si>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</si>
  <si>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</si>
  <si>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</si>
  <si>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</si>
  <si>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</si>
  <si>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</si>
  <si>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</si>
  <si>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</si>
  <si>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</si>
  <si>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</si>
  <si>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</si>
  <si>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</si>
  <si>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</si>
  <si>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</si>
  <si>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</si>
  <si>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</si>
  <si>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</si>
  <si>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</si>
  <si>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</si>
  <si>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</si>
  <si>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</si>
  <si>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</si>
  <si>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</si>
  <si>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</si>
  <si>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</si>
  <si>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</si>
  <si>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</si>
  <si>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</si>
  <si>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</si>
  <si>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</si>
  <si>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</si>
  <si>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</si>
  <si>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</si>
  <si>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</si>
  <si>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</si>
  <si>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</si>
  <si>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</si>
  <si>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</si>
  <si>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</si>
  <si>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</si>
  <si>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</si>
  <si>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</si>
  <si>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</si>
  <si>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</si>
  <si>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</si>
  <si>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</si>
  <si>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</si>
  <si>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</si>
  <si>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</si>
  <si>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</si>
  <si>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</si>
  <si>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</si>
  <si>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</si>
  <si>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</si>
  <si>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</si>
  <si>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</si>
  <si>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</si>
  <si>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</si>
  <si>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</si>
  <si>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</si>
  <si>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</si>
  <si>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</si>
  <si>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</si>
  <si>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</si>
  <si>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</si>
  <si>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</si>
  <si>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</si>
  <si>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</si>
  <si>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</si>
  <si>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</si>
  <si>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</si>
  <si>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</si>
  <si>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</si>
  <si>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</si>
  <si>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</si>
  <si>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</si>
  <si>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</si>
  <si>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</si>
  <si>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</si>
  <si>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</si>
  <si>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</si>
  <si>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</si>
  <si>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</si>
  <si>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</si>
  <si>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</si>
  <si>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</si>
  <si>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</si>
  <si>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</si>
  <si>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</si>
  <si>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</si>
  <si>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</si>
  <si>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</si>
  <si>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</si>
  <si>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</si>
  <si>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</si>
  <si>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</si>
  <si>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</si>
  <si>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</si>
  <si>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</si>
  <si>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</si>
  <si>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</si>
  <si>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</si>
  <si>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</si>
  <si>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</si>
  <si>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</si>
  <si>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</si>
  <si>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</si>
  <si>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</si>
  <si>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</si>
  <si>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</si>
  <si>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</si>
  <si>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</si>
  <si>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</si>
  <si>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</si>
  <si>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</si>
  <si>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</si>
  <si>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</si>
  <si>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</si>
  <si>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</si>
  <si>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</si>
  <si>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</si>
  <si>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</si>
  <si>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</si>
  <si>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</si>
  <si>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</si>
  <si>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</si>
  <si>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</si>
  <si>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</si>
  <si>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</si>
  <si>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</si>
  <si>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</si>
  <si>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</si>
  <si>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</si>
  <si>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</si>
  <si>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</si>
  <si>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</si>
  <si>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</si>
  <si>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</si>
  <si>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</si>
  <si>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</si>
  <si>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</si>
  <si>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</si>
  <si>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</si>
  <si>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</si>
  <si>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</si>
  <si>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</si>
  <si>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</si>
  <si>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</si>
  <si>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</si>
  <si>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</si>
  <si>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</si>
  <si>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</si>
  <si>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</si>
  <si>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</si>
  <si>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</si>
  <si>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</si>
  <si>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</si>
  <si>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</si>
  <si>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</si>
  <si>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</si>
  <si>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</si>
  <si>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</si>
  <si>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</si>
  <si>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</si>
  <si>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</si>
  <si>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</si>
  <si>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</si>
  <si>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</si>
  <si>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</si>
  <si>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</si>
  <si>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</si>
  <si>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</si>
  <si>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</si>
  <si>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</si>
  <si>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</si>
  <si>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</si>
  <si>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</si>
  <si>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</si>
  <si>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</si>
  <si>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</si>
  <si>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</si>
  <si>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</si>
  <si>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</si>
  <si>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</si>
  <si>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</si>
  <si>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</si>
  <si>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</si>
  <si>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</si>
  <si>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</si>
  <si>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</si>
  <si>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</si>
  <si>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</si>
  <si>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</si>
  <si>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</si>
  <si>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</si>
  <si>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</si>
  <si>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</si>
  <si>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</si>
  <si>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</si>
  <si>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</si>
  <si>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</si>
  <si>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</si>
  <si>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</si>
  <si>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</si>
  <si>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</si>
  <si>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</si>
  <si>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</si>
  <si>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</si>
  <si>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</si>
  <si>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</si>
  <si>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</si>
  <si>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</si>
  <si>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</si>
  <si>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</si>
  <si>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</si>
  <si>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</si>
  <si>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</si>
  <si>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</si>
  <si>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</si>
  <si>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</si>
  <si>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</si>
  <si>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</si>
  <si>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</si>
  <si>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</si>
  <si>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</si>
  <si>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</si>
  <si>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</si>
  <si>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</si>
  <si>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</si>
  <si>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</si>
  <si>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</si>
  <si>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</si>
  <si>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</si>
  <si>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</si>
  <si>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</si>
  <si>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</si>
  <si>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</si>
  <si>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</si>
  <si>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</si>
  <si>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</si>
  <si>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</si>
  <si>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</si>
  <si>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</si>
  <si>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</si>
  <si>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</si>
  <si>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</si>
  <si>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</si>
  <si>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</si>
  <si>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</si>
  <si>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</si>
  <si>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</si>
  <si>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</si>
  <si>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</si>
  <si>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</si>
  <si>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</si>
  <si>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</si>
  <si>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</si>
  <si>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</si>
  <si>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</si>
  <si>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</si>
  <si>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</si>
  <si>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</si>
  <si>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</si>
  <si>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</si>
  <si>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</si>
  <si>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</si>
  <si>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</si>
  <si>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</si>
  <si>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</si>
  <si>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</si>
  <si>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</si>
  <si>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</si>
  <si>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</si>
  <si>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</si>
  <si>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</si>
  <si>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</si>
  <si>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</si>
  <si>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</si>
  <si>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</si>
  <si>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</si>
  <si>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</si>
  <si>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</si>
  <si>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</si>
  <si>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</si>
  <si>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</si>
  <si>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</si>
  <si>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</si>
  <si>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</si>
  <si>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</si>
  <si>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</si>
  <si>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</si>
  <si>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</si>
  <si>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</si>
  <si>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</si>
  <si>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</si>
  <si>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</si>
  <si>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</si>
  <si>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</si>
  <si>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</si>
  <si>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</si>
  <si>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</si>
  <si>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</si>
  <si>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</si>
  <si>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</si>
  <si>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</si>
  <si>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</si>
  <si>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</si>
  <si>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</si>
  <si>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</si>
  <si>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</si>
  <si>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</si>
  <si>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</si>
  <si>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</si>
  <si>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</si>
  <si>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</si>
  <si>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</si>
  <si>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</si>
  <si>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</si>
  <si>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</si>
  <si>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</si>
  <si>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</si>
  <si>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</si>
  <si>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</si>
  <si>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</si>
  <si>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</si>
  <si>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</si>
  <si>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</si>
  <si>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</si>
  <si>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</si>
  <si>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</si>
  <si>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</si>
  <si>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</si>
  <si>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</si>
  <si>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</si>
  <si>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</si>
  <si>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</si>
  <si>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</si>
  <si>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</si>
  <si>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</si>
  <si>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</si>
  <si>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</si>
  <si>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</si>
  <si>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</si>
  <si>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</si>
  <si>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</si>
  <si>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</si>
  <si>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</si>
  <si>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</si>
  <si>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</si>
  <si>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</si>
  <si>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</si>
  <si>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</si>
  <si>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</si>
  <si>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</si>
  <si>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</si>
  <si>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</si>
  <si>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</si>
  <si>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</si>
  <si>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</si>
  <si>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</si>
  <si>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</si>
  <si>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</si>
  <si>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</si>
  <si>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</si>
  <si>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</si>
  <si>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</si>
  <si>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</si>
  <si>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</si>
  <si>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</si>
  <si>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</si>
  <si>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</si>
  <si>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</si>
  <si>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</si>
  <si>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</si>
  <si>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</si>
  <si>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</si>
  <si>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</si>
  <si>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</si>
  <si>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</si>
  <si>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</si>
  <si>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</si>
  <si>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</si>
  <si>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</si>
  <si>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</si>
  <si>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</si>
  <si>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</si>
  <si>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</si>
  <si>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</si>
  <si>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</si>
  <si>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</si>
  <si>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</si>
  <si>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</si>
  <si>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</si>
  <si>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</si>
  <si>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</si>
  <si>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</si>
  <si>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</si>
  <si>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</si>
  <si>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</si>
  <si>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</si>
  <si>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</si>
  <si>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</si>
  <si>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</si>
  <si>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</si>
  <si>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</si>
  <si>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</si>
  <si>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</si>
  <si>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</si>
  <si>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</si>
  <si>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</si>
  <si>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</si>
  <si>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</si>
  <si>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</si>
  <si>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</si>
  <si>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</si>
  <si>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</si>
  <si>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</si>
  <si>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</si>
  <si>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</si>
  <si>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</si>
  <si>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</si>
  <si>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</si>
  <si>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</si>
  <si>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</si>
  <si>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</si>
  <si>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</si>
  <si>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</si>
  <si>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</si>
  <si>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</si>
  <si>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</si>
  <si>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</si>
  <si>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</si>
  <si>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</si>
  <si>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</si>
  <si>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</si>
  <si>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</si>
  <si>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</si>
  <si>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</si>
  <si>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</si>
  <si>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</si>
  <si>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</si>
  <si>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</si>
  <si>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</si>
  <si>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</si>
  <si>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</si>
  <si>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</si>
  <si>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</si>
  <si>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</si>
  <si>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</si>
  <si>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</si>
  <si>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</si>
  <si>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</si>
  <si>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</si>
  <si>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</si>
  <si>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</si>
  <si>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</si>
  <si>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</si>
  <si>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</si>
  <si>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</si>
  <si>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</si>
  <si>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</si>
  <si>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</si>
  <si>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</si>
  <si>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</si>
  <si>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</si>
  <si>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</si>
  <si>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</si>
  <si>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</si>
  <si>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</si>
  <si>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</si>
  <si>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</si>
  <si>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</si>
  <si>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</si>
  <si>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</si>
  <si>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</si>
  <si>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</si>
  <si>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</si>
  <si>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</si>
  <si>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</si>
  <si>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</si>
  <si>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</si>
  <si>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</si>
  <si>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</si>
  <si>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</si>
  <si>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</si>
  <si>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</si>
  <si>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</si>
  <si>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</si>
  <si>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</si>
  <si>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</si>
  <si>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</si>
  <si>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</si>
  <si>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</si>
  <si>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</si>
  <si>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</si>
  <si>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</si>
  <si>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</si>
  <si>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</si>
  <si>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</si>
  <si>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</si>
  <si>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</si>
  <si>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</si>
  <si>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</si>
  <si>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</si>
  <si>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</si>
  <si>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</si>
  <si>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</si>
  <si>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</si>
  <si>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</si>
  <si>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</si>
  <si>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</si>
  <si>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</si>
  <si>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</si>
  <si>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</si>
  <si>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</si>
  <si>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</si>
  <si>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</si>
  <si>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</si>
  <si>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</si>
  <si>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</si>
  <si>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</si>
  <si>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</si>
  <si>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</si>
  <si>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</si>
  <si>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</si>
  <si>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</si>
  <si>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</si>
  <si>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</si>
  <si>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</si>
  <si>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</si>
  <si>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</si>
  <si>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</si>
  <si>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</si>
  <si>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</si>
  <si>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</si>
  <si>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</si>
  <si>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</si>
  <si>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</si>
  <si>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</si>
  <si>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</si>
  <si>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</si>
  <si>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</si>
  <si>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</si>
  <si>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</si>
  <si>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</si>
  <si>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</si>
  <si>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</si>
  <si>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</si>
  <si>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</si>
  <si>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</si>
  <si>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</si>
  <si>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</si>
  <si>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</si>
  <si>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</si>
  <si>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</si>
  <si>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</si>
  <si>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</si>
  <si>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</si>
  <si>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</si>
  <si>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</si>
  <si>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</si>
  <si>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</si>
  <si>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</si>
  <si>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</si>
  <si>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</si>
  <si>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</si>
  <si>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</si>
  <si>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</si>
  <si>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</si>
  <si>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</si>
  <si>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</si>
  <si>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</si>
  <si>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</si>
  <si>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</si>
  <si>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</si>
  <si>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</si>
  <si>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</si>
  <si>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</si>
  <si>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</si>
  <si>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</si>
  <si>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</si>
  <si>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</si>
  <si>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</si>
  <si>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</si>
  <si>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</si>
  <si>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</si>
  <si>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</si>
  <si>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</si>
  <si>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</si>
  <si>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</si>
  <si>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</si>
  <si>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</si>
  <si>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</si>
  <si>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</si>
  <si>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</si>
  <si>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</si>
  <si>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</si>
  <si>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</si>
  <si>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</si>
  <si>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</si>
  <si>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</si>
  <si>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</si>
  <si>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</si>
  <si>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</si>
  <si>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</si>
  <si>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</si>
  <si>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</si>
  <si>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</si>
  <si>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</si>
  <si>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</si>
  <si>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</si>
  <si>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</si>
  <si>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</si>
  <si>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</si>
  <si>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</si>
  <si>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</si>
  <si>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</si>
  <si>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</si>
  <si>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</si>
  <si>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</si>
  <si>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</si>
  <si>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</si>
  <si>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</si>
  <si>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</si>
  <si>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</si>
  <si>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</si>
  <si>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</si>
  <si>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</si>
  <si>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</si>
  <si>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</si>
  <si>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</si>
  <si>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</si>
  <si>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</si>
  <si>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</si>
  <si>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</si>
  <si>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</si>
  <si>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</si>
  <si>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</si>
  <si>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</si>
  <si>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</si>
  <si>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</si>
  <si>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</si>
  <si>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</si>
  <si>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</si>
  <si>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</si>
  <si>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</si>
  <si>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</si>
  <si>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</si>
  <si>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</si>
  <si>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</si>
  <si>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</si>
  <si>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</si>
  <si>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</si>
  <si>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</si>
  <si>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</si>
  <si>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</si>
  <si>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</si>
  <si>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</si>
  <si>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</si>
  <si>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</si>
  <si>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</si>
  <si>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</si>
  <si>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</si>
  <si>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</si>
  <si>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</si>
  <si>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</si>
  <si>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</si>
  <si>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</si>
  <si>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</si>
  <si>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</si>
  <si>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</si>
  <si>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</si>
  <si>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</si>
  <si>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</si>
  <si>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</si>
  <si>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</si>
  <si>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</si>
  <si>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</si>
  <si>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</si>
  <si>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</si>
  <si>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</si>
  <si>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</si>
  <si>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</si>
  <si>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</si>
  <si>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</si>
  <si>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</si>
  <si>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</si>
  <si>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</si>
  <si>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</si>
  <si>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</si>
  <si>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</si>
  <si>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</si>
  <si>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</si>
  <si>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</si>
  <si>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</si>
  <si>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</si>
  <si>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</si>
  <si>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</si>
  <si>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</si>
  <si>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</si>
  <si>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</si>
  <si>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</si>
  <si>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</si>
  <si>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</si>
  <si>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</si>
  <si>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</si>
  <si>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</si>
  <si>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</si>
  <si>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</si>
  <si>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</si>
  <si>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</si>
  <si>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</si>
  <si>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</si>
  <si>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</si>
  <si>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</si>
  <si>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</si>
  <si>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</si>
  <si>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</si>
  <si>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</si>
  <si>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</si>
  <si>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</si>
  <si>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</si>
  <si>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</si>
  <si>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</si>
  <si>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</si>
  <si>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</si>
  <si>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</si>
  <si>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</si>
  <si>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</si>
  <si>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</si>
  <si>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</si>
  <si>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</si>
  <si>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</si>
  <si>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</si>
  <si>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</si>
  <si>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</si>
  <si>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</si>
  <si>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</si>
  <si>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</si>
  <si>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</si>
  <si>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</si>
  <si>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</si>
  <si>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</si>
  <si>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</si>
  <si>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</si>
  <si>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</si>
  <si>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</si>
  <si>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</si>
  <si>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</si>
  <si>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</si>
  <si>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</si>
  <si>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</si>
  <si>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</si>
  <si>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</si>
  <si>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</si>
  <si>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</si>
  <si>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</si>
  <si>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</si>
  <si>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</si>
  <si>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</si>
  <si>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</si>
  <si>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</si>
  <si>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</si>
  <si>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</si>
  <si>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</si>
  <si>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</si>
  <si>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</si>
  <si>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</si>
  <si>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</si>
  <si>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</si>
  <si>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</si>
  <si>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</si>
  <si>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</si>
  <si>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</si>
  <si>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</si>
  <si>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</si>
  <si>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</si>
  <si>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</si>
  <si>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</si>
  <si>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</si>
  <si>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</si>
  <si>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</si>
  <si>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</si>
  <si>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</si>
  <si>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</si>
  <si>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</si>
  <si>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</si>
  <si>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</si>
  <si>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</si>
  <si>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</si>
  <si>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</si>
  <si>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</si>
  <si>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</si>
  <si>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</si>
  <si>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</si>
  <si>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</si>
  <si>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</si>
  <si>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</si>
  <si>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</si>
  <si>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</si>
  <si>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</si>
  <si>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</si>
  <si>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</si>
  <si>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</si>
  <si>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</si>
  <si>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</si>
  <si>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</si>
  <si>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</si>
  <si>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</si>
  <si>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</si>
  <si>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</si>
  <si>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</si>
  <si>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</si>
  <si>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</si>
  <si>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</si>
  <si>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</si>
  <si>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</si>
  <si>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</si>
  <si>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</si>
  <si>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</si>
  <si>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</si>
  <si>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</si>
  <si>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</si>
  <si>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</si>
  <si>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</si>
  <si>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</si>
  <si>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</si>
  <si>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</si>
  <si>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</si>
  <si>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</si>
  <si>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</si>
  <si>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</si>
  <si>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</si>
  <si>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</si>
  <si>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</si>
  <si>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</si>
  <si>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</si>
  <si>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</si>
  <si>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</si>
  <si>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</si>
  <si>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</si>
  <si>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</si>
  <si>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</si>
  <si>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</si>
  <si>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</si>
  <si>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</si>
  <si>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</si>
  <si>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</si>
  <si>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</si>
  <si>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</si>
  <si>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</si>
  <si>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</si>
  <si>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</si>
  <si>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</si>
  <si>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</si>
  <si>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</si>
  <si>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</si>
  <si>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</si>
  <si>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</si>
  <si>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</si>
  <si>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</si>
  <si>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</si>
  <si>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</si>
  <si>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</si>
  <si>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</si>
  <si>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</si>
  <si>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</si>
  <si>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</si>
  <si>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</si>
  <si>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</si>
  <si>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</si>
  <si>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</si>
  <si>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</si>
  <si>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</si>
  <si>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</si>
  <si>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</si>
  <si>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</si>
  <si>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</si>
  <si>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</si>
  <si>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</si>
  <si>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</si>
  <si>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</si>
  <si>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</si>
  <si>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</si>
  <si>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</si>
  <si>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</si>
  <si>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</si>
  <si>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</si>
  <si>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</si>
  <si>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</si>
  <si>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</si>
  <si>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</si>
  <si>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</si>
  <si>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</si>
  <si>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</si>
  <si>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</si>
  <si>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</si>
  <si>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</si>
  <si>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</si>
  <si>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</si>
  <si>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</si>
  <si>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</si>
  <si>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</si>
  <si>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</si>
  <si>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</si>
  <si>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</si>
  <si>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</si>
  <si>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</si>
  <si>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</si>
  <si>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</si>
  <si>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</si>
  <si>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</si>
  <si>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</si>
  <si>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</si>
  <si>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</si>
  <si>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</si>
  <si>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</si>
  <si>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</si>
  <si>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</si>
  <si>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</si>
  <si>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</si>
  <si>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</si>
  <si>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</si>
  <si>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</si>
  <si>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</si>
  <si>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</si>
  <si>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</si>
  <si>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</si>
  <si>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</si>
  <si>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</si>
  <si>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</si>
  <si>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</si>
  <si>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</si>
  <si>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</si>
  <si>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</si>
  <si>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</si>
  <si>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</si>
  <si>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</si>
  <si>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</si>
  <si>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</si>
  <si>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</si>
  <si>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</si>
  <si>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</si>
  <si>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</si>
  <si>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</si>
  <si>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</si>
  <si>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</si>
  <si>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</si>
  <si>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</si>
  <si>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</si>
  <si>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</si>
  <si>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</si>
  <si>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</si>
  <si>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</si>
  <si>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</si>
  <si>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</si>
  <si>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</si>
  <si>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</si>
  <si>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</si>
  <si>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</si>
  <si>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</si>
  <si>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</si>
  <si>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</si>
  <si>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</si>
  <si>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</si>
  <si>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</si>
  <si>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</si>
  <si>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</si>
  <si>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</si>
  <si>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</si>
  <si>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</si>
  <si>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</si>
  <si>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</si>
  <si>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</si>
  <si>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</si>
  <si>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</si>
  <si>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</si>
  <si>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</si>
  <si>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</si>
  <si>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</si>
  <si>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</si>
  <si>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</si>
  <si>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</si>
  <si>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</si>
  <si>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</si>
  <si>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</si>
  <si>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</si>
  <si>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</si>
  <si>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</si>
  <si>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</si>
  <si>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</si>
  <si>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</si>
  <si>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</si>
  <si>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</si>
  <si>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</si>
  <si>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</si>
  <si>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</si>
  <si>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</si>
  <si>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</si>
  <si>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</si>
  <si>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</si>
  <si>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</si>
  <si>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</si>
  <si>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</si>
  <si>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</si>
  <si>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</si>
  <si>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</si>
  <si>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</si>
  <si>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</si>
  <si>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</si>
  <si>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</si>
  <si>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</si>
  <si>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</si>
  <si>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</si>
  <si>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</si>
  <si>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</si>
  <si>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</si>
  <si>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</si>
  <si>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</si>
  <si>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</si>
  <si>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</si>
  <si>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</si>
  <si>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</si>
  <si>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</si>
  <si>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</si>
  <si>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</si>
  <si>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</si>
  <si>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</si>
  <si>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</si>
  <si>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</si>
  <si>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</si>
  <si>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</si>
  <si>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</si>
  <si>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</si>
  <si>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</si>
  <si>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</si>
  <si>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</si>
  <si>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</si>
  <si>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</si>
  <si>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</si>
  <si>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</si>
  <si>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</si>
  <si>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</si>
  <si>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</si>
  <si>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</si>
  <si>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</si>
  <si>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</si>
  <si>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</si>
  <si>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</si>
  <si>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</si>
  <si>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</si>
  <si>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</si>
  <si>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</si>
  <si>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</si>
  <si>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</si>
  <si>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</si>
  <si>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</si>
  <si>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</si>
  <si>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</si>
  <si>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</si>
  <si>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</si>
  <si>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</si>
  <si>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</si>
  <si>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</si>
  <si>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</si>
  <si>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</si>
  <si>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</si>
  <si>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</si>
  <si>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</si>
  <si>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</si>
  <si>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</si>
  <si>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</si>
  <si>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</si>
  <si>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</si>
  <si>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</si>
  <si>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</si>
  <si>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</si>
  <si>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</si>
  <si>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</si>
  <si>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</si>
  <si>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</si>
  <si>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</si>
  <si>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</si>
  <si>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</si>
  <si>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</si>
  <si>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</si>
  <si>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</si>
  <si>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</si>
  <si>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</si>
  <si>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</si>
  <si>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</si>
  <si>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</si>
  <si>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</si>
  <si>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</si>
  <si>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</si>
  <si>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</si>
  <si>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</si>
  <si>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</si>
  <si>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</si>
  <si>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</si>
  <si>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</si>
  <si>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</si>
  <si>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</si>
  <si>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</si>
  <si>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</si>
  <si>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</si>
  <si>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</si>
  <si>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</si>
  <si>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</si>
  <si>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</si>
  <si>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</si>
  <si>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</si>
  <si>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</si>
  <si>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</si>
  <si>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</si>
  <si>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</si>
  <si>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</si>
  <si>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</si>
  <si>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</si>
  <si>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</si>
  <si>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</si>
  <si>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</si>
  <si>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</si>
  <si>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</si>
  <si>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</si>
  <si>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</si>
  <si>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</si>
  <si>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</si>
  <si>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</si>
  <si>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</si>
  <si>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</si>
  <si>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</si>
  <si>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</si>
  <si>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</si>
  <si>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</si>
  <si>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</si>
  <si>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</si>
  <si>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</si>
  <si>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</si>
  <si>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</si>
  <si>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</si>
  <si>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</si>
  <si>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</si>
  <si>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</si>
  <si>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</si>
  <si>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</si>
  <si>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</si>
  <si>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</si>
  <si>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</si>
  <si>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</si>
  <si>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</si>
  <si>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梁津</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</si>
  <si>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</si>
  <si>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</si>
  <si>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</si>
  <si>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</si>
  <si>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</si>
  <si>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</si>
  <si>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</si>
  <si>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</si>
  <si>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</si>
  <si>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</si>
  <si>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</si>
  <si>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</si>
  <si>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</si>
  <si>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</si>
  <si>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</si>
  <si>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</si>
  <si>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</si>
  <si>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</si>
  <si>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</si>
  <si>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</si>
  <si>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</si>
  <si>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</si>
  <si>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</si>
  <si>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</si>
  <si>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</si>
  <si>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</si>
  <si>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</si>
  <si>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</si>
  <si>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</si>
  <si>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</si>
  <si>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</si>
  <si>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</si>
  <si>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</si>
  <si>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</si>
  <si>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</si>
  <si>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</si>
  <si>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</si>
  <si>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</si>
  <si>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</si>
  <si>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</si>
  <si>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</si>
  <si>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</si>
  <si>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</si>
  <si>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</si>
  <si>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</si>
  <si>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</si>
  <si>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</si>
  <si>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</si>
  <si>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</si>
  <si>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</si>
  <si>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</si>
  <si>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</si>
  <si>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</si>
  <si>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</si>
  <si>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</si>
  <si>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</si>
  <si>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</si>
  <si>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</si>
  <si>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</si>
  <si>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</si>
  <si>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</si>
  <si>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</si>
  <si>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</si>
  <si>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</si>
  <si>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</si>
  <si>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</si>
  <si>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</si>
  <si>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</si>
  <si>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</si>
  <si>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</si>
  <si>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</si>
  <si>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</si>
  <si>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</si>
  <si>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</si>
  <si>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</si>
  <si>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</si>
  <si>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</si>
  <si>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</si>
  <si>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</si>
  <si>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</si>
  <si>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</si>
  <si>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</si>
  <si>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</si>
  <si>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</si>
  <si>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</si>
  <si>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</si>
  <si>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</si>
  <si>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</si>
  <si>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</si>
  <si>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</si>
  <si>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</si>
  <si>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</si>
  <si>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</si>
  <si>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</si>
  <si>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</si>
  <si>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</si>
  <si>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</si>
  <si>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</si>
  <si>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</si>
  <si>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</si>
  <si>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</si>
  <si>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</si>
  <si>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</si>
  <si>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</si>
  <si>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</si>
  <si>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</si>
  <si>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</si>
  <si>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</si>
  <si>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</si>
  <si>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</si>
  <si>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</si>
  <si>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</si>
  <si>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</si>
  <si>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</si>
  <si>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</si>
  <si>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</si>
  <si>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</si>
  <si>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（分摊）土地面积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</si>
  <si>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</si>
  <si>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</si>
  <si>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</si>
  <si>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</si>
  <si>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</si>
  <si>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</si>
  <si>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</si>
  <si>
    <t>工业用地</t>
  </si>
  <si>
    <t>估价对象容积率</t>
  </si>
  <si>
    <t>不临58条商业街</t>
  </si>
  <si>
    <t>容积率修正</t>
  </si>
  <si>
    <t>有</t>
  </si>
  <si>
    <t>七通一平</t>
  </si>
  <si>
    <t>一致</t>
  </si>
  <si>
    <t>一般</t>
  </si>
  <si>
    <t>好</t>
  </si>
  <si>
    <t>按租金收入计税</t>
  </si>
  <si>
    <t>地价指数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</si>
</sst>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49998474074526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7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9" fontId="0" fillId="16" borderId="0" xfId="13" applyFont="1" applyFill="1">
      <alignment vertical="center"/>
    </xf>
    <xf numFmtId="10" fontId="132" fillId="0" borderId="0" xfId="13" applyNumberFormat="1"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ColWidth="9" defaultRowHeight="15.6"/>
  <cols>
    <col min="1" max="1" width="35.6640625" style="3052" customWidth="1"/>
    <col min="2" max="2" width="81" style="3069" customWidth="1"/>
    <col min="3" max="16384" width="9" style="3067"/>
  </cols>
  <sheetData>
    <row r="1" spans="1:2" s="3055" customFormat="1" ht="16.2" thickBot="1">
      <c r="A1" s="3054" t="s">
        <v>2792</v>
      </c>
      <c r="B1" s="3053" t="s">
        <v>2881</v>
      </c>
    </row>
    <row r="2" spans="1:2" s="3058" customFormat="1" ht="16.2" thickTop="1">
      <c r="A2" s="3056" t="s">
        <v>2793</v>
      </c>
      <c r="B2" s="3057" t="str">
        <f>'预评函-封皮'!B37:I37</f>
        <v>北京市北京市经济开发区路东区E6街区EM6-1地块出让国有建设用地使用权及在建建筑物房地产抵押价值预评估</v>
      </c>
    </row>
    <row r="3" spans="1:2" s="3061" customFormat="1">
      <c r="A3" s="3059" t="s">
        <v>2794</v>
      </c>
      <c r="B3" s="3060" t="str">
        <f>'预评函-封皮'!B40</f>
        <v>北京小米电子产品有限公司</v>
      </c>
    </row>
    <row r="4" spans="1:2" s="3061" customFormat="1">
      <c r="A4" s="3059" t="s">
        <v>2795</v>
      </c>
      <c r="B4" s="3060" t="str">
        <f ca="1">'预评函-封皮'!B46</f>
        <v>欧红伟（注册号：1120000080)、梁津（注册号：1119970066)</v>
      </c>
    </row>
    <row r="5" spans="1:2" s="3055" customFormat="1" ht="16.2" thickBot="1">
      <c r="A5" s="3062" t="s">
        <v>2796</v>
      </c>
      <c r="B5" s="3063" t="str">
        <f>'预评函-封皮'!B49</f>
        <v>康正预评字号</v>
      </c>
    </row>
    <row r="6" spans="1:2" s="3058" customFormat="1" ht="16.2" thickTop="1">
      <c r="A6" s="3056" t="s">
        <v>2797</v>
      </c>
      <c r="B6" s="3057" t="str">
        <f>'预评函-1'!A4</f>
        <v>受贵公司委托，我公司对北京市北京市经济开发区路东区E6街区EM6-1地块出让国有建设用地使用权及在建建筑物房地产抵押价值进行了预评估。</v>
      </c>
    </row>
    <row r="7" spans="1:2" s="3061" customFormat="1">
      <c r="A7" s="3059" t="s">
        <v>2837</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为估价委托人在向中国农业银行股份有限公司办理贷款手续过程中，确定房地产抵押贷款额度提供参考依据而评估房地产抵押价值。</v>
      </c>
    </row>
    <row r="12" spans="1:2" s="3061" customFormat="1">
      <c r="A12" s="3059" t="s">
        <v>2799</v>
      </c>
      <c r="B12" s="3060" t="str">
        <f>'预评函-1'!A15</f>
        <v>2018年10月12日（评估专业人员实地查勘之日）</v>
      </c>
    </row>
    <row r="13" spans="1:2" s="3061" customFormat="1">
      <c r="A13" s="3059" t="s">
        <v>2800</v>
      </c>
      <c r="B13" s="3060" t="str">
        <f>'预评函-1'!A18</f>
        <v>本次估价的“房地产价值”是指在正常市场情况下，在价值时点2018年10月12日，估价对象规划用途为办公楼、厂房、地下车库，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
      </c>
    </row>
    <row r="18" spans="1:2" s="3055" customFormat="1" ht="16.2" thickBot="1">
      <c r="A18" s="3062" t="s">
        <v>2805</v>
      </c>
      <c r="B18" s="3063" t="str">
        <f>'预评函-1'!A24</f>
        <v>本次评估采用的主估价方法为成本法和假设开发法。</v>
      </c>
    </row>
    <row r="19" spans="1:2" s="3058" customFormat="1" ht="16.2"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65546</v>
      </c>
    </row>
    <row r="21" spans="1:2" s="3061" customFormat="1">
      <c r="A21" s="3059" t="s">
        <v>2808</v>
      </c>
      <c r="B21" s="3060">
        <f ca="1">'预评函-2'!D7</f>
        <v>3701</v>
      </c>
    </row>
    <row r="22" spans="1:2" s="3061" customFormat="1">
      <c r="A22" s="3059" t="s">
        <v>2809</v>
      </c>
      <c r="B22" s="3060" t="str">
        <f ca="1">'预评函-2'!D6</f>
        <v>陆亿伍仟伍佰肆拾陆万元整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65546</v>
      </c>
    </row>
    <row r="31" spans="1:2" s="3061" customFormat="1">
      <c r="A31" s="3059" t="s">
        <v>2848</v>
      </c>
      <c r="B31" s="3060">
        <f ca="1">'预评函-2'!D15</f>
        <v>3701</v>
      </c>
    </row>
    <row r="32" spans="1:2" s="3061" customFormat="1">
      <c r="A32" s="3059" t="s">
        <v>2814</v>
      </c>
      <c r="B32" s="3060" t="str">
        <f ca="1">'预评函-2'!D14</f>
        <v>陆亿伍仟伍佰肆拾陆万元整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v>
      </c>
    </row>
    <row r="38" spans="1:2" s="3061" customFormat="1">
      <c r="A38" s="3059" t="s">
        <v>2877</v>
      </c>
      <c r="B38" s="3060" t="str">
        <f>'预评函-2'!D19</f>
        <v>——</v>
      </c>
    </row>
    <row r="39" spans="1:2" s="3061" customFormat="1">
      <c r="A39" s="3059" t="s">
        <v>2816</v>
      </c>
      <c r="B39" s="3060" t="str">
        <f>'预评函-2'!D21</f>
        <v>——</v>
      </c>
    </row>
    <row r="40" spans="1:2" s="3061" customFormat="1">
      <c r="A40" s="3059" t="s">
        <v>2817</v>
      </c>
      <c r="B40" s="3060" t="e">
        <f>'预评函-2'!D20</f>
        <v>#VALUE!</v>
      </c>
    </row>
    <row r="41" spans="1:2" s="3061" customFormat="1">
      <c r="A41" s="3059" t="s">
        <v>2872</v>
      </c>
      <c r="B41" s="3060" t="str">
        <f>'预评函-3'!A4</f>
        <v>北京市北京市经济开发区路东区E6街区EM6-1地块出让国有建设用地使用权及在建建筑物房地产</v>
      </c>
    </row>
    <row r="42" spans="1:2" s="3061" customFormat="1" ht="31.2">
      <c r="A42" s="3059" t="s">
        <v>2870</v>
      </c>
      <c r="B42" s="3060" t="str">
        <f>'预评函-3'!B2</f>
        <v>建筑面积</v>
      </c>
    </row>
    <row r="43" spans="1:2" s="3061" customFormat="1">
      <c r="A43" s="3059" t="s">
        <v>2871</v>
      </c>
      <c r="B43" s="3060">
        <f>'预评函-3'!B4</f>
        <v>177117.85000000003</v>
      </c>
    </row>
    <row r="44" spans="1:2" s="3061" customFormat="1" ht="31.2">
      <c r="A44" s="3059" t="s">
        <v>2847</v>
      </c>
      <c r="B44" s="3060" t="str">
        <f>'预评函-3'!C2</f>
        <v>(分摊)土地面积</v>
      </c>
    </row>
    <row r="45" spans="1:2" s="3061" customFormat="1">
      <c r="A45" s="3059" t="s">
        <v>2818</v>
      </c>
      <c r="B45" s="3060">
        <f>'预评函-3'!C4</f>
        <v>101087.14</v>
      </c>
    </row>
    <row r="46" spans="1:2" s="3061" customFormat="1">
      <c r="A46" s="3059" t="s">
        <v>2845</v>
      </c>
      <c r="B46" s="3060" t="str">
        <f>'预评函-3'!D2</f>
        <v>出让国有建设用地使用权价值</v>
      </c>
    </row>
    <row r="47" spans="1:2" s="3061" customFormat="1">
      <c r="A47" s="3059" t="s">
        <v>2819</v>
      </c>
      <c r="B47" s="3060">
        <f ca="1">'预评函-3'!D4</f>
        <v>22876</v>
      </c>
    </row>
    <row r="48" spans="1:2" s="3061" customFormat="1">
      <c r="A48" s="3059" t="s">
        <v>2820</v>
      </c>
      <c r="B48" s="3060">
        <f ca="1">'预评函-3'!E4</f>
        <v>1292</v>
      </c>
    </row>
    <row r="49" spans="1:2" s="3061" customFormat="1">
      <c r="A49" s="3059" t="s">
        <v>2821</v>
      </c>
      <c r="B49" s="3060" t="str">
        <f ca="1">'预评函-3'!D5</f>
        <v>贰亿贰仟捌佰柒拾陆万元整</v>
      </c>
    </row>
    <row r="50" spans="1:2" s="3061" customFormat="1">
      <c r="A50" s="3059" t="s">
        <v>2846</v>
      </c>
      <c r="B50" s="3060" t="str">
        <f>'预评函-3'!F2</f>
        <v>在建建筑物价值</v>
      </c>
    </row>
    <row r="51" spans="1:2" s="3061" customFormat="1">
      <c r="A51" s="3059" t="s">
        <v>2822</v>
      </c>
      <c r="B51" s="3060">
        <f ca="1">'预评函-3'!F4</f>
        <v>42670</v>
      </c>
    </row>
    <row r="52" spans="1:2" s="3061" customFormat="1">
      <c r="A52" s="3059" t="s">
        <v>2823</v>
      </c>
      <c r="B52" s="3060">
        <f ca="1">'预评函-3'!G4</f>
        <v>2409</v>
      </c>
    </row>
    <row r="53" spans="1:2" s="3061" customFormat="1">
      <c r="A53" s="3059" t="s">
        <v>2852</v>
      </c>
      <c r="B53" s="3060" t="str">
        <f ca="1">'预评函-3'!F5</f>
        <v>肆亿贰仟陆佰柒拾万元整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
      </c>
    </row>
    <row r="57" spans="1:2" s="3055" customFormat="1" ht="16.2" thickBot="1">
      <c r="A57" s="3062" t="s">
        <v>2880</v>
      </c>
      <c r="B57" s="3063" t="str">
        <f>'预评函-3'!A6</f>
        <v>估价师知悉的法定优先受偿款</v>
      </c>
    </row>
    <row r="58" spans="1:2" s="3058" customFormat="1" ht="16.2"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（1）根据估价对象《不动产权证书》复印件、《国有土地使用权》——，截至价值时点，估价对象抵押权未见登记。</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2842</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2843</v>
      </c>
      <c r="B68" s="3060" t="str">
        <f>'预评函-4'!A22</f>
        <v>8.其他需特殊说明事项：无（注意调整序号）</v>
      </c>
    </row>
    <row r="69" spans="1:2" s="3055" customFormat="1" ht="16.2" thickBot="1">
      <c r="A69" s="3062" t="s">
        <v>2832</v>
      </c>
      <c r="B69" s="3064">
        <f>'预评函-4'!C31</f>
        <v>42551</v>
      </c>
    </row>
    <row r="70" spans="1:2" ht="16.2" thickTop="1">
      <c r="A70" s="3065" t="s">
        <v>2833</v>
      </c>
      <c r="B70" s="3066" t="str">
        <f>'预评函-4'!A4</f>
        <v>欧红伟</v>
      </c>
    </row>
    <row r="71" spans="1:2">
      <c r="A71" s="3059" t="s">
        <v>2834</v>
      </c>
      <c r="B71" s="3060">
        <f ca="1">'预评函-4'!B4</f>
        <v>1120000080</v>
      </c>
    </row>
    <row r="72" spans="1:2">
      <c r="A72" s="3059" t="s">
        <v>2835</v>
      </c>
      <c r="B72" s="3068" t="str">
        <f>'预评函-4'!A5</f>
        <v>梁津</v>
      </c>
    </row>
    <row r="73" spans="1:2" s="3055" customFormat="1" ht="16.2" thickBot="1">
      <c r="A73" s="3062" t="s">
        <v>2836</v>
      </c>
      <c r="B73" s="3063">
        <f ca="1">'预评函-4'!B5</f>
        <v>1119970066</v>
      </c>
    </row>
    <row r="74" spans="1:2" ht="16.2"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8"/>
  <cols>
    <col min="1" max="1" width="13.44140625" style="1157" customWidth="1"/>
    <col min="2" max="2" width="23.21875" style="1156" customWidth="1"/>
    <col min="3" max="3" width="13" style="293" hidden="1" customWidth="1"/>
    <col min="4" max="4" width="5.77734375" style="291" hidden="1" customWidth="1"/>
    <col min="5" max="5" width="7.109375" style="291" hidden="1" customWidth="1"/>
    <col min="6" max="6" width="10.6640625" style="291" hidden="1" customWidth="1"/>
    <col min="7" max="7" width="7.44140625" style="291" hidden="1" customWidth="1"/>
    <col min="8" max="8" width="9" style="293" hidden="1" customWidth="1"/>
    <col min="9" max="9" width="11.6640625" style="293" hidden="1" customWidth="1"/>
    <col min="10" max="10" width="9" style="293" hidden="1" customWidth="1"/>
    <col min="11" max="19" width="9" style="291" hidden="1" customWidth="1"/>
    <col min="20" max="22" width="9" style="293" hidden="1" customWidth="1"/>
    <col min="23" max="23" width="9" style="293" customWidth="1"/>
    <col min="24" max="24" width="21.109375" style="1156" customWidth="1"/>
    <col min="25" max="16384" width="9" style="1156"/>
  </cols>
  <sheetData>
    <row r="1" spans="1:23" s="1155" customFormat="1" ht="28.8">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2638</v>
      </c>
      <c r="R1" s="1484" t="s">
        <v>2628</v>
      </c>
      <c r="S1" s="289" t="s">
        <v>268</v>
      </c>
      <c r="T1" s="290" t="s">
        <v>269</v>
      </c>
      <c r="U1" s="289" t="s">
        <v>270</v>
      </c>
      <c r="V1" s="289" t="s">
        <v>271</v>
      </c>
      <c r="W1" s="1484" t="s">
        <v>1850</v>
      </c>
    </row>
    <row r="2" spans="1:23" ht="14.4">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2632</v>
      </c>
      <c r="S2" s="291" t="s">
        <v>230</v>
      </c>
      <c r="T2" s="291" t="s">
        <v>231</v>
      </c>
      <c r="U2" s="291" t="s">
        <v>230</v>
      </c>
      <c r="V2" s="291" t="s">
        <v>232</v>
      </c>
      <c r="W2" s="291" t="s">
        <v>230</v>
      </c>
    </row>
    <row r="3" spans="1:23" ht="14.4">
      <c r="A3" s="2796" t="s">
        <v>577</v>
      </c>
      <c r="B3" s="2797" t="s">
        <v>2674</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2630</v>
      </c>
      <c r="S3" s="291" t="s">
        <v>238</v>
      </c>
      <c r="T3" s="291" t="s">
        <v>239</v>
      </c>
      <c r="U3" s="291" t="s">
        <v>238</v>
      </c>
      <c r="V3" s="291" t="s">
        <v>240</v>
      </c>
      <c r="W3" s="291" t="s">
        <v>238</v>
      </c>
    </row>
    <row r="4" spans="1:23" ht="14.4">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2633</v>
      </c>
      <c r="S4" s="291" t="s">
        <v>241</v>
      </c>
      <c r="T4" s="291" t="s">
        <v>242</v>
      </c>
      <c r="U4" s="291" t="s">
        <v>241</v>
      </c>
      <c r="W4" s="291" t="s">
        <v>241</v>
      </c>
    </row>
    <row r="5" spans="1:23" ht="14.4">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2634</v>
      </c>
      <c r="S5" s="291" t="s">
        <v>246</v>
      </c>
      <c r="T5" s="291" t="s">
        <v>247</v>
      </c>
      <c r="U5" s="291" t="s">
        <v>246</v>
      </c>
      <c r="W5" s="291" t="s">
        <v>246</v>
      </c>
    </row>
    <row r="6" spans="1:23" ht="14.4">
      <c r="A6" s="2796" t="s">
        <v>583</v>
      </c>
      <c r="B6" s="2797" t="s">
        <v>2675</v>
      </c>
      <c r="C6" s="1769" t="s">
        <v>163</v>
      </c>
      <c r="F6" s="291" t="s">
        <v>248</v>
      </c>
      <c r="H6" s="291" t="s">
        <v>249</v>
      </c>
      <c r="I6" s="291" t="s">
        <v>250</v>
      </c>
      <c r="K6" s="291" t="s">
        <v>251</v>
      </c>
      <c r="L6" s="291" t="s">
        <v>251</v>
      </c>
      <c r="M6" s="291" t="s">
        <v>251</v>
      </c>
      <c r="N6" s="291" t="s">
        <v>251</v>
      </c>
      <c r="O6" s="291" t="s">
        <v>251</v>
      </c>
      <c r="P6" s="291" t="s">
        <v>251</v>
      </c>
      <c r="Q6" s="291" t="s">
        <v>251</v>
      </c>
      <c r="R6" s="2762" t="s">
        <v>2635</v>
      </c>
      <c r="S6" s="291" t="s">
        <v>251</v>
      </c>
      <c r="T6" s="291"/>
      <c r="U6" s="291" t="s">
        <v>251</v>
      </c>
      <c r="W6" s="291" t="s">
        <v>251</v>
      </c>
    </row>
    <row r="7" spans="1:23" ht="14.4">
      <c r="A7" s="2796" t="s">
        <v>585</v>
      </c>
      <c r="B7" s="2797" t="s">
        <v>2676</v>
      </c>
      <c r="C7" s="1767" t="s">
        <v>164</v>
      </c>
      <c r="F7" s="291" t="s">
        <v>252</v>
      </c>
      <c r="H7" s="291" t="s">
        <v>253</v>
      </c>
      <c r="I7" s="291" t="s">
        <v>254</v>
      </c>
    </row>
    <row r="8" spans="1:23" ht="14.4">
      <c r="A8" s="2796" t="s">
        <v>587</v>
      </c>
      <c r="B8" s="2796" t="s">
        <v>584</v>
      </c>
      <c r="C8" s="1767" t="s">
        <v>1880</v>
      </c>
      <c r="F8" s="291" t="s">
        <v>281</v>
      </c>
      <c r="H8" s="291"/>
      <c r="I8" s="291" t="s">
        <v>282</v>
      </c>
    </row>
    <row r="9" spans="1:23" ht="14.4">
      <c r="A9" s="2796" t="s">
        <v>589</v>
      </c>
      <c r="B9" s="2796" t="s">
        <v>586</v>
      </c>
      <c r="C9" s="1767" t="s">
        <v>1881</v>
      </c>
      <c r="F9" s="291" t="s">
        <v>283</v>
      </c>
      <c r="H9" s="291"/>
    </row>
    <row r="10" spans="1:23" ht="14.4">
      <c r="A10" s="2796" t="s">
        <v>591</v>
      </c>
      <c r="B10" s="2796" t="s">
        <v>588</v>
      </c>
      <c r="C10" s="1767" t="s">
        <v>1882</v>
      </c>
      <c r="F10" s="291" t="s">
        <v>51</v>
      </c>
    </row>
    <row r="11" spans="1:23" ht="14.4">
      <c r="A11" s="2796" t="s">
        <v>593</v>
      </c>
      <c r="B11" s="2796" t="s">
        <v>590</v>
      </c>
      <c r="C11" s="1767" t="s">
        <v>1883</v>
      </c>
    </row>
    <row r="12" spans="1:23" ht="14.4">
      <c r="A12" s="2796" t="s">
        <v>595</v>
      </c>
      <c r="B12" s="2796" t="s">
        <v>592</v>
      </c>
      <c r="C12" s="1767" t="s">
        <v>1884</v>
      </c>
    </row>
    <row r="13" spans="1:23" ht="14.4">
      <c r="A13" s="2796" t="s">
        <v>597</v>
      </c>
      <c r="B13" s="2796" t="s">
        <v>594</v>
      </c>
      <c r="C13" s="1767" t="s">
        <v>1885</v>
      </c>
    </row>
    <row r="14" spans="1:23" ht="14.4">
      <c r="A14" s="2796" t="s">
        <v>599</v>
      </c>
      <c r="B14" s="2796" t="s">
        <v>596</v>
      </c>
      <c r="C14" s="291" t="s">
        <v>51</v>
      </c>
    </row>
    <row r="15" spans="1:23" ht="14.4">
      <c r="A15" s="2796" t="s">
        <v>600</v>
      </c>
      <c r="B15" s="2796" t="s">
        <v>598</v>
      </c>
      <c r="C15" s="1770"/>
    </row>
    <row r="16" spans="1:23" ht="14.4">
      <c r="A16" s="2796" t="s">
        <v>601</v>
      </c>
      <c r="B16" s="2796" t="s">
        <v>1866</v>
      </c>
      <c r="C16" s="1770"/>
    </row>
    <row r="17" spans="1:3" ht="14.4">
      <c r="A17" s="2796" t="s">
        <v>602</v>
      </c>
      <c r="B17" s="2796" t="s">
        <v>1867</v>
      </c>
      <c r="C17" s="1770"/>
    </row>
    <row r="18" spans="1:3" ht="14.4">
      <c r="A18" s="2796" t="s">
        <v>603</v>
      </c>
      <c r="B18" s="2796" t="s">
        <v>1867</v>
      </c>
      <c r="C18" s="1770"/>
    </row>
    <row r="19" spans="1:3" ht="14.4">
      <c r="A19" s="2796" t="s">
        <v>604</v>
      </c>
      <c r="B19" s="2796" t="s">
        <v>1867</v>
      </c>
      <c r="C19" s="1770"/>
    </row>
    <row r="20" spans="1:3" ht="14.4">
      <c r="A20" s="2796" t="s">
        <v>605</v>
      </c>
      <c r="B20" s="2796" t="s">
        <v>1867</v>
      </c>
      <c r="C20" s="1770"/>
    </row>
    <row r="21" spans="1:3" ht="14.4">
      <c r="A21" s="2796" t="s">
        <v>606</v>
      </c>
      <c r="B21" s="2796" t="s">
        <v>1867</v>
      </c>
      <c r="C21" s="1770"/>
    </row>
    <row r="22" spans="1:3" ht="14.4">
      <c r="A22" s="2796" t="s">
        <v>607</v>
      </c>
      <c r="B22" s="2796" t="s">
        <v>1867</v>
      </c>
      <c r="C22" s="1770"/>
    </row>
    <row r="23" spans="1:3" ht="14.4">
      <c r="A23" s="2796" t="s">
        <v>608</v>
      </c>
      <c r="B23" s="2796" t="s">
        <v>1867</v>
      </c>
      <c r="C23" s="1770"/>
    </row>
    <row r="24" spans="1:3" ht="14.4">
      <c r="A24" s="2796" t="s">
        <v>609</v>
      </c>
      <c r="B24" s="2796" t="s">
        <v>1867</v>
      </c>
      <c r="C24" s="1770"/>
    </row>
    <row r="25" spans="1:3" ht="14.4">
      <c r="A25" s="2796" t="s">
        <v>610</v>
      </c>
      <c r="B25" s="2796" t="s">
        <v>1867</v>
      </c>
      <c r="C25" s="1770"/>
    </row>
    <row r="26" spans="1:3" ht="14.4">
      <c r="A26" s="2796" t="s">
        <v>611</v>
      </c>
      <c r="B26" s="2796" t="s">
        <v>1867</v>
      </c>
      <c r="C26" s="1770"/>
    </row>
    <row r="27" spans="1:3" ht="14.4">
      <c r="A27" s="2796" t="s">
        <v>1867</v>
      </c>
      <c r="B27" s="2796" t="s">
        <v>1867</v>
      </c>
      <c r="C27" s="1770"/>
    </row>
    <row r="28" spans="1:3" ht="14.4">
      <c r="A28" s="2796" t="s">
        <v>1867</v>
      </c>
      <c r="B28" s="2796" t="s">
        <v>1867</v>
      </c>
      <c r="C28" s="1770"/>
    </row>
    <row r="29" spans="1:3" ht="14.4">
      <c r="A29" s="2796" t="s">
        <v>1867</v>
      </c>
      <c r="B29" s="2796" t="s">
        <v>1867</v>
      </c>
      <c r="C29" s="1770"/>
    </row>
    <row r="30" spans="1:3" ht="14.4">
      <c r="A30" s="2796" t="s">
        <v>1867</v>
      </c>
      <c r="B30" s="2796" t="s">
        <v>1867</v>
      </c>
      <c r="C30" s="1770"/>
    </row>
    <row r="31" spans="1:3" ht="14.4">
      <c r="A31" s="2796" t="s">
        <v>1867</v>
      </c>
      <c r="B31" s="2796" t="s">
        <v>1867</v>
      </c>
      <c r="C31" s="1770"/>
    </row>
    <row r="32" spans="1:3" ht="14.4">
      <c r="A32" s="2796" t="s">
        <v>1867</v>
      </c>
      <c r="B32" s="2796" t="s">
        <v>1867</v>
      </c>
      <c r="C32" s="1770"/>
    </row>
    <row r="33" spans="1:3" ht="14.4">
      <c r="A33" s="2796" t="s">
        <v>1867</v>
      </c>
      <c r="B33" s="2796" t="s">
        <v>1867</v>
      </c>
      <c r="C33" s="1770"/>
    </row>
    <row r="34" spans="1:3" ht="14.4">
      <c r="A34" s="2796" t="s">
        <v>1867</v>
      </c>
      <c r="B34" s="2796" t="s">
        <v>1867</v>
      </c>
      <c r="C34" s="1770"/>
    </row>
    <row r="35" spans="1:3" ht="14.4">
      <c r="A35" s="2796" t="s">
        <v>1867</v>
      </c>
      <c r="B35" s="2796" t="s">
        <v>1867</v>
      </c>
      <c r="C35" s="1770"/>
    </row>
    <row r="36" spans="1:3" ht="14.4">
      <c r="A36" s="2796" t="s">
        <v>1867</v>
      </c>
      <c r="B36" s="2796" t="s">
        <v>1867</v>
      </c>
      <c r="C36" s="1770"/>
    </row>
    <row r="37" spans="1:3" ht="14.4">
      <c r="A37" s="2796" t="s">
        <v>1867</v>
      </c>
      <c r="B37" s="2796" t="s">
        <v>1867</v>
      </c>
      <c r="C37" s="1770"/>
    </row>
    <row r="38" spans="1:3" ht="14.4">
      <c r="A38" s="2796" t="s">
        <v>1867</v>
      </c>
      <c r="B38" s="2796" t="s">
        <v>1867</v>
      </c>
      <c r="C38" s="1770"/>
    </row>
    <row r="39" spans="1:3" ht="14.4">
      <c r="A39" s="2796" t="s">
        <v>1867</v>
      </c>
      <c r="B39" s="2796" t="s">
        <v>1867</v>
      </c>
      <c r="C39" s="1770"/>
    </row>
    <row r="40" spans="1:3" ht="14.4">
      <c r="A40" s="2796" t="s">
        <v>1867</v>
      </c>
      <c r="B40" s="2796" t="s">
        <v>1867</v>
      </c>
      <c r="C40" s="1770"/>
    </row>
    <row r="41" spans="1:3" ht="14.4">
      <c r="A41" s="2796" t="s">
        <v>1867</v>
      </c>
      <c r="B41" s="2796" t="s">
        <v>1867</v>
      </c>
      <c r="C41" s="1770"/>
    </row>
    <row r="42" spans="1:3" ht="14.4">
      <c r="A42" s="2796" t="s">
        <v>1867</v>
      </c>
      <c r="B42" s="2796" t="s">
        <v>1867</v>
      </c>
      <c r="C42" s="1770"/>
    </row>
    <row r="43" spans="1:3" ht="14.4">
      <c r="A43" s="2796" t="s">
        <v>1867</v>
      </c>
      <c r="B43" s="2796" t="s">
        <v>1867</v>
      </c>
      <c r="C43" s="1770"/>
    </row>
    <row r="44" spans="1:3" ht="14.4">
      <c r="A44" s="2796" t="s">
        <v>1867</v>
      </c>
      <c r="B44" s="2796" t="s">
        <v>1867</v>
      </c>
      <c r="C44" s="1770"/>
    </row>
    <row r="45" spans="1:3" ht="14.4">
      <c r="A45" s="2796" t="s">
        <v>1867</v>
      </c>
      <c r="B45" s="2796" t="s">
        <v>1867</v>
      </c>
      <c r="C45" s="1770"/>
    </row>
    <row r="46" spans="1:3" ht="14.4">
      <c r="A46" s="2796" t="s">
        <v>1867</v>
      </c>
      <c r="B46" s="2796" t="s">
        <v>1867</v>
      </c>
      <c r="C46" s="1770"/>
    </row>
    <row r="47" spans="1:3" ht="14.4">
      <c r="A47" s="2796" t="s">
        <v>1867</v>
      </c>
      <c r="B47" s="2796" t="s">
        <v>1867</v>
      </c>
      <c r="C47" s="1770"/>
    </row>
    <row r="48" spans="1:3" ht="14.4">
      <c r="A48" s="2796" t="s">
        <v>1867</v>
      </c>
      <c r="B48" s="2796" t="s">
        <v>1867</v>
      </c>
      <c r="C48" s="1770"/>
    </row>
    <row r="49" spans="1:4" ht="14.4">
      <c r="A49" s="2796" t="s">
        <v>1867</v>
      </c>
      <c r="B49" s="2796" t="s">
        <v>1867</v>
      </c>
      <c r="C49" s="1770"/>
    </row>
    <row r="50" spans="1:4" ht="14.4">
      <c r="A50" s="2796" t="s">
        <v>1867</v>
      </c>
      <c r="B50" s="2796" t="s">
        <v>1867</v>
      </c>
      <c r="C50" s="1770"/>
    </row>
    <row r="51" spans="1:4" ht="14.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2860</v>
      </c>
    </row>
    <row r="52" spans="1:4" ht="14.4">
      <c r="A52" s="1950" t="s">
        <v>2012</v>
      </c>
      <c r="B52" s="1950" t="s">
        <v>2013</v>
      </c>
      <c r="C52" s="1160" t="s">
        <v>2014</v>
      </c>
      <c r="D52" s="1160" t="s">
        <v>2015</v>
      </c>
    </row>
    <row r="53" spans="1:4" ht="14.4">
      <c r="A53" s="3433"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ht="14.4">
      <c r="A54" s="3433"/>
      <c r="B54" s="2093" t="s">
        <v>2018</v>
      </c>
      <c r="C54" s="1160" t="s">
        <v>2857</v>
      </c>
    </row>
    <row r="55" spans="1:4" ht="14.4">
      <c r="A55" s="3433"/>
      <c r="B55" s="2093" t="s">
        <v>2019</v>
      </c>
      <c r="C55" s="1160" t="s">
        <v>2858</v>
      </c>
    </row>
    <row r="56" spans="1:4" ht="14.4">
      <c r="A56" s="3433"/>
      <c r="B56" s="2093" t="s">
        <v>2020</v>
      </c>
      <c r="C56" s="1160" t="s">
        <v>2868</v>
      </c>
    </row>
    <row r="57" spans="1:4" ht="14.4">
      <c r="A57" s="3433"/>
      <c r="B57" s="2093" t="s">
        <v>2021</v>
      </c>
      <c r="C57" s="1160" t="s">
        <v>2859</v>
      </c>
    </row>
    <row r="58" spans="1:4" ht="14.4">
      <c r="A58" s="1159"/>
      <c r="B58" s="1160"/>
      <c r="C58" s="1160"/>
    </row>
    <row r="59" spans="1:4" ht="14.4">
      <c r="A59" s="1159"/>
      <c r="B59" s="1160"/>
      <c r="C59" s="1160"/>
    </row>
    <row r="60" spans="1:4" ht="14.4">
      <c r="A60" s="1159"/>
      <c r="B60" s="1160"/>
      <c r="C60" s="1160"/>
    </row>
    <row r="61" spans="1:4" ht="14.4">
      <c r="A61" s="1159"/>
      <c r="B61" s="1160"/>
      <c r="C61" s="1160"/>
    </row>
    <row r="62" spans="1:4" ht="14.4">
      <c r="A62" s="1159"/>
      <c r="B62" s="1160"/>
      <c r="C62" s="1160"/>
    </row>
    <row r="63" spans="1:4" ht="14.4">
      <c r="A63" s="1159"/>
      <c r="B63" s="1160"/>
      <c r="C63" s="1160"/>
    </row>
    <row r="64" spans="1:4" ht="14.4">
      <c r="A64" s="1159"/>
      <c r="B64" s="1160"/>
      <c r="C64" s="1160"/>
    </row>
    <row r="65" spans="1:3" ht="14.4">
      <c r="A65" s="1159"/>
      <c r="B65" s="1160"/>
      <c r="C65" s="1160"/>
    </row>
    <row r="66" spans="1:3" ht="14.4">
      <c r="A66" s="1159"/>
      <c r="B66" s="1160"/>
      <c r="C66" s="1160"/>
    </row>
    <row r="67" spans="1:3" ht="14.4">
      <c r="A67" s="1159"/>
      <c r="B67" s="1160"/>
      <c r="C67" s="1160"/>
    </row>
    <row r="68" spans="1:3" ht="14.4">
      <c r="A68" s="1159"/>
      <c r="B68" s="1160"/>
      <c r="C68" s="1160"/>
    </row>
    <row r="69" spans="1:3" ht="14.4">
      <c r="A69" s="1159"/>
      <c r="B69" s="1160"/>
      <c r="C69" s="1160"/>
    </row>
    <row r="70" spans="1:3" ht="14.4">
      <c r="A70" s="1159"/>
      <c r="B70" s="1160"/>
      <c r="C70" s="1160"/>
    </row>
    <row r="71" spans="1:3" ht="14.4">
      <c r="A71" s="1159"/>
      <c r="B71" s="1160"/>
      <c r="C71" s="1160"/>
    </row>
    <row r="72" spans="1:3" ht="14.4">
      <c r="A72" s="1159"/>
      <c r="B72" s="1160"/>
      <c r="C72" s="1160"/>
    </row>
    <row r="73" spans="1:3" ht="14.4">
      <c r="A73" s="1159"/>
      <c r="B73" s="1160"/>
      <c r="C73" s="1160"/>
    </row>
    <row r="74" spans="1:3" ht="14.4">
      <c r="A74" s="1159"/>
      <c r="B74" s="1160"/>
      <c r="C74" s="1160"/>
    </row>
    <row r="75" spans="1:3" ht="14.4">
      <c r="A75" s="1159"/>
      <c r="B75" s="1160"/>
      <c r="C75" s="1160"/>
    </row>
    <row r="76" spans="1:3" ht="14.4">
      <c r="A76" s="1159"/>
      <c r="B76" s="1160"/>
      <c r="C76" s="1160"/>
    </row>
    <row r="77" spans="1:3" ht="14.4">
      <c r="A77" s="1159"/>
      <c r="B77" s="1160"/>
      <c r="C77" s="1160"/>
    </row>
    <row r="78" spans="1:3" ht="14.4">
      <c r="A78" s="1159"/>
      <c r="B78" s="1160"/>
      <c r="C78" s="1160"/>
    </row>
    <row r="79" spans="1:3" ht="14.4">
      <c r="A79" s="1159"/>
      <c r="B79" s="1160"/>
      <c r="C79" s="1160"/>
    </row>
    <row r="80" spans="1:3" ht="14.4">
      <c r="A80" s="1159"/>
      <c r="B80" s="1160"/>
      <c r="C80" s="1160"/>
    </row>
    <row r="81" spans="1:3" ht="14.4">
      <c r="A81" s="1159"/>
      <c r="B81" s="1160"/>
      <c r="C81" s="1160"/>
    </row>
    <row r="82" spans="1:3" ht="14.4">
      <c r="A82" s="1159"/>
      <c r="B82" s="1160"/>
      <c r="C82" s="1160"/>
    </row>
    <row r="83" spans="1:3" ht="14.4">
      <c r="A83" s="1159"/>
      <c r="B83" s="1160"/>
      <c r="C83" s="1160"/>
    </row>
    <row r="84" spans="1:3" ht="14.4">
      <c r="A84" s="1159"/>
      <c r="B84" s="1160"/>
      <c r="C84" s="1160"/>
    </row>
    <row r="85" spans="1:3" ht="14.4">
      <c r="A85" s="1159"/>
      <c r="B85" s="1160"/>
      <c r="C85" s="1160"/>
    </row>
    <row r="86" spans="1:3" ht="14.4">
      <c r="A86" s="1159"/>
      <c r="B86" s="1160"/>
      <c r="C86" s="1160"/>
    </row>
    <row r="87" spans="1:3" ht="14.4">
      <c r="A87" s="1159"/>
      <c r="B87" s="1160"/>
      <c r="C87" s="1160"/>
    </row>
    <row r="88" spans="1:3" ht="14.4">
      <c r="A88" s="1159"/>
      <c r="B88" s="1160"/>
      <c r="C88" s="1160"/>
    </row>
    <row r="89" spans="1:3" ht="14.4">
      <c r="A89" s="1159"/>
      <c r="B89" s="1160"/>
      <c r="C89" s="1160"/>
    </row>
    <row r="90" spans="1:3" ht="14.4">
      <c r="A90" s="1159"/>
      <c r="B90" s="1160"/>
      <c r="C90" s="1160"/>
    </row>
    <row r="91" spans="1:3" ht="14.4">
      <c r="A91" s="1159"/>
      <c r="B91" s="1160"/>
      <c r="C91" s="1160"/>
    </row>
    <row r="92" spans="1:3" ht="14.4">
      <c r="A92" s="1159"/>
      <c r="B92" s="1160"/>
      <c r="C92" s="1160"/>
    </row>
    <row r="93" spans="1:3" ht="14.4">
      <c r="A93" s="1159"/>
      <c r="B93" s="1160"/>
      <c r="C93" s="1160"/>
    </row>
    <row r="94" spans="1:3" ht="14.4">
      <c r="A94" s="1159"/>
      <c r="B94" s="1160"/>
      <c r="C94" s="1160"/>
    </row>
    <row r="95" spans="1:3" ht="14.4">
      <c r="A95" s="1159"/>
      <c r="B95" s="1160"/>
      <c r="C95" s="1160"/>
    </row>
    <row r="96" spans="1:3" ht="14.4">
      <c r="A96" s="1159"/>
      <c r="B96" s="1160"/>
      <c r="C96" s="1160"/>
    </row>
    <row r="97" spans="1:3" ht="14.4">
      <c r="A97" s="1159"/>
      <c r="B97" s="1160"/>
      <c r="C97" s="1160"/>
    </row>
    <row r="98" spans="1:3" ht="14.4">
      <c r="A98" s="1159"/>
      <c r="B98" s="1160"/>
      <c r="C98" s="1160"/>
    </row>
    <row r="99" spans="1:3" ht="14.4">
      <c r="A99" s="1159"/>
      <c r="B99" s="1160"/>
      <c r="C99" s="1160"/>
    </row>
    <row r="100" spans="1:3" ht="14.4">
      <c r="A100" s="1159"/>
      <c r="B100" s="1160"/>
      <c r="C100" s="1160"/>
    </row>
    <row r="101" spans="1:3" ht="14.4">
      <c r="A101" s="1159"/>
      <c r="B101" s="1160"/>
      <c r="C101" s="1160"/>
    </row>
    <row r="102" spans="1:3" ht="14.4">
      <c r="A102" s="1159"/>
      <c r="B102" s="1160"/>
      <c r="C102" s="1160"/>
    </row>
    <row r="103" spans="1:3" ht="14.4">
      <c r="A103" s="1159"/>
      <c r="B103" s="1160"/>
      <c r="C103" s="1160"/>
    </row>
    <row r="104" spans="1:3" ht="14.4">
      <c r="A104" s="1159"/>
      <c r="B104" s="1160"/>
      <c r="C104" s="1160"/>
    </row>
    <row r="105" spans="1:3" ht="14.4">
      <c r="A105" s="1159"/>
      <c r="B105" s="1160"/>
      <c r="C105" s="1160"/>
    </row>
    <row r="106" spans="1:3" ht="14.4">
      <c r="A106" s="1159"/>
      <c r="B106" s="1160"/>
      <c r="C106" s="1160"/>
    </row>
    <row r="107" spans="1:3" ht="14.4">
      <c r="A107" s="1159"/>
      <c r="B107" s="1160"/>
      <c r="C107" s="1160"/>
    </row>
    <row r="108" spans="1:3" ht="14.4">
      <c r="A108" s="1159"/>
      <c r="B108" s="1160"/>
      <c r="C108" s="1160"/>
    </row>
    <row r="109" spans="1:3" ht="14.4">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16" sqref="F16:I16"/>
    </sheetView>
  </sheetViews>
  <sheetFormatPr defaultColWidth="10" defaultRowHeight="18" customHeight="1"/>
  <cols>
    <col min="1" max="1" width="14.88671875" style="1201" customWidth="1"/>
    <col min="2" max="2" width="13.44140625" style="1201" customWidth="1"/>
    <col min="3" max="3" width="11.44140625" style="1201" customWidth="1"/>
    <col min="4" max="4" width="12.21875" style="1201" customWidth="1"/>
    <col min="5" max="6" width="10" style="1201" customWidth="1"/>
    <col min="7" max="7" width="10.77734375" style="1201" customWidth="1"/>
    <col min="8" max="8" width="10" style="1201" customWidth="1"/>
    <col min="9" max="9" width="11.10937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42"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43"/>
      <c r="D1" s="3443"/>
      <c r="E1" s="3443"/>
      <c r="F1" s="3443"/>
      <c r="G1" s="3443"/>
      <c r="H1" s="3443"/>
      <c r="I1" s="3444"/>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43385</v>
      </c>
      <c r="C3" s="1922" t="s">
        <v>2003</v>
      </c>
      <c r="D3" s="3231">
        <f>B3</f>
        <v>43385</v>
      </c>
      <c r="E3" s="1994"/>
      <c r="F3" s="1994"/>
      <c r="G3" s="1994"/>
      <c r="H3" s="1994"/>
      <c r="I3" s="1994"/>
      <c r="J3" s="1994"/>
      <c r="K3" s="2100"/>
      <c r="L3" s="1995"/>
      <c r="M3" s="1995"/>
      <c r="N3" s="1195"/>
      <c r="O3" s="11"/>
      <c r="P3" s="1195"/>
      <c r="Q3" s="1195"/>
      <c r="R3" s="1195"/>
      <c r="S3" s="1194"/>
    </row>
    <row r="4" spans="1:19" ht="18" customHeight="1" thickBot="1">
      <c r="A4" s="1923" t="s">
        <v>2004</v>
      </c>
      <c r="B4" s="1924" t="s">
        <v>3072</v>
      </c>
      <c r="C4" s="1925">
        <f ca="1">SUMIF(注册房地产估价师,B4,估价师及机构信息!B3:B24)</f>
        <v>1120000080</v>
      </c>
      <c r="D4" s="1924" t="s">
        <v>3073</v>
      </c>
      <c r="E4" s="1926">
        <f ca="1">SUMIF(注册房地产估价师,D4,估价师及机构信息!B3:B24)</f>
        <v>1119970066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欧红伟（注册号：1120000080)、梁津（注册号：1119970066)</v>
      </c>
      <c r="L4" s="1995"/>
      <c r="M4" s="1995"/>
      <c r="N4" s="1195"/>
      <c r="O4" s="11"/>
      <c r="P4" s="1195"/>
      <c r="Q4" s="1195"/>
      <c r="R4" s="1195"/>
      <c r="S4" s="1194"/>
    </row>
    <row r="5" spans="1:19" ht="18" customHeight="1" thickTop="1">
      <c r="A5" s="1927" t="s">
        <v>2086</v>
      </c>
      <c r="B5" s="3286" t="s">
        <v>3074</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3075</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2863</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3076</v>
      </c>
      <c r="C8" s="2002"/>
      <c r="D8" s="3445" t="s">
        <v>2011</v>
      </c>
      <c r="E8" s="2034" t="s">
        <v>3077</v>
      </c>
      <c r="F8" s="2035"/>
      <c r="G8" s="1994"/>
      <c r="H8" s="1994"/>
      <c r="I8" s="1994"/>
      <c r="J8" s="1999"/>
      <c r="K8" s="2101"/>
      <c r="L8" s="1995"/>
      <c r="M8" s="1995"/>
      <c r="N8" s="1195"/>
      <c r="O8" s="11"/>
      <c r="P8" s="1195"/>
      <c r="Q8" s="1195"/>
      <c r="R8" s="1195"/>
    </row>
    <row r="9" spans="1:19" ht="18" customHeight="1" thickBot="1">
      <c r="A9" s="1953" t="s">
        <v>1955</v>
      </c>
      <c r="B9" s="1954" t="s">
        <v>3077</v>
      </c>
      <c r="C9" s="2003"/>
      <c r="D9" s="3446"/>
      <c r="E9" s="1954" t="s">
        <v>529</v>
      </c>
      <c r="F9" s="2888"/>
      <c r="G9" s="1998"/>
      <c r="H9" s="1998"/>
      <c r="I9" s="1998"/>
      <c r="J9" s="1999"/>
      <c r="K9" s="2102"/>
      <c r="L9" s="1995"/>
      <c r="M9" s="1995"/>
      <c r="N9" s="1195"/>
      <c r="O9" s="11"/>
      <c r="P9" s="1195"/>
      <c r="Q9" s="1195"/>
      <c r="R9" s="1195"/>
    </row>
    <row r="10" spans="1:19" ht="18" customHeight="1" thickTop="1">
      <c r="A10" s="2008" t="s">
        <v>2058</v>
      </c>
      <c r="B10" s="2054" t="s">
        <v>3078</v>
      </c>
      <c r="C10" s="2036"/>
      <c r="D10" s="2000"/>
      <c r="E10" s="1938" t="s">
        <v>1956</v>
      </c>
      <c r="F10" s="1951" t="s">
        <v>3079</v>
      </c>
      <c r="G10" s="2886"/>
      <c r="H10" s="2887"/>
      <c r="I10" s="2000"/>
      <c r="J10" s="1999"/>
      <c r="K10" s="2102"/>
      <c r="L10" s="1995"/>
      <c r="M10" s="1995"/>
      <c r="N10" s="1195"/>
      <c r="O10" s="11"/>
      <c r="P10" s="1195"/>
      <c r="Q10" s="1195"/>
      <c r="R10" s="1195"/>
    </row>
    <row r="11" spans="1:19" ht="18" customHeight="1">
      <c r="A11" s="1957" t="s">
        <v>2059</v>
      </c>
      <c r="B11" s="2053" t="s">
        <v>3080</v>
      </c>
      <c r="C11" s="2037" t="s">
        <v>3081</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2700</v>
      </c>
      <c r="F12" s="2023" t="s">
        <v>2701</v>
      </c>
      <c r="G12" s="2023" t="s">
        <v>2702</v>
      </c>
      <c r="H12" s="2023" t="s">
        <v>2703</v>
      </c>
      <c r="I12" s="2023" t="s">
        <v>2704</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47.09</v>
      </c>
      <c r="H15" s="2050" t="str">
        <f>IF(B12="出让",IF(H13="","",ROUNDDOWN(MIN((H13-$D$3)/365,H14),2)),H14)</f>
        <v/>
      </c>
      <c r="I15" s="2050">
        <f>IF(B12="出让",IF(I13="","",ROUNDDOWN(MIN((I13-$D$3)/365,I14),2)),I14)</f>
        <v>47.09</v>
      </c>
      <c r="J15" s="1999"/>
      <c r="K15" s="2104"/>
      <c r="L15" s="1229"/>
      <c r="M15" s="1229"/>
      <c r="N15" s="2019"/>
      <c r="O15" s="1229"/>
      <c r="P15" s="2019"/>
      <c r="Q15" s="1195"/>
      <c r="R15" s="1195"/>
    </row>
    <row r="16" spans="1:19" ht="30.75" customHeight="1">
      <c r="A16" s="1938" t="s">
        <v>2092</v>
      </c>
      <c r="B16" s="3452" t="s">
        <v>3082</v>
      </c>
      <c r="C16" s="3453"/>
      <c r="D16" s="3454"/>
      <c r="E16" s="1955" t="s">
        <v>2023</v>
      </c>
      <c r="F16" s="3455"/>
      <c r="G16" s="3456"/>
      <c r="H16" s="3456"/>
      <c r="I16" s="3457"/>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58" t="s">
        <v>3193</v>
      </c>
      <c r="F17" s="3459"/>
      <c r="G17" s="3459"/>
      <c r="H17" s="3459"/>
      <c r="I17" s="3460"/>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61" t="s">
        <v>3192</v>
      </c>
      <c r="F18" s="3462"/>
      <c r="G18" s="3462"/>
      <c r="H18" s="3462"/>
      <c r="I18" s="3463"/>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48" t="s">
        <v>2046</v>
      </c>
      <c r="C20" s="3449"/>
      <c r="D20" s="3450" t="s">
        <v>2047</v>
      </c>
      <c r="E20" s="3451"/>
      <c r="F20" s="2067" t="s">
        <v>2048</v>
      </c>
      <c r="G20" s="1999"/>
      <c r="H20" s="1999"/>
      <c r="I20" s="1999"/>
      <c r="J20" s="1999"/>
      <c r="K20" s="3447"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3083</v>
      </c>
      <c r="C21" s="2031" t="s">
        <v>2050</v>
      </c>
      <c r="D21" s="1988" t="s">
        <v>2051</v>
      </c>
      <c r="E21" s="2032" t="s">
        <v>529</v>
      </c>
      <c r="F21" s="1977"/>
      <c r="G21" s="1999"/>
      <c r="H21" s="1999"/>
      <c r="I21" s="1999"/>
      <c r="J21" s="1999"/>
      <c r="K21" s="3447"/>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47"/>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35" t="s">
        <v>2060</v>
      </c>
      <c r="B27" s="2008" t="s">
        <v>2061</v>
      </c>
      <c r="C27" s="1929" t="s">
        <v>3085</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35"/>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35"/>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36"/>
      <c r="B30" s="1939" t="s">
        <v>2064</v>
      </c>
      <c r="C30" s="3437"/>
      <c r="D30" s="3438"/>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39" t="s">
        <v>2065</v>
      </c>
      <c r="B31" s="1935" t="s">
        <v>3054</v>
      </c>
      <c r="C31" s="1936" t="str">
        <f>IF(B31="现房","成新及维护状况正常否",IF(B31="在建","工程状态是否正常",IF(B31="土地","是否闲置","-")))</f>
        <v>工程状态是否正常</v>
      </c>
      <c r="D31" s="2009"/>
      <c r="E31" s="1937" t="s">
        <v>3086</v>
      </c>
      <c r="F31" s="1999"/>
      <c r="G31" s="1999"/>
      <c r="H31" s="1999"/>
      <c r="I31" s="1999"/>
      <c r="J31" s="1999"/>
      <c r="K31" s="2106"/>
      <c r="L31" s="1995"/>
      <c r="M31" s="1995"/>
      <c r="N31" s="1195"/>
      <c r="O31" s="11"/>
      <c r="P31" s="1195"/>
      <c r="Q31" s="1195"/>
      <c r="R31" s="1195"/>
      <c r="S31" s="1195"/>
      <c r="T31" s="1195"/>
      <c r="U31" s="1195"/>
      <c r="V31" s="1195"/>
    </row>
    <row r="32" spans="1:22" ht="18" customHeight="1">
      <c r="A32" s="3440"/>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40"/>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3087</v>
      </c>
      <c r="C34" s="1959" t="s">
        <v>3088</v>
      </c>
      <c r="D34" s="1959" t="s">
        <v>3089</v>
      </c>
      <c r="E34" s="1959" t="s">
        <v>3090</v>
      </c>
      <c r="F34" s="1959" t="s">
        <v>3091</v>
      </c>
      <c r="G34" s="1959" t="s">
        <v>3092</v>
      </c>
      <c r="H34" s="1959" t="s">
        <v>3093</v>
      </c>
      <c r="I34" s="1999"/>
      <c r="J34" s="1999"/>
      <c r="K34" s="2883">
        <f>COUNTIF(B34:H34,"——")</f>
        <v>0</v>
      </c>
      <c r="L34" s="2011" t="s">
        <v>2094</v>
      </c>
      <c r="M34" s="2011" t="s">
        <v>2095</v>
      </c>
      <c r="N34" s="2011" t="s">
        <v>2096</v>
      </c>
      <c r="O34" s="2011" t="s">
        <v>2097</v>
      </c>
      <c r="P34" s="2011" t="s">
        <v>2098</v>
      </c>
      <c r="Q34" s="2011" t="s">
        <v>2099</v>
      </c>
      <c r="R34" s="2011" t="s">
        <v>2100</v>
      </c>
      <c r="S34" s="3434" t="s">
        <v>2101</v>
      </c>
      <c r="T34" s="2012" t="str">
        <f>NUMBERSTRING(7-K34,1)&amp;"通"</f>
        <v>七通</v>
      </c>
      <c r="U34" s="1195"/>
      <c r="V34" s="1195"/>
    </row>
    <row r="35" spans="1:22" ht="18" customHeight="1">
      <c r="A35" s="2013"/>
      <c r="B35" s="3441" t="s">
        <v>1873</v>
      </c>
      <c r="C35" s="3441"/>
      <c r="D35" s="3441"/>
      <c r="E35" s="3441"/>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4"/>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3084</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I15" sqref="AI15"/>
    </sheetView>
  </sheetViews>
  <sheetFormatPr defaultColWidth="8.88671875" defaultRowHeight="14.4"/>
  <cols>
    <col min="1" max="1" width="10.6640625" style="1161" customWidth="1"/>
    <col min="2" max="2" width="11" style="1161" customWidth="1"/>
    <col min="3" max="3" width="10.33203125" style="1161" customWidth="1"/>
    <col min="4" max="4" width="9.109375" style="1161" customWidth="1"/>
    <col min="5" max="6" width="10" style="1174" customWidth="1"/>
    <col min="7" max="8" width="10" style="1161" customWidth="1"/>
    <col min="9" max="9" width="10.6640625" style="1161" customWidth="1"/>
    <col min="10" max="10" width="9.44140625" style="1161" customWidth="1"/>
    <col min="11" max="11" width="11" style="1161" customWidth="1"/>
    <col min="12" max="14" width="9.44140625" style="1161" customWidth="1"/>
    <col min="15" max="15" width="9.88671875" style="1161" customWidth="1"/>
    <col min="16" max="16" width="9.77734375" style="1161" customWidth="1"/>
    <col min="17" max="17" width="9.33203125" style="1161" customWidth="1"/>
    <col min="18" max="18" width="9.21875" style="1161" customWidth="1"/>
    <col min="19" max="19" width="10.88671875" style="1161" customWidth="1"/>
    <col min="20" max="21" width="10.77734375" style="1161" customWidth="1"/>
    <col min="22" max="22" width="10.88671875" style="1161" customWidth="1"/>
    <col min="23" max="27" width="10.77734375" style="1161" customWidth="1"/>
    <col min="28" max="28" width="10.88671875" style="1161" customWidth="1"/>
    <col min="29" max="29" width="11" style="1161" bestFit="1" customWidth="1"/>
    <col min="30" max="30" width="10" style="1161" bestFit="1" customWidth="1"/>
    <col min="31" max="31" width="9.77734375" style="1161" customWidth="1"/>
    <col min="32" max="46" width="9.44140625" style="1161" customWidth="1"/>
    <col min="47" max="47" width="18.109375" style="1161" customWidth="1"/>
    <col min="48" max="50" width="9.77734375" style="1161" customWidth="1"/>
    <col min="51" max="55" width="10.44140625" style="1161" bestFit="1" customWidth="1"/>
    <col min="56" max="56" width="9.44140625" style="1161" bestFit="1" customWidth="1"/>
    <col min="57" max="63" width="9.109375" style="1161" bestFit="1" customWidth="1"/>
    <col min="64" max="64" width="9.44140625" style="1161" bestFit="1" customWidth="1"/>
    <col min="65" max="65" width="9.109375" style="1161" bestFit="1" customWidth="1"/>
    <col min="66" max="66" width="9.44140625" style="1161" bestFit="1" customWidth="1"/>
    <col min="67" max="69" width="9.109375" style="1161" bestFit="1" customWidth="1"/>
    <col min="70" max="70" width="9.44140625" style="1161" bestFit="1" customWidth="1"/>
    <col min="71" max="71" width="9" style="1161" customWidth="1"/>
    <col min="72" max="72" width="9.109375" style="1161" bestFit="1" customWidth="1"/>
    <col min="73" max="16384" width="8.88671875" style="1161"/>
  </cols>
  <sheetData>
    <row r="1" spans="1:72" ht="20.399999999999999">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3.2">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6"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3.2">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97.550000000000011</v>
      </c>
      <c r="AO5" s="304">
        <f t="shared" si="0"/>
        <v>0</v>
      </c>
      <c r="AP5" s="304">
        <f t="shared" si="0"/>
        <v>0</v>
      </c>
      <c r="AQ5" s="304">
        <f t="shared" si="0"/>
        <v>0</v>
      </c>
      <c r="AR5" s="304">
        <f t="shared" si="0"/>
        <v>9376.93</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97.550000000000011</v>
      </c>
      <c r="BS5" s="306">
        <f t="shared" si="1"/>
        <v>0</v>
      </c>
      <c r="BT5" s="307">
        <f t="shared" si="1"/>
        <v>9376.93</v>
      </c>
    </row>
    <row r="6" spans="1:72" s="1169" customFormat="1" ht="13.2">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55.68</v>
      </c>
      <c r="AO6" s="304">
        <f t="shared" si="3"/>
        <v>0</v>
      </c>
      <c r="AP6" s="304">
        <f t="shared" si="3"/>
        <v>0</v>
      </c>
      <c r="AQ6" s="304">
        <f t="shared" si="3"/>
        <v>0</v>
      </c>
      <c r="AR6" s="304">
        <f t="shared" si="3"/>
        <v>5351.73</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55.68</v>
      </c>
      <c r="BS6" s="304">
        <f t="shared" si="5"/>
        <v>0</v>
      </c>
      <c r="BT6" s="310">
        <f t="shared" si="5"/>
        <v>5351.73</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3.2">
      <c r="A9" s="231"/>
      <c r="B9" s="231"/>
      <c r="C9" s="231"/>
      <c r="D9" s="231"/>
      <c r="E9" s="231"/>
      <c r="F9" s="231"/>
      <c r="G9" s="239"/>
      <c r="H9" s="242" t="s">
        <v>633</v>
      </c>
      <c r="I9" s="3363" t="s">
        <v>3115</v>
      </c>
      <c r="J9" s="244"/>
      <c r="K9" s="3363" t="s">
        <v>3117</v>
      </c>
      <c r="L9" s="244"/>
      <c r="M9" s="3363" t="s">
        <v>3119</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3.2">
      <c r="A10" s="231"/>
      <c r="B10" s="231"/>
      <c r="C10" s="231"/>
      <c r="D10" s="231"/>
      <c r="E10" s="231"/>
      <c r="F10" s="231"/>
      <c r="G10" s="239"/>
      <c r="H10" s="79"/>
      <c r="I10" s="3364" t="s">
        <v>39</v>
      </c>
      <c r="J10" s="244"/>
      <c r="K10" s="3364" t="s">
        <v>39</v>
      </c>
      <c r="L10" s="244"/>
      <c r="M10" s="3364" t="s">
        <v>3120</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3.2">
      <c r="A11" s="231"/>
      <c r="B11" s="231"/>
      <c r="C11" s="231"/>
      <c r="D11" s="231"/>
      <c r="E11" s="231"/>
      <c r="F11" s="231"/>
      <c r="G11" s="239"/>
      <c r="H11" s="252"/>
      <c r="I11" s="3365" t="s">
        <v>3116</v>
      </c>
      <c r="J11" s="258"/>
      <c r="K11" s="3365" t="s">
        <v>3118</v>
      </c>
      <c r="L11" s="258"/>
      <c r="M11" s="3365" t="s">
        <v>3120</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6.8">
      <c r="A13" s="216"/>
      <c r="B13" s="3360" t="s">
        <v>3094</v>
      </c>
      <c r="C13" s="3361" t="s">
        <v>3095</v>
      </c>
      <c r="D13" s="3362" t="s">
        <v>3042</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6.8">
      <c r="A14" s="216"/>
      <c r="B14" s="3360" t="s">
        <v>3094</v>
      </c>
      <c r="C14" s="3361" t="s">
        <v>3096</v>
      </c>
      <c r="D14" s="3362" t="s">
        <v>3042</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6.8">
      <c r="A15" s="216"/>
      <c r="B15" s="3360" t="s">
        <v>3094</v>
      </c>
      <c r="C15" s="3361" t="s">
        <v>3097</v>
      </c>
      <c r="D15" s="3362" t="s">
        <v>3042</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6.8">
      <c r="A16" s="216"/>
      <c r="B16" s="3360" t="s">
        <v>3094</v>
      </c>
      <c r="C16" s="3361" t="s">
        <v>3098</v>
      </c>
      <c r="D16" s="3362" t="s">
        <v>3042</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6.8">
      <c r="A17" s="216"/>
      <c r="B17" s="3360" t="s">
        <v>3094</v>
      </c>
      <c r="C17" s="3361" t="s">
        <v>3099</v>
      </c>
      <c r="D17" s="3362" t="s">
        <v>3042</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3.2">
      <c r="A18" s="296"/>
      <c r="B18" s="3360" t="s">
        <v>3094</v>
      </c>
      <c r="C18" s="3361" t="s">
        <v>3100</v>
      </c>
      <c r="D18" s="3362" t="s">
        <v>3042</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c r="AQ18" s="328"/>
      <c r="AR18" s="328">
        <v>1767.74</v>
      </c>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1767.74</v>
      </c>
    </row>
    <row r="19" spans="1:72" ht="43.2">
      <c r="A19" s="296"/>
      <c r="B19" s="3360" t="s">
        <v>3094</v>
      </c>
      <c r="C19" s="3361" t="s">
        <v>3101</v>
      </c>
      <c r="D19" s="3362" t="s">
        <v>3042</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c r="AQ19" s="328"/>
      <c r="AR19" s="328">
        <v>2488.29</v>
      </c>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0</v>
      </c>
      <c r="BT19" s="331">
        <f t="shared" si="35"/>
        <v>2488.29</v>
      </c>
    </row>
    <row r="20" spans="1:72" ht="43.2">
      <c r="A20" s="296"/>
      <c r="B20" s="3360" t="s">
        <v>3094</v>
      </c>
      <c r="C20" s="3361" t="s">
        <v>3102</v>
      </c>
      <c r="D20" s="3362" t="s">
        <v>3042</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c r="AQ20" s="328"/>
      <c r="AR20" s="328">
        <v>3099</v>
      </c>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0</v>
      </c>
      <c r="BT20" s="331">
        <f t="shared" si="35"/>
        <v>3099</v>
      </c>
    </row>
    <row r="21" spans="1:72" ht="43.2">
      <c r="A21" s="296"/>
      <c r="B21" s="3360" t="s">
        <v>3094</v>
      </c>
      <c r="C21" s="3361" t="s">
        <v>3103</v>
      </c>
      <c r="D21" s="3362" t="s">
        <v>3042</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c r="AQ21" s="328"/>
      <c r="AR21" s="328">
        <v>2021.9</v>
      </c>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0</v>
      </c>
      <c r="BT21" s="331">
        <f t="shared" si="35"/>
        <v>2021.9</v>
      </c>
    </row>
    <row r="22" spans="1:72" ht="43.2">
      <c r="A22" s="296"/>
      <c r="B22" s="3360" t="s">
        <v>3094</v>
      </c>
      <c r="C22" s="3361" t="s">
        <v>3104</v>
      </c>
      <c r="D22" s="3362" t="s">
        <v>3042</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3.2">
      <c r="A23" s="296"/>
      <c r="B23" s="3360" t="s">
        <v>3094</v>
      </c>
      <c r="C23" s="3361" t="s">
        <v>3105</v>
      </c>
      <c r="D23" s="3362" t="s">
        <v>3042</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6.8">
      <c r="A24" s="296"/>
      <c r="B24" s="3360" t="s">
        <v>3094</v>
      </c>
      <c r="C24" s="3361" t="s">
        <v>3106</v>
      </c>
      <c r="D24" s="3362" t="s">
        <v>3042</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6.8">
      <c r="A25" s="296"/>
      <c r="B25" s="3360" t="s">
        <v>3094</v>
      </c>
      <c r="C25" s="3361" t="s">
        <v>3107</v>
      </c>
      <c r="D25" s="3362" t="s">
        <v>3042</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6.8">
      <c r="A26" s="296"/>
      <c r="B26" s="3360" t="s">
        <v>3094</v>
      </c>
      <c r="C26" s="3361" t="s">
        <v>3108</v>
      </c>
      <c r="D26" s="3362" t="s">
        <v>3042</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3.2">
      <c r="A27" s="296"/>
      <c r="B27" s="3360" t="s">
        <v>3094</v>
      </c>
      <c r="C27" s="3361" t="s">
        <v>3109</v>
      </c>
      <c r="D27" s="3362" t="s">
        <v>3042</v>
      </c>
      <c r="E27" s="323">
        <f t="shared" si="7"/>
        <v>9251.98</v>
      </c>
      <c r="F27" s="324"/>
      <c r="G27" s="325">
        <f t="shared" si="8"/>
        <v>25566.68</v>
      </c>
      <c r="H27" s="326">
        <f t="shared" si="9"/>
        <v>16210.670000000002</v>
      </c>
      <c r="I27" s="327"/>
      <c r="J27" s="327"/>
      <c r="K27" s="327"/>
      <c r="L27" s="327"/>
      <c r="M27" s="3384">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3.2">
      <c r="A28" s="296"/>
      <c r="B28" s="3360" t="s">
        <v>3094</v>
      </c>
      <c r="C28" s="3361" t="s">
        <v>3110</v>
      </c>
      <c r="D28" s="3362" t="s">
        <v>3042</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3.2">
      <c r="A29" s="296"/>
      <c r="B29" s="3360" t="s">
        <v>3094</v>
      </c>
      <c r="C29" s="3361" t="s">
        <v>3111</v>
      </c>
      <c r="D29" s="3362" t="s">
        <v>3042</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3.2">
      <c r="A30" s="296"/>
      <c r="B30" s="3360" t="s">
        <v>3094</v>
      </c>
      <c r="C30" s="3361" t="s">
        <v>3112</v>
      </c>
      <c r="D30" s="3362" t="s">
        <v>3042</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3.2">
      <c r="A31" s="296"/>
      <c r="B31" s="3360" t="s">
        <v>3094</v>
      </c>
      <c r="C31" s="3361" t="s">
        <v>3113</v>
      </c>
      <c r="D31" s="3362" t="s">
        <v>3042</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3.2">
      <c r="A32" s="296"/>
      <c r="B32" s="3360" t="s">
        <v>3094</v>
      </c>
      <c r="C32" s="3361" t="s">
        <v>3114</v>
      </c>
      <c r="D32" s="3362" t="s">
        <v>3042</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7" customWidth="1"/>
    <col min="2" max="2" width="10.6640625" style="267" customWidth="1"/>
    <col min="3" max="3" width="15.77734375" style="267" customWidth="1"/>
    <col min="4" max="7" width="9.44140625" style="267" bestFit="1" customWidth="1"/>
    <col min="8" max="13" width="9.109375" style="267" bestFit="1" customWidth="1"/>
    <col min="14" max="16384" width="9" style="267"/>
  </cols>
  <sheetData>
    <row r="1" spans="1:13" ht="15.6">
      <c r="A1" s="3407" t="s">
        <v>2</v>
      </c>
      <c r="B1" s="3407" t="s">
        <v>37</v>
      </c>
      <c r="C1" s="3407" t="s">
        <v>38</v>
      </c>
      <c r="D1" s="3464" t="s">
        <v>200</v>
      </c>
      <c r="E1" s="3464" t="s">
        <v>201</v>
      </c>
      <c r="F1" s="3464"/>
      <c r="G1" s="3464"/>
      <c r="H1" s="3464"/>
      <c r="I1" s="3464"/>
      <c r="J1" s="3464"/>
      <c r="K1" s="3464"/>
      <c r="L1" s="3464"/>
      <c r="M1" s="3464"/>
    </row>
    <row r="2" spans="1:13" ht="27" customHeight="1">
      <c r="A2" s="3407"/>
      <c r="B2" s="3407"/>
      <c r="C2" s="3407"/>
      <c r="D2" s="3464"/>
      <c r="E2" s="3464" t="s">
        <v>184</v>
      </c>
      <c r="F2" s="3464" t="s">
        <v>185</v>
      </c>
      <c r="G2" s="3464"/>
      <c r="H2" s="3464"/>
      <c r="I2" s="3464"/>
      <c r="J2" s="3464" t="s">
        <v>186</v>
      </c>
      <c r="K2" s="3464"/>
      <c r="L2" s="3464"/>
      <c r="M2" s="3464"/>
    </row>
    <row r="3" spans="1:13" ht="46.8">
      <c r="A3" s="3407"/>
      <c r="B3" s="3407"/>
      <c r="C3" s="3407"/>
      <c r="D3" s="3464"/>
      <c r="E3" s="3464"/>
      <c r="F3" s="268" t="s">
        <v>187</v>
      </c>
      <c r="G3" s="268" t="s">
        <v>182</v>
      </c>
      <c r="H3" s="268" t="s">
        <v>183</v>
      </c>
      <c r="I3" s="268" t="s">
        <v>196</v>
      </c>
      <c r="J3" s="268" t="s">
        <v>187</v>
      </c>
      <c r="K3" s="268" t="s">
        <v>198</v>
      </c>
      <c r="L3" s="268" t="s">
        <v>197</v>
      </c>
      <c r="M3" s="268" t="s">
        <v>199</v>
      </c>
    </row>
    <row r="4" spans="1:13" ht="46.8">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6.8">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6.8">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6.8">
      <c r="A7" s="268" t="s">
        <v>188</v>
      </c>
      <c r="B7" s="268" t="s">
        <v>191</v>
      </c>
      <c r="C7" s="268" t="s">
        <v>194</v>
      </c>
      <c r="D7" s="269">
        <v>8.18</v>
      </c>
      <c r="E7" s="269">
        <v>44.41</v>
      </c>
      <c r="F7" s="269">
        <v>0</v>
      </c>
      <c r="G7" s="269">
        <v>0</v>
      </c>
      <c r="H7" s="269">
        <v>0</v>
      </c>
      <c r="I7" s="269">
        <v>0</v>
      </c>
      <c r="J7" s="269">
        <v>44.41</v>
      </c>
      <c r="K7" s="269">
        <v>44.41</v>
      </c>
      <c r="L7" s="269">
        <v>0</v>
      </c>
      <c r="M7" s="269">
        <v>0</v>
      </c>
    </row>
    <row r="8" spans="1:13" ht="46.8">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4" t="s">
        <v>202</v>
      </c>
      <c r="B9" s="3464"/>
      <c r="C9" s="3464"/>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37" sqref="E37"/>
    </sheetView>
  </sheetViews>
  <sheetFormatPr defaultColWidth="9.21875" defaultRowHeight="14.4"/>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6384" width="9.21875" style="2222"/>
  </cols>
  <sheetData>
    <row r="1" spans="1:16" ht="17.399999999999999">
      <c r="A1" s="17" t="s">
        <v>641</v>
      </c>
      <c r="B1" s="2224"/>
      <c r="C1" s="2224"/>
      <c r="D1" s="2224"/>
      <c r="E1" s="2224"/>
      <c r="F1" s="2224"/>
      <c r="G1" s="2224"/>
      <c r="H1" s="2224"/>
      <c r="I1" s="2224"/>
      <c r="J1" s="2224"/>
      <c r="K1" s="2224"/>
      <c r="L1" s="2224"/>
      <c r="M1" s="2224"/>
      <c r="N1" s="2224"/>
      <c r="O1" s="2224"/>
      <c r="P1" s="2224"/>
    </row>
    <row r="2" spans="1:16">
      <c r="A2" s="3474" t="s">
        <v>642</v>
      </c>
      <c r="B2" s="3474"/>
      <c r="C2" s="3474"/>
      <c r="D2" s="2208" t="s">
        <v>643</v>
      </c>
      <c r="E2" s="19" t="s">
        <v>644</v>
      </c>
      <c r="F2" s="2224"/>
      <c r="G2" s="1178"/>
      <c r="H2" s="1179"/>
      <c r="I2" s="2216" t="s">
        <v>645</v>
      </c>
      <c r="J2" s="2224"/>
      <c r="K2" s="2224"/>
      <c r="L2" s="2224"/>
      <c r="M2" s="2224"/>
      <c r="N2" s="2233"/>
      <c r="O2" s="2224"/>
      <c r="P2" s="2224"/>
    </row>
    <row r="3" spans="1:16" ht="15" thickBot="1">
      <c r="A3" s="3475" t="s">
        <v>646</v>
      </c>
      <c r="B3" s="3475"/>
      <c r="C3" s="3475"/>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c r="A4" s="3476"/>
      <c r="B4" s="3477"/>
      <c r="C4" s="3478"/>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c r="A5" s="22" t="s">
        <v>649</v>
      </c>
      <c r="B5" s="3479" t="s">
        <v>650</v>
      </c>
      <c r="C5" s="3479"/>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79" t="s">
        <v>651</v>
      </c>
      <c r="C6" s="3479"/>
      <c r="D6" s="336">
        <f>ROUND($D$3*E6/$E$3,2)</f>
        <v>101087.14</v>
      </c>
      <c r="E6" s="337">
        <f>E3-E5</f>
        <v>177117.85000000003</v>
      </c>
      <c r="F6" s="2224"/>
      <c r="G6" s="1758" t="s">
        <v>1792</v>
      </c>
      <c r="H6" s="441" t="s">
        <v>648</v>
      </c>
      <c r="I6" s="1759">
        <f>ROUND(F31/D31,2)</f>
        <v>1.5</v>
      </c>
      <c r="J6" s="2224"/>
      <c r="K6" s="2224"/>
      <c r="L6" s="2224"/>
      <c r="M6" s="2224"/>
      <c r="N6" s="2224"/>
      <c r="O6" s="2224"/>
      <c r="P6" s="2224"/>
    </row>
    <row r="7" spans="1:16">
      <c r="A7" s="3471"/>
      <c r="B7" s="3472"/>
      <c r="C7" s="3473"/>
      <c r="D7" s="20" t="s">
        <v>643</v>
      </c>
      <c r="E7" s="25" t="s">
        <v>644</v>
      </c>
      <c r="F7" s="2224"/>
      <c r="G7" s="1178" t="s">
        <v>1871</v>
      </c>
      <c r="H7" s="38"/>
      <c r="I7" s="761"/>
      <c r="J7" s="2224"/>
      <c r="K7" s="2224"/>
      <c r="L7" s="2224"/>
      <c r="M7" s="2224"/>
      <c r="N7" s="2224"/>
      <c r="O7" s="2224"/>
      <c r="P7" s="2224"/>
    </row>
    <row r="8" spans="1:16">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c r="A9" s="27"/>
      <c r="B9" s="28"/>
      <c r="C9" s="23" t="s">
        <v>655</v>
      </c>
      <c r="D9" s="336">
        <f t="shared" si="0"/>
        <v>0</v>
      </c>
      <c r="E9" s="340">
        <v>0</v>
      </c>
      <c r="F9" s="2224"/>
      <c r="G9" s="2225"/>
      <c r="H9" s="2225"/>
      <c r="I9" s="2224"/>
      <c r="J9" s="2224"/>
      <c r="K9" s="2224"/>
      <c r="L9" s="2224"/>
      <c r="M9" s="2224"/>
      <c r="N9" s="2224"/>
      <c r="O9" s="2224"/>
      <c r="P9" s="2224"/>
    </row>
    <row r="10" spans="1:16">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8" t="s">
        <v>532</v>
      </c>
      <c r="L16" s="3469"/>
      <c r="M16" s="3469"/>
      <c r="N16" s="3469"/>
      <c r="O16" s="3469"/>
      <c r="P16" s="3470"/>
    </row>
    <row r="17" spans="1:19">
      <c r="A17" s="29" t="s">
        <v>662</v>
      </c>
      <c r="B17" s="30" t="s">
        <v>663</v>
      </c>
      <c r="C17" s="34" t="s">
        <v>2384</v>
      </c>
      <c r="D17" s="2074" t="s">
        <v>643</v>
      </c>
      <c r="E17" s="2072" t="s">
        <v>644</v>
      </c>
      <c r="F17" s="36"/>
      <c r="G17" s="37"/>
      <c r="H17" s="1182" t="s">
        <v>664</v>
      </c>
      <c r="I17" s="1183" t="s">
        <v>205</v>
      </c>
      <c r="J17" s="2224"/>
      <c r="K17" s="3465" t="s">
        <v>670</v>
      </c>
      <c r="L17" s="3466"/>
      <c r="M17" s="3467"/>
      <c r="N17" s="3465" t="s">
        <v>2685</v>
      </c>
      <c r="O17" s="3466"/>
      <c r="P17" s="3467"/>
      <c r="R17" s="2484" t="s">
        <v>2385</v>
      </c>
      <c r="S17" s="353"/>
    </row>
    <row r="18" spans="1:19">
      <c r="A18" s="27"/>
      <c r="B18" s="31"/>
      <c r="C18" s="35"/>
      <c r="D18" s="2075"/>
      <c r="E18" s="2073" t="s">
        <v>665</v>
      </c>
      <c r="F18" s="15" t="s">
        <v>666</v>
      </c>
      <c r="G18" s="16" t="s">
        <v>667</v>
      </c>
      <c r="H18" s="1184" t="s">
        <v>668</v>
      </c>
      <c r="I18" s="1185" t="s">
        <v>669</v>
      </c>
      <c r="J18" s="2224"/>
      <c r="K18" s="1184" t="s">
        <v>2678</v>
      </c>
      <c r="L18" s="6" t="s">
        <v>2686</v>
      </c>
      <c r="M18" s="2802" t="s">
        <v>2684</v>
      </c>
      <c r="N18" s="1184" t="s">
        <v>2678</v>
      </c>
      <c r="O18" s="6" t="s">
        <v>2686</v>
      </c>
      <c r="P18" s="2802" t="s">
        <v>2684</v>
      </c>
      <c r="R18" s="2485" t="s">
        <v>2386</v>
      </c>
      <c r="S18" s="2485" t="s">
        <v>2387</v>
      </c>
    </row>
    <row r="19" spans="1:19">
      <c r="A19" s="32"/>
      <c r="B19" s="26" t="s">
        <v>119</v>
      </c>
      <c r="C19" s="1418" t="s">
        <v>3121</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c r="A32" s="1180"/>
      <c r="B32" s="1180" t="s">
        <v>2698</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3" sqref="H23"/>
    </sheetView>
  </sheetViews>
  <sheetFormatPr defaultColWidth="13.77734375" defaultRowHeight="12"/>
  <cols>
    <col min="1" max="1" width="20.88671875" style="1205" customWidth="1"/>
    <col min="2" max="2" width="12" style="1192" customWidth="1"/>
    <col min="3" max="3" width="10.77734375" style="1192" customWidth="1"/>
    <col min="4" max="4" width="9.109375" style="1206" customWidth="1"/>
    <col min="5" max="5" width="15" style="1192" bestFit="1" customWidth="1"/>
    <col min="6" max="10" width="8.88671875" style="1192" customWidth="1"/>
    <col min="11" max="12" width="12.33203125" style="1170" customWidth="1"/>
    <col min="13" max="13" width="8.6640625" style="1192" customWidth="1"/>
    <col min="14" max="14" width="11.88671875" style="1192" customWidth="1"/>
    <col min="15" max="15" width="8.44140625" style="1192" customWidth="1"/>
    <col min="16" max="17" width="10.88671875" style="1192" customWidth="1"/>
    <col min="18" max="19" width="12.44140625" style="1192" customWidth="1"/>
    <col min="20" max="20" width="12.109375" style="1192" customWidth="1"/>
    <col min="21" max="21" width="7.44140625" style="1192" customWidth="1"/>
    <col min="22" max="22" width="6.33203125" style="1192" customWidth="1"/>
    <col min="23" max="24" width="6.77734375" style="1192" customWidth="1"/>
    <col min="25" max="25" width="8.77734375" style="1192" customWidth="1"/>
    <col min="26" max="30" width="6.77734375" style="1192" customWidth="1"/>
    <col min="31" max="31" width="8" style="1192" customWidth="1"/>
    <col min="32" max="34" width="7.21875" style="1192" customWidth="1"/>
    <col min="35" max="39" width="8" style="1192" customWidth="1"/>
    <col min="40" max="40" width="13.77734375" style="2237"/>
    <col min="41" max="41" width="11.6640625" style="2237" customWidth="1"/>
    <col min="42" max="42" width="9.77734375" style="2237" customWidth="1"/>
    <col min="43" max="67" width="13.77734375" style="2237"/>
    <col min="68" max="16384" width="13.77734375" style="1192"/>
  </cols>
  <sheetData>
    <row r="1" spans="1:67" ht="18"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43385</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7.6">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3128</v>
      </c>
      <c r="O5" s="55" t="s">
        <v>689</v>
      </c>
      <c r="P5" s="57" t="s">
        <v>690</v>
      </c>
      <c r="Q5" s="58" t="s">
        <v>691</v>
      </c>
      <c r="R5" s="272" t="s">
        <v>692</v>
      </c>
      <c r="S5" s="59" t="s">
        <v>2679</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2670</v>
      </c>
      <c r="AP5" s="2890" t="s">
        <v>2680</v>
      </c>
      <c r="AQ5" s="2891" t="s">
        <v>2789</v>
      </c>
      <c r="AR5" s="2891" t="s">
        <v>2790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4">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47.09</v>
      </c>
      <c r="G6" s="362">
        <f>IF(ISERROR(ROUND(POWER(1+H6,D6-F6)*(POWER(1+H6,F6)-1)/(POWER(1+H6,D6)-1),3)),0,ROUND(POWER(1+H6,D6-F6)*(POWER(1+H6,F6)-1)/(POWER(1+H6,D6)-1),3))</f>
        <v>0.98299999999999998</v>
      </c>
      <c r="H6" s="1473">
        <v>4.4999999999999998E-2</v>
      </c>
      <c r="I6" s="1473">
        <v>0.05</v>
      </c>
      <c r="J6" s="363">
        <v>0.08</v>
      </c>
      <c r="K6" s="2495">
        <f>SUMIF('数据-汇总表'!C$19:C$33,A6,'数据-汇总表'!E$19:E$33)</f>
        <v>151095.50000000003</v>
      </c>
      <c r="L6" s="1474">
        <v>2500</v>
      </c>
      <c r="M6" s="364">
        <f t="shared" ref="M6:M14" si="0">ROUND(K6*L6/10000,0)</f>
        <v>37774</v>
      </c>
      <c r="N6" s="3379">
        <v>0.65</v>
      </c>
      <c r="O6" s="364">
        <f>IF($N$5="成新度","——",ROUND(M6*N6,0))</f>
        <v>24553</v>
      </c>
      <c r="P6" s="365">
        <f>IF($N$5="成新度","——",M6-O6)</f>
        <v>13221</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0.01</v>
      </c>
      <c r="W6" s="368">
        <v>0.1</v>
      </c>
      <c r="X6" s="2505"/>
      <c r="Y6" s="369">
        <v>1</v>
      </c>
      <c r="Z6" s="370"/>
      <c r="AA6" s="363"/>
      <c r="AB6" s="363"/>
      <c r="AC6" s="2505"/>
      <c r="AD6" s="371"/>
      <c r="AE6" s="2506">
        <f ca="1">IF(AN6="",0,SUMIF(INDIRECT("'"&amp;AN6&amp;"'"&amp;"!E:E"),$AE$5,INDIRECT("'"&amp;AN6&amp;"'"&amp;"!F:F")))</f>
        <v>47.09</v>
      </c>
      <c r="AF6" s="351"/>
      <c r="AG6" s="477">
        <f>IF(AF6="",0,AE6-AF6)</f>
        <v>0</v>
      </c>
      <c r="AH6" s="372"/>
      <c r="AI6" s="374">
        <v>365</v>
      </c>
      <c r="AJ6" s="375"/>
      <c r="AK6" s="3375">
        <v>0.01</v>
      </c>
      <c r="AL6" s="3376">
        <v>1.5E-3</v>
      </c>
      <c r="AM6" s="3377">
        <v>0.01</v>
      </c>
      <c r="AN6" s="2575" t="s">
        <v>3129</v>
      </c>
      <c r="AO6" s="343">
        <f ca="1">SUMIF(INDIRECT("'"&amp;AN6&amp;"'"&amp;"!A:A"),"总价",INDIRECT("'"&amp;AN6&amp;"'"&amp;"!B:B"))</f>
        <v>102577</v>
      </c>
      <c r="AP6" s="2892">
        <f>IF(C6="住宅",K6*L6,0)</f>
        <v>0</v>
      </c>
      <c r="AQ6" s="343">
        <f>ROUND($L$14*$N$14*S6/10000,0)</f>
        <v>6597</v>
      </c>
      <c r="AR6" s="343">
        <f>ROUND($L$14*(1-$N$14)*S6/10000,0)</f>
        <v>3552</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4">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4">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4">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4">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4">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4">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4">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4">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f>N6</f>
        <v>0.65</v>
      </c>
      <c r="O14" s="364">
        <f t="shared" si="3"/>
        <v>6597</v>
      </c>
      <c r="P14" s="365">
        <f t="shared" si="4"/>
        <v>3552</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8.8">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 thickBot="1">
      <c r="A16" s="64" t="s">
        <v>4</v>
      </c>
      <c r="B16" s="65"/>
      <c r="C16" s="66"/>
      <c r="D16" s="67"/>
      <c r="E16" s="65"/>
      <c r="F16" s="386"/>
      <c r="G16" s="387">
        <f>ROUND(SUMPRODUCT(G6:G13,K6:K13)/SUMPRODUCT((G6:G13&gt;0)*(K6:K13)),3)</f>
        <v>0.98299999999999998</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0.65</v>
      </c>
      <c r="O16" s="391">
        <f>SUM(O6:O14)</f>
        <v>31150</v>
      </c>
      <c r="P16" s="391">
        <f>SUM(P6:P14)</f>
        <v>16773</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6"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4">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4">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4">
      <c r="A21" s="70" t="s">
        <v>701</v>
      </c>
      <c r="B21" s="402">
        <v>1.3</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4">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4">
      <c r="A23" s="70" t="s">
        <v>703</v>
      </c>
      <c r="B23" s="403">
        <f>B19+B21</f>
        <v>1.3</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0.7</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8.8">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8.8">
      <c r="A28" s="74" t="s">
        <v>710</v>
      </c>
      <c r="B28" s="3388">
        <v>190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9.4" thickBot="1">
      <c r="A29" s="279" t="s">
        <v>2682</v>
      </c>
      <c r="B29" s="410"/>
      <c r="C29" s="2527" t="s">
        <v>2683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8.8">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8.8">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9.4"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4.4">
      <c r="A33" s="73" t="s">
        <v>714</v>
      </c>
      <c r="B33" s="1134">
        <v>0.03</v>
      </c>
      <c r="C33" s="3288" t="s">
        <v>2992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4.4">
      <c r="A34" s="74" t="s">
        <v>715</v>
      </c>
      <c r="B34" s="411">
        <v>0</v>
      </c>
      <c r="C34" s="3288" t="s">
        <v>2993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4.4">
      <c r="A35" s="74" t="s">
        <v>717</v>
      </c>
      <c r="B35" s="408">
        <v>200</v>
      </c>
      <c r="C35" s="3288" t="s">
        <v>2994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5" thickBot="1">
      <c r="A36" s="279" t="s">
        <v>718</v>
      </c>
      <c r="B36" s="412">
        <v>1.4999999999999999E-2</v>
      </c>
      <c r="C36" s="3288" t="s">
        <v>2995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4.4">
      <c r="A37" s="278" t="s">
        <v>719</v>
      </c>
      <c r="B37" s="413">
        <v>0.02</v>
      </c>
      <c r="C37" s="3288" t="s">
        <v>2996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4.4">
      <c r="A38" s="74" t="s">
        <v>720</v>
      </c>
      <c r="B38" s="411">
        <v>0.01</v>
      </c>
      <c r="C38" s="3288" t="s">
        <v>2996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4.4">
      <c r="A39" s="76" t="s">
        <v>2533</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5" thickBot="1">
      <c r="A40" s="76" t="s">
        <v>2609</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4">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4">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4">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4">
      <c r="A44" s="75" t="s">
        <v>724</v>
      </c>
      <c r="B44" s="417">
        <v>0.05</v>
      </c>
      <c r="C44" s="3288" t="s">
        <v>2998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4">
      <c r="A45" s="75" t="s">
        <v>725</v>
      </c>
      <c r="B45" s="415">
        <v>0.03</v>
      </c>
      <c r="C45" s="3289" t="s">
        <v>2997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4">
      <c r="A46" s="75" t="s">
        <v>726</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4">
      <c r="A48" s="280" t="s">
        <v>729</v>
      </c>
      <c r="B48" s="419">
        <v>0.03</v>
      </c>
      <c r="C48" s="3309"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4">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4">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8.8">
      <c r="A53" s="74" t="s">
        <v>734</v>
      </c>
      <c r="B53" s="41" t="s">
        <v>1536</v>
      </c>
      <c r="C53" s="2233" t="s">
        <v>2999</v>
      </c>
      <c r="D53" s="2236" t="s">
        <v>3003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4">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4">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4">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4">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4">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4">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4">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4">
      <c r="A61" s="42" t="s">
        <v>3000</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4">
      <c r="A62" s="42" t="s">
        <v>3001</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3002</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4"/>
  <cols>
    <col min="1" max="1" width="9.44140625" style="2223" customWidth="1"/>
    <col min="2" max="2" width="24.44140625" style="2272" customWidth="1"/>
    <col min="3" max="3" width="24.44140625" style="2273" customWidth="1"/>
    <col min="4" max="4" width="2.6640625" style="2273" customWidth="1"/>
    <col min="5" max="5" width="5.88671875" style="2273" customWidth="1"/>
    <col min="6" max="6" width="27" style="2272" customWidth="1"/>
    <col min="7" max="7" width="27" style="2274" customWidth="1"/>
    <col min="8" max="8" width="11.88671875" style="2267" customWidth="1"/>
    <col min="9" max="9" width="16.77734375" style="2268" customWidth="1"/>
    <col min="10" max="10" width="2.6640625" style="2267" customWidth="1"/>
    <col min="11" max="11" width="11.88671875" style="2267" customWidth="1"/>
    <col min="12" max="12" width="16.77734375" style="2268" customWidth="1"/>
    <col min="13" max="13" width="2.6640625" style="2267" customWidth="1"/>
    <col min="14" max="14" width="11.88671875" style="2267" customWidth="1"/>
    <col min="15" max="15" width="16.77734375" style="2268" customWidth="1"/>
    <col min="16" max="16" width="2.6640625" style="2267" customWidth="1"/>
    <col min="17" max="17" width="11.88671875" style="2267" customWidth="1"/>
    <col min="18" max="18" width="16.77734375" style="2269" customWidth="1"/>
    <col min="19" max="29" width="9" style="2254"/>
    <col min="30" max="16384" width="9" style="2223"/>
  </cols>
  <sheetData>
    <row r="1" spans="1:29" s="2252" customFormat="1" ht="18" thickBot="1">
      <c r="A1" s="3480" t="s">
        <v>751</v>
      </c>
      <c r="B1" s="3481"/>
      <c r="C1" s="3481"/>
      <c r="D1" s="3481"/>
      <c r="E1" s="3481"/>
      <c r="F1" s="3481"/>
      <c r="G1" s="3481"/>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5" thickBot="1">
      <c r="A2" s="1207"/>
      <c r="B2" s="1208"/>
      <c r="C2" s="1209" t="s">
        <v>752</v>
      </c>
      <c r="D2" s="1210"/>
      <c r="E2" s="1211"/>
      <c r="F2" s="1198"/>
      <c r="G2" s="1209" t="s">
        <v>753</v>
      </c>
      <c r="H2" s="2254"/>
      <c r="I2" s="2254"/>
      <c r="J2" s="2254"/>
      <c r="K2" s="2254"/>
      <c r="L2" s="2254"/>
      <c r="M2" s="2254"/>
      <c r="N2" s="2254"/>
      <c r="O2" s="2254"/>
      <c r="P2" s="2254"/>
      <c r="Q2" s="2254"/>
      <c r="R2" s="2254"/>
    </row>
    <row r="3" spans="1:29" ht="72">
      <c r="A3" s="1019" t="s">
        <v>754</v>
      </c>
      <c r="B3" s="51" t="s">
        <v>52</v>
      </c>
      <c r="C3" s="3290" t="s">
        <v>755</v>
      </c>
      <c r="D3" s="2255"/>
      <c r="E3" s="1028" t="s">
        <v>754</v>
      </c>
      <c r="F3" s="1212" t="s">
        <v>99</v>
      </c>
      <c r="G3" s="3355" t="s">
        <v>3066</v>
      </c>
      <c r="H3" s="2254"/>
      <c r="I3" s="2254"/>
      <c r="J3" s="2254"/>
      <c r="K3" s="2254"/>
      <c r="L3" s="2254"/>
      <c r="M3" s="2254"/>
      <c r="N3" s="2254"/>
      <c r="O3" s="2254"/>
      <c r="P3" s="2254"/>
      <c r="Q3" s="2254"/>
      <c r="R3" s="2254"/>
    </row>
    <row r="4" spans="1:29" ht="57.6">
      <c r="A4" s="1028"/>
      <c r="B4" s="2210" t="s">
        <v>756</v>
      </c>
      <c r="C4" s="3291" t="s">
        <v>757</v>
      </c>
      <c r="D4" s="2255"/>
      <c r="E4" s="1213"/>
      <c r="F4" s="2214" t="s">
        <v>758</v>
      </c>
      <c r="G4" s="3356" t="s">
        <v>3170</v>
      </c>
      <c r="H4" s="2254"/>
      <c r="I4" s="2254"/>
      <c r="J4" s="2254"/>
      <c r="K4" s="2254"/>
      <c r="L4" s="2254"/>
      <c r="M4" s="2254"/>
      <c r="N4" s="2254"/>
      <c r="O4" s="2254"/>
      <c r="P4" s="2254"/>
      <c r="Q4" s="2254"/>
      <c r="R4" s="2254"/>
    </row>
    <row r="5" spans="1:29" ht="57.6">
      <c r="A5" s="1028"/>
      <c r="B5" s="2210" t="s">
        <v>759</v>
      </c>
      <c r="C5" s="3291" t="s">
        <v>760</v>
      </c>
      <c r="D5" s="2255"/>
      <c r="E5" s="1213"/>
      <c r="F5" s="2743" t="s">
        <v>2625</v>
      </c>
      <c r="G5" s="3356" t="s">
        <v>3197</v>
      </c>
      <c r="H5" s="2254"/>
      <c r="I5" s="2254"/>
      <c r="J5" s="2254"/>
      <c r="K5" s="2254"/>
      <c r="L5" s="2254"/>
      <c r="M5" s="2254"/>
      <c r="N5" s="2254"/>
      <c r="O5" s="2254"/>
      <c r="P5" s="2254"/>
      <c r="Q5" s="2254"/>
      <c r="R5" s="2254"/>
    </row>
    <row r="6" spans="1:29" ht="57.6">
      <c r="A6" s="1028"/>
      <c r="B6" s="2210" t="s">
        <v>72</v>
      </c>
      <c r="C6" s="3292" t="s">
        <v>735</v>
      </c>
      <c r="D6" s="2255"/>
      <c r="E6" s="1213"/>
      <c r="F6" s="2743" t="s">
        <v>2624</v>
      </c>
      <c r="G6" s="3292" t="s">
        <v>3178</v>
      </c>
      <c r="H6" s="2254"/>
      <c r="I6" s="2254"/>
      <c r="J6" s="2254"/>
      <c r="K6" s="2254"/>
      <c r="L6" s="2254"/>
      <c r="M6" s="2254"/>
      <c r="N6" s="2254"/>
      <c r="O6" s="2254"/>
      <c r="P6" s="2254"/>
      <c r="Q6" s="2254"/>
      <c r="R6" s="2254"/>
    </row>
    <row r="7" spans="1:29" ht="58.2" thickBot="1">
      <c r="A7" s="1028"/>
      <c r="B7" s="2210" t="s">
        <v>2625</v>
      </c>
      <c r="C7" s="3292" t="s">
        <v>2627</v>
      </c>
      <c r="D7" s="2256"/>
      <c r="E7" s="1214"/>
      <c r="F7" s="1215" t="s">
        <v>736</v>
      </c>
      <c r="G7" s="3357" t="s">
        <v>3068</v>
      </c>
      <c r="H7" s="2254"/>
      <c r="I7" s="2254"/>
      <c r="J7" s="2254"/>
      <c r="K7" s="2254"/>
      <c r="L7" s="2254"/>
      <c r="M7" s="2254"/>
      <c r="N7" s="2254"/>
      <c r="O7" s="2254"/>
      <c r="P7" s="2254"/>
      <c r="Q7" s="2254"/>
      <c r="R7" s="2254"/>
    </row>
    <row r="8" spans="1:29" ht="28.8">
      <c r="A8" s="1028"/>
      <c r="B8" s="2743" t="s">
        <v>2624</v>
      </c>
      <c r="C8" s="3292" t="s">
        <v>2626</v>
      </c>
      <c r="D8" s="2256"/>
      <c r="E8" s="2256"/>
      <c r="F8" s="2257"/>
      <c r="G8" s="2257"/>
      <c r="H8" s="2254"/>
      <c r="I8" s="2254"/>
      <c r="J8" s="2254"/>
      <c r="K8" s="2254"/>
      <c r="L8" s="2254"/>
      <c r="M8" s="2254"/>
      <c r="N8" s="2254"/>
      <c r="O8" s="2254"/>
      <c r="P8" s="2254"/>
      <c r="Q8" s="2254"/>
      <c r="R8" s="2254"/>
    </row>
    <row r="9" spans="1:29" ht="43.2">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7.399999999999999">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8" thickBot="1">
      <c r="A13" s="2740" t="s">
        <v>739</v>
      </c>
      <c r="B13" s="2741"/>
      <c r="C13" s="2741"/>
      <c r="D13" s="2253"/>
      <c r="E13" s="2741"/>
      <c r="F13" s="2741"/>
      <c r="G13" s="2741"/>
    </row>
    <row r="14" spans="1:29" ht="15" thickBot="1">
      <c r="A14" s="1219"/>
      <c r="B14" s="1220"/>
      <c r="C14" s="1221" t="s">
        <v>740</v>
      </c>
      <c r="D14" s="2255"/>
      <c r="E14" s="1222"/>
      <c r="F14" s="1222"/>
      <c r="G14" s="1209" t="s">
        <v>741</v>
      </c>
    </row>
    <row r="15" spans="1:29" ht="72">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7.6">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3.2">
      <c r="A17" s="2759"/>
      <c r="B17" s="1224" t="s">
        <v>747</v>
      </c>
      <c r="C17" s="1225" t="str">
        <f>C5</f>
        <v>估价对象位于XX商圈，周边办公楼项目较多，入驻率高，办公集聚程度较好</v>
      </c>
      <c r="D17" s="2256"/>
      <c r="E17" s="2757"/>
      <c r="F17" s="1226" t="s">
        <v>748</v>
      </c>
      <c r="G17" s="270" t="s">
        <v>3069</v>
      </c>
    </row>
    <row r="18" spans="1:18" ht="57.6">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7.6">
      <c r="A19" s="2759"/>
      <c r="B19" s="1226" t="s">
        <v>91</v>
      </c>
      <c r="C19" s="270"/>
      <c r="D19" s="2255"/>
      <c r="E19" s="2757"/>
      <c r="F19" s="2743" t="s">
        <v>2625</v>
      </c>
      <c r="G19" s="1023" t="str">
        <f>G5</f>
        <v>估价对象所在区域银行、购物场所、学校等公共配套设施齐备，综合评价公用设施及基础设施水平一般。</v>
      </c>
    </row>
    <row r="20" spans="1:18" ht="43.2">
      <c r="A20" s="2759"/>
      <c r="B20" s="1226" t="s">
        <v>90</v>
      </c>
      <c r="C20" s="1225" t="str">
        <f>C9</f>
        <v>区域自然环境：；人文环境；综合评价环境状况一般</v>
      </c>
      <c r="D20" s="2256"/>
      <c r="E20" s="2757"/>
      <c r="F20" s="2743" t="s">
        <v>2624</v>
      </c>
      <c r="G20" s="1023" t="str">
        <f>G6</f>
        <v>基础设施水平为“七通”</v>
      </c>
    </row>
    <row r="21" spans="1:18" ht="28.8">
      <c r="A21" s="2759"/>
      <c r="B21" s="2743" t="s">
        <v>2625</v>
      </c>
      <c r="C21" s="1023" t="str">
        <f>C7</f>
        <v>估价对象所在区域公共配套设施齐备情况</v>
      </c>
      <c r="D21" s="2255"/>
      <c r="E21" s="2757"/>
      <c r="F21" s="1226" t="s">
        <v>89</v>
      </c>
      <c r="G21" s="3358" t="s">
        <v>3070</v>
      </c>
    </row>
    <row r="22" spans="1:18" ht="13.5" customHeight="1">
      <c r="A22" s="2759"/>
      <c r="B22" s="2743" t="s">
        <v>2624</v>
      </c>
      <c r="C22" s="1023" t="str">
        <f>C8</f>
        <v>估价对象所在区域基础设施水平</v>
      </c>
      <c r="D22" s="2255"/>
      <c r="E22" s="2757"/>
      <c r="F22" s="1226" t="s">
        <v>749</v>
      </c>
      <c r="G22" s="3359" t="s">
        <v>3071</v>
      </c>
    </row>
    <row r="23" spans="1:18" s="2254" customFormat="1" ht="1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4.4"/>
  <cols>
    <col min="1" max="1" width="23.33203125" style="3249" customWidth="1"/>
    <col min="2" max="9" width="15.77734375" style="3249" customWidth="1"/>
    <col min="10" max="16384" width="9" style="3249"/>
  </cols>
  <sheetData>
    <row r="1" spans="1:10" ht="16.2">
      <c r="A1" s="3254" t="s">
        <v>2975</v>
      </c>
      <c r="B1" s="3254">
        <f>SUM(B14:B23)</f>
        <v>177117.85000000003</v>
      </c>
      <c r="C1" s="3253"/>
      <c r="D1" s="3253"/>
      <c r="E1" s="3253"/>
      <c r="F1" s="3253"/>
      <c r="G1" s="3251"/>
    </row>
    <row r="2" spans="1:10" ht="16.2">
      <c r="A2" s="3254" t="s">
        <v>2963</v>
      </c>
      <c r="B2" s="3254">
        <f>SUM(C14:C23)</f>
        <v>101087.14</v>
      </c>
      <c r="C2" s="3253"/>
      <c r="D2" s="3253"/>
      <c r="E2" s="3253"/>
      <c r="F2" s="3253"/>
      <c r="G2" s="3251"/>
    </row>
    <row r="3" spans="1:10" ht="15.6">
      <c r="A3" s="3254" t="s">
        <v>2972</v>
      </c>
      <c r="B3" s="3255">
        <f>项目基本情况!D3</f>
        <v>43385</v>
      </c>
      <c r="C3" s="3253"/>
      <c r="D3" s="3253"/>
      <c r="E3" s="3253"/>
      <c r="F3" s="3253"/>
      <c r="G3" s="3251"/>
    </row>
    <row r="4" spans="1:10" ht="31.2">
      <c r="A4" s="3254" t="s">
        <v>2971</v>
      </c>
      <c r="B4" s="3254" t="s">
        <v>2970</v>
      </c>
      <c r="C4" s="3254" t="s">
        <v>2969</v>
      </c>
      <c r="D4" s="3254" t="s">
        <v>2968</v>
      </c>
      <c r="E4" s="3253"/>
      <c r="F4" s="3251"/>
      <c r="G4" s="3251"/>
    </row>
    <row r="5" spans="1:10" ht="15.6">
      <c r="A5" s="3254" t="s">
        <v>2967</v>
      </c>
      <c r="B5" s="3254">
        <f ca="1">SUM(D14:D23)</f>
        <v>65546</v>
      </c>
      <c r="C5" s="3254">
        <f ca="1">ROUND(B5*10000/$B$1,0)</f>
        <v>3701</v>
      </c>
      <c r="D5" s="3254">
        <f ca="1">ROUND(B5*10000/$B$2,0)</f>
        <v>6484</v>
      </c>
      <c r="E5" s="3253"/>
      <c r="F5" s="3251"/>
      <c r="G5" s="3251"/>
    </row>
    <row r="6" spans="1:10" ht="15.6">
      <c r="A6" s="3254" t="s">
        <v>2966</v>
      </c>
      <c r="B6" s="3254">
        <f ca="1">SUM(G14:G23)</f>
        <v>65546</v>
      </c>
      <c r="C6" s="3254">
        <f ca="1">ROUND(B6*10000/$B$1,0)</f>
        <v>3701</v>
      </c>
      <c r="D6" s="3254">
        <f ca="1">ROUND(B6*10000/$B$2,0)</f>
        <v>6484</v>
      </c>
      <c r="E6" s="3253"/>
      <c r="F6" s="3251"/>
      <c r="G6" s="3251"/>
    </row>
    <row r="7" spans="1:10" ht="15.6">
      <c r="A7" s="3254" t="s">
        <v>2974</v>
      </c>
      <c r="B7" s="3254">
        <f>SUM(H14:H23)</f>
        <v>0</v>
      </c>
      <c r="C7" s="3254">
        <f>ROUND(B7*10000/$B$1,0)</f>
        <v>0</v>
      </c>
      <c r="D7" s="3254">
        <f>ROUND(B7*10000/$B$2,0)</f>
        <v>0</v>
      </c>
      <c r="E7" s="3253"/>
      <c r="F7" s="3251"/>
      <c r="G7" s="3251"/>
    </row>
    <row r="8" spans="1:10" ht="15.6">
      <c r="A8" s="3254" t="s">
        <v>2864</v>
      </c>
      <c r="B8" s="3254">
        <f>SUM(I14:I23)</f>
        <v>0</v>
      </c>
      <c r="C8" s="3254">
        <f>ROUND(B8*10000/$B$1,0)</f>
        <v>0</v>
      </c>
      <c r="D8" s="3254">
        <f>ROUND(B8*10000/$B$2,0)</f>
        <v>0</v>
      </c>
      <c r="E8" s="3253"/>
      <c r="F8" s="3251"/>
      <c r="G8" s="3251"/>
    </row>
    <row r="9" spans="1:10" ht="15.6">
      <c r="A9" s="3254" t="s">
        <v>2965</v>
      </c>
      <c r="B9" s="3256"/>
      <c r="C9" s="3253"/>
      <c r="D9" s="3253"/>
      <c r="E9" s="3253"/>
      <c r="F9" s="3251"/>
      <c r="G9" s="3251"/>
    </row>
    <row r="10" spans="1:10" ht="15.6">
      <c r="A10" s="3254" t="s">
        <v>2964</v>
      </c>
      <c r="B10" s="3256"/>
      <c r="C10" s="3253"/>
      <c r="D10" s="3253"/>
      <c r="E10" s="3253"/>
      <c r="F10" s="3251"/>
      <c r="G10" s="3251"/>
    </row>
    <row r="11" spans="1:10" ht="15.6">
      <c r="A11" s="3254" t="s">
        <v>2980</v>
      </c>
      <c r="B11" s="3256"/>
      <c r="C11" s="3253"/>
      <c r="D11" s="3253"/>
      <c r="E11" s="3253"/>
      <c r="F11" s="3251"/>
      <c r="G11" s="3251"/>
    </row>
    <row r="12" spans="1:10" ht="15.6">
      <c r="A12" s="3253"/>
      <c r="B12" s="3253"/>
      <c r="C12" s="3253"/>
      <c r="D12" s="3253"/>
      <c r="E12" s="3253"/>
      <c r="F12" s="3251"/>
      <c r="G12" s="3251"/>
    </row>
    <row r="13" spans="1:10" ht="31.8">
      <c r="A13" s="3259" t="s">
        <v>2979</v>
      </c>
      <c r="B13" s="3252" t="s">
        <v>2976</v>
      </c>
      <c r="C13" s="3252" t="s">
        <v>2978</v>
      </c>
      <c r="D13" s="3252" t="s">
        <v>2977</v>
      </c>
      <c r="E13" s="3254" t="s">
        <v>2969</v>
      </c>
      <c r="F13" s="3254" t="s">
        <v>2968</v>
      </c>
      <c r="G13" s="3252" t="s">
        <v>2962</v>
      </c>
      <c r="H13" s="3252" t="s">
        <v>2973</v>
      </c>
      <c r="I13" s="3252" t="s">
        <v>2961</v>
      </c>
      <c r="J13" s="3251"/>
    </row>
    <row r="14" spans="1:10" ht="15.6">
      <c r="A14" s="3250" t="s">
        <v>2960</v>
      </c>
      <c r="B14" s="3252">
        <f>'数据-汇总表'!E3</f>
        <v>177117.85000000003</v>
      </c>
      <c r="C14" s="3252">
        <f>'数据-汇总表'!D3</f>
        <v>101087.14</v>
      </c>
      <c r="D14" s="3252">
        <f ca="1">结果表!H118</f>
        <v>65546</v>
      </c>
      <c r="E14" s="3252">
        <f ca="1">ROUND(D14*10000/B14,0)</f>
        <v>3701</v>
      </c>
      <c r="F14" s="3252">
        <f ca="1">ROUND(D14*10000/C14,0)</f>
        <v>6484</v>
      </c>
      <c r="G14" s="3252">
        <f ca="1">结果表!D122</f>
        <v>65546</v>
      </c>
      <c r="H14" s="3252" t="str">
        <f>结果表!D124</f>
        <v>——</v>
      </c>
      <c r="I14" s="3252" t="str">
        <f>结果表!D126</f>
        <v>——</v>
      </c>
      <c r="J14" s="3251"/>
    </row>
    <row r="15" spans="1:10" ht="15.6">
      <c r="A15" s="3250" t="s">
        <v>2959</v>
      </c>
      <c r="B15" s="3257"/>
      <c r="C15" s="3257"/>
      <c r="D15" s="3257"/>
      <c r="E15" s="3252" t="e">
        <f t="shared" ref="E15:E23" si="0">ROUND(D15*10000/B15,0)</f>
        <v>#DIV/0!</v>
      </c>
      <c r="F15" s="3252" t="e">
        <f t="shared" ref="F15:F23" si="1">ROUND(D15*10000/C15,0)</f>
        <v>#DIV/0!</v>
      </c>
      <c r="G15" s="3258"/>
      <c r="H15" s="3258"/>
      <c r="I15" s="3257"/>
      <c r="J15" s="3251"/>
    </row>
    <row r="16" spans="1:10" ht="15.6">
      <c r="A16" s="3250" t="s">
        <v>2958</v>
      </c>
      <c r="B16" s="3257"/>
      <c r="C16" s="3257"/>
      <c r="D16" s="3257"/>
      <c r="E16" s="3252" t="e">
        <f t="shared" si="0"/>
        <v>#DIV/0!</v>
      </c>
      <c r="F16" s="3252" t="e">
        <f t="shared" si="1"/>
        <v>#DIV/0!</v>
      </c>
      <c r="G16" s="3258"/>
      <c r="H16" s="3258"/>
      <c r="I16" s="3257"/>
    </row>
    <row r="17" spans="1:9" ht="15.6">
      <c r="A17" s="3250" t="s">
        <v>2957</v>
      </c>
      <c r="B17" s="3257"/>
      <c r="C17" s="3257"/>
      <c r="D17" s="3257"/>
      <c r="E17" s="3252" t="e">
        <f t="shared" si="0"/>
        <v>#DIV/0!</v>
      </c>
      <c r="F17" s="3252" t="e">
        <f t="shared" si="1"/>
        <v>#DIV/0!</v>
      </c>
      <c r="G17" s="3258"/>
      <c r="H17" s="3258"/>
      <c r="I17" s="3257"/>
    </row>
    <row r="18" spans="1:9" ht="15.6">
      <c r="A18" s="3250" t="s">
        <v>2956</v>
      </c>
      <c r="B18" s="3257"/>
      <c r="C18" s="3257"/>
      <c r="D18" s="3257"/>
      <c r="E18" s="3252" t="e">
        <f t="shared" si="0"/>
        <v>#DIV/0!</v>
      </c>
      <c r="F18" s="3252" t="e">
        <f t="shared" si="1"/>
        <v>#DIV/0!</v>
      </c>
      <c r="G18" s="3257"/>
      <c r="H18" s="3257"/>
      <c r="I18" s="3257"/>
    </row>
    <row r="19" spans="1:9" ht="15.6">
      <c r="A19" s="3250" t="s">
        <v>2955</v>
      </c>
      <c r="B19" s="3257"/>
      <c r="C19" s="3257"/>
      <c r="D19" s="3257"/>
      <c r="E19" s="3252" t="e">
        <f t="shared" si="0"/>
        <v>#DIV/0!</v>
      </c>
      <c r="F19" s="3252" t="e">
        <f t="shared" si="1"/>
        <v>#DIV/0!</v>
      </c>
      <c r="G19" s="3257"/>
      <c r="H19" s="3257"/>
      <c r="I19" s="3257"/>
    </row>
    <row r="20" spans="1:9" ht="15.6">
      <c r="A20" s="3250" t="s">
        <v>2954</v>
      </c>
      <c r="B20" s="3257"/>
      <c r="C20" s="3257"/>
      <c r="D20" s="3257"/>
      <c r="E20" s="3252" t="e">
        <f t="shared" si="0"/>
        <v>#DIV/0!</v>
      </c>
      <c r="F20" s="3252" t="e">
        <f t="shared" si="1"/>
        <v>#DIV/0!</v>
      </c>
      <c r="G20" s="3257"/>
      <c r="H20" s="3257"/>
      <c r="I20" s="3257"/>
    </row>
    <row r="21" spans="1:9" ht="15.6">
      <c r="A21" s="3250" t="s">
        <v>2953</v>
      </c>
      <c r="B21" s="3257"/>
      <c r="C21" s="3257"/>
      <c r="D21" s="3257"/>
      <c r="E21" s="3252" t="e">
        <f t="shared" si="0"/>
        <v>#DIV/0!</v>
      </c>
      <c r="F21" s="3252" t="e">
        <f t="shared" si="1"/>
        <v>#DIV/0!</v>
      </c>
      <c r="G21" s="3257"/>
      <c r="H21" s="3257"/>
      <c r="I21" s="3257"/>
    </row>
    <row r="22" spans="1:9" ht="15.6">
      <c r="A22" s="3250" t="s">
        <v>2952</v>
      </c>
      <c r="B22" s="3257"/>
      <c r="C22" s="3257"/>
      <c r="D22" s="3257"/>
      <c r="E22" s="3252" t="e">
        <f t="shared" si="0"/>
        <v>#DIV/0!</v>
      </c>
      <c r="F22" s="3252" t="e">
        <f t="shared" si="1"/>
        <v>#DIV/0!</v>
      </c>
      <c r="G22" s="3257"/>
      <c r="H22" s="3257"/>
      <c r="I22" s="3257"/>
    </row>
    <row r="23" spans="1:9" ht="15.6">
      <c r="A23" s="3250" t="s">
        <v>2951</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H32" sqref="H32"/>
    </sheetView>
  </sheetViews>
  <sheetFormatPr defaultColWidth="12.6640625" defaultRowHeight="21.75" customHeight="1"/>
  <cols>
    <col min="1" max="2" width="12.6640625" style="1242"/>
    <col min="3" max="4" width="12.6640625" style="1242" customWidth="1"/>
    <col min="5" max="9" width="12.6640625" style="1242"/>
    <col min="10" max="11" width="12.6640625" style="1443" customWidth="1"/>
    <col min="12" max="12" width="12.6640625" style="1443"/>
    <col min="13" max="13" width="14.109375" style="1443" bestFit="1" customWidth="1"/>
    <col min="14" max="26" width="12.6640625" style="1443"/>
    <col min="27" max="35" width="12.6640625" style="1431"/>
    <col min="36" max="16384" width="12.6640625" style="1242"/>
  </cols>
  <sheetData>
    <row r="1" spans="1:12" ht="21.75" customHeight="1" thickBot="1">
      <c r="A1" s="17" t="s">
        <v>761</v>
      </c>
      <c r="B1" s="1241"/>
      <c r="C1" s="2096"/>
      <c r="D1" s="1241"/>
      <c r="E1" s="1241"/>
      <c r="F1" s="2080" t="s">
        <v>2102</v>
      </c>
      <c r="G1" s="2053" t="s">
        <v>3054</v>
      </c>
      <c r="H1" s="2109" t="str">
        <f>IF(G1="现房","——","估价对象范围")</f>
        <v>估价对象范围</v>
      </c>
      <c r="I1" s="2086" t="s">
        <v>3180</v>
      </c>
    </row>
    <row r="2" spans="1:12" ht="21.75" customHeight="1" thickBot="1">
      <c r="A2" s="3517" t="str">
        <f>项目基本情况!S2</f>
        <v>北京市北京市经济开发区路东区E6街区EM6-1地块出让国有建设用地使用权及在建建筑物房地产</v>
      </c>
      <c r="B2" s="3518"/>
      <c r="C2" s="3518"/>
      <c r="D2" s="3518"/>
      <c r="E2" s="3518"/>
      <c r="F2" s="3518"/>
      <c r="G2" s="3518"/>
      <c r="H2" s="3518"/>
      <c r="I2" s="3519"/>
    </row>
    <row r="3" spans="1:12" ht="12">
      <c r="A3" s="3521" t="s">
        <v>10</v>
      </c>
      <c r="B3" s="3522"/>
      <c r="C3" s="3522"/>
      <c r="D3" s="3522"/>
      <c r="E3" s="3522"/>
      <c r="F3" s="3522"/>
      <c r="G3" s="3522"/>
      <c r="H3" s="3522"/>
      <c r="I3" s="3522"/>
    </row>
    <row r="4" spans="1:12" ht="14.4">
      <c r="A4" s="428" t="s">
        <v>11</v>
      </c>
      <c r="B4" s="429" t="s">
        <v>12</v>
      </c>
      <c r="C4" s="430" t="s">
        <v>3182</v>
      </c>
      <c r="D4" s="430" t="s">
        <v>3134</v>
      </c>
      <c r="E4" s="3523" t="s">
        <v>762</v>
      </c>
      <c r="F4" s="3524"/>
      <c r="G4" s="3524"/>
      <c r="H4" s="3524"/>
      <c r="I4" s="3525"/>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3.2">
      <c r="A5" s="3496" t="s">
        <v>13</v>
      </c>
      <c r="B5" s="3483">
        <v>25</v>
      </c>
      <c r="C5" s="3499"/>
      <c r="D5" s="3520"/>
      <c r="E5" s="470" t="s">
        <v>802</v>
      </c>
      <c r="F5" s="431"/>
      <c r="G5" s="431"/>
      <c r="H5" s="431"/>
      <c r="I5" s="432"/>
    </row>
    <row r="6" spans="1:12" ht="13.2">
      <c r="A6" s="3496"/>
      <c r="B6" s="3483"/>
      <c r="C6" s="3500"/>
      <c r="D6" s="3520"/>
      <c r="E6" s="470" t="s">
        <v>803</v>
      </c>
      <c r="F6" s="431"/>
      <c r="G6" s="431"/>
      <c r="H6" s="431"/>
      <c r="I6" s="432"/>
    </row>
    <row r="7" spans="1:12" ht="13.2">
      <c r="A7" s="3496"/>
      <c r="B7" s="3483"/>
      <c r="C7" s="3501"/>
      <c r="D7" s="3520"/>
      <c r="E7" s="470" t="s">
        <v>804</v>
      </c>
      <c r="F7" s="431"/>
      <c r="G7" s="431"/>
      <c r="H7" s="431"/>
      <c r="I7" s="432"/>
    </row>
    <row r="8" spans="1:12" ht="13.2">
      <c r="A8" s="3496" t="s">
        <v>14</v>
      </c>
      <c r="B8" s="3483">
        <v>15</v>
      </c>
      <c r="C8" s="3499"/>
      <c r="D8" s="3520"/>
      <c r="E8" s="470" t="s">
        <v>805</v>
      </c>
      <c r="F8" s="431"/>
      <c r="G8" s="431"/>
      <c r="H8" s="431"/>
      <c r="I8" s="432"/>
    </row>
    <row r="9" spans="1:12" ht="13.2">
      <c r="A9" s="3496"/>
      <c r="B9" s="3483"/>
      <c r="C9" s="3501"/>
      <c r="D9" s="3520"/>
      <c r="E9" s="470" t="s">
        <v>806</v>
      </c>
      <c r="F9" s="431"/>
      <c r="G9" s="431"/>
      <c r="H9" s="431"/>
      <c r="I9" s="432"/>
    </row>
    <row r="10" spans="1:12" ht="13.2">
      <c r="A10" s="3496" t="s">
        <v>15</v>
      </c>
      <c r="B10" s="3483">
        <v>15</v>
      </c>
      <c r="C10" s="3499"/>
      <c r="D10" s="3520"/>
      <c r="E10" s="470" t="s">
        <v>807</v>
      </c>
      <c r="F10" s="431"/>
      <c r="G10" s="431"/>
      <c r="H10" s="431"/>
      <c r="I10" s="432"/>
    </row>
    <row r="11" spans="1:12" ht="13.2">
      <c r="A11" s="3496"/>
      <c r="B11" s="3483"/>
      <c r="C11" s="3501"/>
      <c r="D11" s="3520"/>
      <c r="E11" s="470" t="s">
        <v>808</v>
      </c>
      <c r="F11" s="431"/>
      <c r="G11" s="431"/>
      <c r="H11" s="431"/>
      <c r="I11" s="432"/>
    </row>
    <row r="12" spans="1:12" ht="13.2">
      <c r="A12" s="3496" t="s">
        <v>16</v>
      </c>
      <c r="B12" s="3483">
        <v>15</v>
      </c>
      <c r="C12" s="3499"/>
      <c r="D12" s="3520"/>
      <c r="E12" s="470" t="s">
        <v>809</v>
      </c>
      <c r="F12" s="431"/>
      <c r="G12" s="431"/>
      <c r="H12" s="431"/>
      <c r="I12" s="432"/>
    </row>
    <row r="13" spans="1:12" ht="13.2">
      <c r="A13" s="3496"/>
      <c r="B13" s="3483"/>
      <c r="C13" s="3501"/>
      <c r="D13" s="3520"/>
      <c r="E13" s="470" t="s">
        <v>810</v>
      </c>
      <c r="F13" s="431"/>
      <c r="G13" s="431"/>
      <c r="H13" s="431"/>
      <c r="I13" s="432"/>
    </row>
    <row r="14" spans="1:12" ht="13.2">
      <c r="A14" s="3496" t="s">
        <v>17</v>
      </c>
      <c r="B14" s="3483">
        <v>30</v>
      </c>
      <c r="C14" s="3499">
        <v>5</v>
      </c>
      <c r="D14" s="3520">
        <v>5</v>
      </c>
      <c r="E14" s="470" t="s">
        <v>811</v>
      </c>
      <c r="F14" s="431"/>
      <c r="G14" s="431"/>
      <c r="H14" s="431"/>
      <c r="I14" s="432"/>
    </row>
    <row r="15" spans="1:12" ht="13.2">
      <c r="A15" s="3496"/>
      <c r="B15" s="3483"/>
      <c r="C15" s="3500"/>
      <c r="D15" s="3520"/>
      <c r="E15" s="470" t="s">
        <v>812</v>
      </c>
      <c r="F15" s="431"/>
      <c r="G15" s="431"/>
      <c r="H15" s="431"/>
      <c r="I15" s="432"/>
    </row>
    <row r="16" spans="1:12" ht="13.2">
      <c r="A16" s="3496"/>
      <c r="B16" s="3483"/>
      <c r="C16" s="3501"/>
      <c r="D16" s="3520"/>
      <c r="E16" s="470" t="s">
        <v>813</v>
      </c>
      <c r="F16" s="431"/>
      <c r="G16" s="431"/>
      <c r="H16" s="431"/>
      <c r="I16" s="432"/>
    </row>
    <row r="17" spans="1:35" ht="14.4">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4">
      <c r="A19" s="435" t="s">
        <v>180</v>
      </c>
      <c r="B19" s="436" t="s">
        <v>20</v>
      </c>
      <c r="C19" s="473">
        <f ca="1">SUMIF(INDIRECT("'"&amp;C4&amp;"'"&amp;"!A:A"),结果表!B19,INDIRECT("'"&amp;C4&amp;"'"&amp;"!B:B"))</f>
        <v>65943</v>
      </c>
      <c r="D19" s="474">
        <f ca="1">SUMIF(INDIRECT("'"&amp;D4&amp;"'"&amp;"!A:A"),结果表!B19,INDIRECT("'"&amp;D4&amp;"'"&amp;"!B:B"))</f>
        <v>65149</v>
      </c>
      <c r="E19" s="435" t="s">
        <v>179</v>
      </c>
      <c r="F19" s="436" t="s">
        <v>20</v>
      </c>
      <c r="G19" s="475">
        <f ca="1">ROUND(C19*$C$18+D19*$D$18,0)</f>
        <v>65546</v>
      </c>
      <c r="H19" s="437" t="s">
        <v>226</v>
      </c>
      <c r="I19" s="2275"/>
      <c r="K19" s="2182" t="s">
        <v>2125</v>
      </c>
      <c r="L19" s="2182">
        <f>IF(C1="",'数据-汇总表'!D3,SUMIF(项目类型,C1,'数据-汇总表'!D17:D26)+SUMIF(项目类型,C1,'数据-汇总表'!H17:H27))</f>
        <v>101087.14</v>
      </c>
      <c r="M19" s="2182">
        <f>IF(C1="",'数据-汇总表'!D3,SUMIF(项目类型,C1,'数据-汇总表'!D17:D26))</f>
        <v>101087.14</v>
      </c>
    </row>
    <row r="20" spans="1:35" ht="14.4">
      <c r="A20" s="438"/>
      <c r="B20" s="439" t="s">
        <v>21</v>
      </c>
      <c r="C20" s="476">
        <f ca="1">SUMIF(INDIRECT("'"&amp;C4&amp;"'"&amp;"!A:A"),结果表!B20,INDIRECT("'"&amp;C4&amp;"'"&amp;"!B:B"))</f>
        <v>3723</v>
      </c>
      <c r="D20" s="477">
        <f ca="1">SUMIF(INDIRECT("'"&amp;D4&amp;"'"&amp;"!A:A"),结果表!B20,INDIRECT("'"&amp;D4&amp;"'"&amp;"!B:B"))</f>
        <v>3678</v>
      </c>
      <c r="E20" s="438"/>
      <c r="F20" s="439" t="s">
        <v>21</v>
      </c>
      <c r="G20" s="478">
        <f ca="1">ROUND(C20*$C$18+D20*$D$18,0)</f>
        <v>3701</v>
      </c>
      <c r="H20" s="440" t="s">
        <v>225</v>
      </c>
      <c r="I20" s="2275"/>
    </row>
    <row r="21" spans="1:35" ht="15" customHeight="1" thickBot="1">
      <c r="A21" s="442"/>
      <c r="B21" s="443" t="s">
        <v>22</v>
      </c>
      <c r="C21" s="1419">
        <f ca="1">ROUND(C19*10000/L19,0)</f>
        <v>6523</v>
      </c>
      <c r="D21" s="1420">
        <f ca="1">ROUND(D19*10000/L19,0)</f>
        <v>6445</v>
      </c>
      <c r="E21" s="442"/>
      <c r="F21" s="443" t="s">
        <v>22</v>
      </c>
      <c r="G21" s="479">
        <f ca="1">ROUND(G19*10000/L19,0)</f>
        <v>6484</v>
      </c>
      <c r="H21" s="444" t="s">
        <v>225</v>
      </c>
      <c r="I21" s="2275"/>
    </row>
    <row r="22" spans="1:35" ht="15" thickBot="1">
      <c r="A22" s="274" t="s">
        <v>181</v>
      </c>
      <c r="B22" s="1421"/>
      <c r="C22" s="1422"/>
      <c r="D22" s="1423">
        <f ca="1">IF(C19&lt;D19,D19/C19-1,C19/D19-1)</f>
        <v>1.2187447236335247E-2</v>
      </c>
      <c r="E22" s="2275"/>
      <c r="F22" s="2275"/>
      <c r="G22" s="2275"/>
      <c r="H22" s="2275"/>
      <c r="I22" s="2275"/>
    </row>
    <row r="23" spans="1:35" ht="12.6" thickBot="1">
      <c r="A23" s="1241"/>
      <c r="B23" s="1241"/>
      <c r="C23" s="1241"/>
      <c r="D23" s="1241"/>
      <c r="E23" s="2275"/>
      <c r="F23" s="2275"/>
      <c r="G23" s="2275"/>
      <c r="H23" s="2275"/>
      <c r="I23" s="2275"/>
    </row>
    <row r="24" spans="1:35" ht="14.4" hidden="1">
      <c r="A24" s="3490" t="s">
        <v>177</v>
      </c>
      <c r="B24" s="436" t="s">
        <v>20</v>
      </c>
      <c r="C24" s="475">
        <f>IF(B30=0,0,D30)</f>
        <v>0</v>
      </c>
      <c r="D24" s="445"/>
      <c r="E24" s="2275"/>
      <c r="F24" s="2275"/>
      <c r="G24" s="2275"/>
      <c r="H24" s="2275"/>
      <c r="I24" s="2275"/>
    </row>
    <row r="25" spans="1:35" ht="14.4" hidden="1">
      <c r="A25" s="3491"/>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4" hidden="1">
      <c r="A27" s="447"/>
      <c r="B27" s="481">
        <v>0</v>
      </c>
      <c r="C27" s="481">
        <v>0</v>
      </c>
      <c r="D27" s="482">
        <f>ROUND(C27*B27/10000,0)</f>
        <v>0</v>
      </c>
      <c r="E27" s="2275"/>
      <c r="F27" s="2275"/>
      <c r="G27" s="2275"/>
      <c r="H27" s="2275"/>
      <c r="I27" s="2275"/>
    </row>
    <row r="28" spans="1:35" ht="14.4" hidden="1">
      <c r="A28" s="447"/>
      <c r="B28" s="481"/>
      <c r="C28" s="481"/>
      <c r="D28" s="482"/>
      <c r="E28" s="2275"/>
      <c r="F28" s="2275"/>
      <c r="G28" s="2275"/>
      <c r="H28" s="2275"/>
      <c r="I28" s="2275"/>
    </row>
    <row r="29" spans="1:35" ht="14.4" hidden="1">
      <c r="A29" s="447"/>
      <c r="B29" s="481"/>
      <c r="C29" s="481"/>
      <c r="D29" s="482"/>
      <c r="E29" s="2275"/>
      <c r="F29" s="2275"/>
      <c r="G29" s="2275"/>
      <c r="H29" s="2275"/>
      <c r="I29" s="2275"/>
    </row>
    <row r="30" spans="1:35" ht="14.4" hidden="1">
      <c r="A30" s="450" t="s">
        <v>176</v>
      </c>
      <c r="B30" s="483">
        <f>SUM(B27:B29)</f>
        <v>0</v>
      </c>
      <c r="C30" s="483" t="e">
        <f>ROUND(D30*10000/B30,0)</f>
        <v>#DIV/0!</v>
      </c>
      <c r="D30" s="483">
        <f>SUM(D27:D29)</f>
        <v>0</v>
      </c>
      <c r="E30" s="2275"/>
      <c r="F30" s="2275"/>
      <c r="G30" s="2275"/>
      <c r="H30" s="2275"/>
      <c r="I30" s="2275"/>
    </row>
    <row r="31" spans="1:35" s="1243" customFormat="1" ht="1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65546</v>
      </c>
      <c r="D32" s="2090" t="s">
        <v>208</v>
      </c>
      <c r="E32" s="2275"/>
      <c r="F32" s="2275"/>
      <c r="G32" s="2275"/>
      <c r="H32" s="2275"/>
      <c r="I32" s="2275"/>
    </row>
    <row r="33" spans="1:15" ht="14.4">
      <c r="A33" s="456" t="s">
        <v>763</v>
      </c>
      <c r="B33" s="2089"/>
      <c r="C33" s="2872" t="s">
        <v>3183</v>
      </c>
      <c r="D33" s="2875" t="s">
        <v>3182</v>
      </c>
      <c r="E33" s="2087" t="s">
        <v>2104</v>
      </c>
      <c r="F33" s="2088" t="str">
        <f>IF(D32="楼面单价","取值（单价）","取值（总价）")</f>
        <v>取值（总价）</v>
      </c>
      <c r="G33" s="2275"/>
      <c r="H33" s="2275"/>
      <c r="I33" s="2275"/>
    </row>
    <row r="34" spans="1:15" ht="14.4">
      <c r="A34" s="457"/>
      <c r="B34" s="458" t="s">
        <v>766</v>
      </c>
      <c r="C34" s="488">
        <f ca="1">IF(C33="自定义",F34,C32-C35)</f>
        <v>22876</v>
      </c>
      <c r="D34" s="2091">
        <f ca="1">IF(C33="自定义",ROUND(C34/C32,3),IF(C33="收益比率",SUMIF(INDIRECT("'"&amp;D33&amp;"'"&amp;"!b:b"),"土地收益比率",INDIRECT("'"&amp;D33&amp;"'"&amp;"!c:c")),SUMIF(INDIRECT("'"&amp;D33&amp;"'"&amp;"!b:b"),"土地成本比率",INDIRECT("'"&amp;D33&amp;"'"&amp;"!c:c"))))</f>
        <v>0.34899999999999998</v>
      </c>
      <c r="E34" s="2873" t="s">
        <v>2105</v>
      </c>
      <c r="F34" s="3247"/>
      <c r="G34" s="2275"/>
      <c r="H34" s="2275"/>
      <c r="I34" s="2275"/>
    </row>
    <row r="35" spans="1:15" ht="15" thickBot="1">
      <c r="A35" s="460"/>
      <c r="B35" s="2876" t="s">
        <v>768</v>
      </c>
      <c r="C35" s="2877">
        <f ca="1">IF(C33="自定义",F35,ROUND(C32*D35,0))</f>
        <v>42670</v>
      </c>
      <c r="D35" s="2878">
        <f ca="1">IF(C33="自定义",ROUND(C35/C32,3),IF(C33="收益比率",SUMIF(INDIRECT("'"&amp;D33&amp;"'"&amp;"!b:b"),"建筑物收益比率",INDIRECT("'"&amp;D33&amp;"'"&amp;"!c:c")),SUMIF(INDIRECT("'"&amp;D33&amp;"'"&amp;"!b:b"),"建筑物成本比率",INDIRECT("'"&amp;D33&amp;"'"&amp;"!c:c"))))</f>
        <v>0.65100000000000002</v>
      </c>
      <c r="E35" s="2874" t="s">
        <v>2106</v>
      </c>
      <c r="F35" s="494"/>
      <c r="G35" s="2275"/>
      <c r="H35" s="2275"/>
      <c r="I35" s="2275"/>
    </row>
    <row r="36" spans="1:15" ht="15" hidden="1" thickBot="1">
      <c r="A36" s="3509" t="s">
        <v>764</v>
      </c>
      <c r="B36" s="454" t="s">
        <v>765</v>
      </c>
      <c r="C36" s="485"/>
      <c r="D36" s="455"/>
      <c r="E36" s="1244"/>
      <c r="F36" s="2276"/>
      <c r="G36" s="2275"/>
      <c r="H36" s="2275"/>
      <c r="I36" s="2275"/>
    </row>
    <row r="37" spans="1:15" ht="15" hidden="1" thickBot="1">
      <c r="A37" s="3510"/>
      <c r="B37" s="13" t="s">
        <v>767</v>
      </c>
      <c r="C37" s="487"/>
      <c r="D37" s="2224"/>
      <c r="E37" s="2224"/>
      <c r="F37" s="2276"/>
      <c r="G37" s="2275"/>
      <c r="H37" s="2275"/>
      <c r="I37" s="2275"/>
    </row>
    <row r="38" spans="1:15" ht="15" hidden="1" thickBot="1">
      <c r="A38" s="3511"/>
      <c r="B38" s="459" t="s">
        <v>769</v>
      </c>
      <c r="C38" s="1135"/>
      <c r="D38" s="1245" t="s">
        <v>770</v>
      </c>
      <c r="E38" s="2224"/>
      <c r="F38" s="2276"/>
      <c r="G38" s="2275"/>
      <c r="H38" s="2275"/>
      <c r="I38" s="2275"/>
    </row>
    <row r="39" spans="1:15" ht="14.4" hidden="1">
      <c r="A39" s="438" t="s">
        <v>771</v>
      </c>
      <c r="B39" s="461" t="s">
        <v>772</v>
      </c>
      <c r="C39" s="462" t="s">
        <v>773</v>
      </c>
      <c r="D39" s="462" t="s">
        <v>774</v>
      </c>
      <c r="E39" s="463" t="s">
        <v>775</v>
      </c>
      <c r="F39" s="2276"/>
      <c r="G39" s="2275"/>
      <c r="H39" s="2275"/>
      <c r="I39" s="2275"/>
    </row>
    <row r="40" spans="1:15" ht="14.4" hidden="1">
      <c r="A40" s="1246" t="s">
        <v>776</v>
      </c>
      <c r="B40" s="489"/>
      <c r="C40" s="490"/>
      <c r="D40" s="490"/>
      <c r="E40" s="491"/>
      <c r="F40" s="2276"/>
      <c r="G40" s="2275"/>
      <c r="H40" s="2275"/>
      <c r="I40" s="2275"/>
    </row>
    <row r="41" spans="1:15" ht="14.4" hidden="1">
      <c r="A41" s="1246" t="s">
        <v>777</v>
      </c>
      <c r="B41" s="489"/>
      <c r="C41" s="490"/>
      <c r="D41" s="490"/>
      <c r="E41" s="491"/>
      <c r="F41" s="2276"/>
      <c r="G41" s="2275"/>
      <c r="H41" s="2275"/>
      <c r="I41" s="2275"/>
    </row>
    <row r="42" spans="1:15" ht="1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7.399999999999999"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487" t="s">
        <v>794</v>
      </c>
      <c r="B45" s="3488"/>
      <c r="C45" s="3489"/>
      <c r="D45" s="495">
        <f ca="1">ROUND(H101*F45,0)</f>
        <v>65546</v>
      </c>
      <c r="E45" s="496" t="s">
        <v>795</v>
      </c>
      <c r="F45" s="497">
        <v>1</v>
      </c>
      <c r="G45" s="498" t="s">
        <v>796</v>
      </c>
      <c r="H45" s="2275"/>
      <c r="I45" s="2275"/>
      <c r="J45" s="3551" t="s">
        <v>213</v>
      </c>
      <c r="K45" s="3551"/>
      <c r="L45" s="3551"/>
      <c r="M45" s="3551"/>
      <c r="N45" s="3551"/>
      <c r="O45" s="3551"/>
    </row>
    <row r="46" spans="1:15" ht="14.25" hidden="1" customHeight="1">
      <c r="A46" s="3484" t="s">
        <v>285</v>
      </c>
      <c r="B46" s="3485"/>
      <c r="C46" s="3485"/>
      <c r="D46" s="3485"/>
      <c r="E46" s="3485"/>
      <c r="F46" s="3485"/>
      <c r="G46" s="3486"/>
      <c r="H46" s="2277"/>
      <c r="I46" s="2230"/>
      <c r="J46" s="1498">
        <v>1</v>
      </c>
      <c r="K46" s="3551" t="s">
        <v>214</v>
      </c>
      <c r="L46" s="3551"/>
      <c r="M46" s="3575"/>
      <c r="N46" s="3575"/>
      <c r="O46" s="3575"/>
    </row>
    <row r="47" spans="1:15" ht="12" hidden="1" customHeight="1">
      <c r="A47" s="500" t="s">
        <v>286</v>
      </c>
      <c r="B47" s="501"/>
      <c r="C47" s="502"/>
      <c r="D47" s="503" t="s">
        <v>287</v>
      </c>
      <c r="E47" s="312" t="s">
        <v>288</v>
      </c>
      <c r="F47" s="504" t="s">
        <v>797</v>
      </c>
      <c r="G47" s="505" t="s">
        <v>798</v>
      </c>
      <c r="H47" s="2277"/>
      <c r="I47" s="2230"/>
      <c r="J47" s="1498">
        <v>2</v>
      </c>
      <c r="K47" s="3551" t="s">
        <v>215</v>
      </c>
      <c r="L47" s="3551"/>
      <c r="M47" s="3576">
        <f>'数据-取费表'!B2</f>
        <v>43385</v>
      </c>
      <c r="N47" s="3576"/>
      <c r="O47" s="3576"/>
    </row>
    <row r="48" spans="1:15" ht="26.4" hidden="1">
      <c r="A48" s="3516" t="s">
        <v>289</v>
      </c>
      <c r="B48" s="3498"/>
      <c r="C48" s="3498"/>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551" t="s">
        <v>780</v>
      </c>
      <c r="L48" s="3551"/>
      <c r="M48" s="3577">
        <f ca="1">H101</f>
        <v>65546</v>
      </c>
      <c r="N48" s="3577"/>
      <c r="O48" s="3577"/>
    </row>
    <row r="49" spans="1:35" ht="25.5" hidden="1" customHeight="1">
      <c r="A49" s="507" t="s">
        <v>799</v>
      </c>
      <c r="B49" s="3482" t="s">
        <v>800</v>
      </c>
      <c r="C49" s="3482"/>
      <c r="D49" s="508">
        <v>0</v>
      </c>
      <c r="E49" s="311" t="s">
        <v>801</v>
      </c>
      <c r="F49" s="316" t="s">
        <v>171</v>
      </c>
      <c r="G49" s="3557"/>
      <c r="H49" s="2275"/>
      <c r="I49" s="2278"/>
      <c r="J49" s="1498">
        <v>4</v>
      </c>
      <c r="K49" s="3551" t="str">
        <f>IF(项目基本情况!E8="房地产抵押价值","房地产抵押价值","抵押担保权已注销时的房地产抵押价值")</f>
        <v>房地产抵押价值</v>
      </c>
      <c r="L49" s="3551"/>
      <c r="M49" s="3577">
        <f ca="1">IF(项目基本情况!E8="房地产抵押价值",H107,H109)</f>
        <v>65546</v>
      </c>
      <c r="N49" s="3577"/>
      <c r="O49" s="3577"/>
    </row>
    <row r="50" spans="1:35" ht="25.5" hidden="1" customHeight="1">
      <c r="A50" s="509"/>
      <c r="B50" s="3482" t="s">
        <v>292</v>
      </c>
      <c r="C50" s="3482"/>
      <c r="D50" s="510"/>
      <c r="E50" s="319"/>
      <c r="F50" s="511"/>
      <c r="G50" s="3558"/>
      <c r="H50" s="2275"/>
      <c r="I50" s="2278"/>
      <c r="J50" s="3551" t="s">
        <v>216</v>
      </c>
      <c r="K50" s="3551"/>
      <c r="L50" s="3551"/>
      <c r="M50" s="3551"/>
      <c r="N50" s="3551"/>
      <c r="O50" s="3551"/>
    </row>
    <row r="51" spans="1:35" ht="12" hidden="1" customHeight="1">
      <c r="A51" s="512"/>
      <c r="B51" s="3482" t="s">
        <v>293</v>
      </c>
      <c r="C51" s="3482"/>
      <c r="D51" s="513"/>
      <c r="E51" s="318"/>
      <c r="F51" s="511"/>
      <c r="G51" s="3559"/>
      <c r="H51" s="2275"/>
      <c r="I51" s="2278"/>
      <c r="J51" s="3266" t="s">
        <v>217</v>
      </c>
      <c r="K51" s="3551" t="s">
        <v>218</v>
      </c>
      <c r="L51" s="3551"/>
      <c r="M51" s="3266" t="s">
        <v>2988</v>
      </c>
      <c r="N51" s="3266" t="s">
        <v>219</v>
      </c>
      <c r="O51" s="3266" t="s">
        <v>220</v>
      </c>
    </row>
    <row r="52" spans="1:35" ht="24" hidden="1" customHeight="1">
      <c r="A52" s="514" t="s">
        <v>294</v>
      </c>
      <c r="B52" s="3482" t="s">
        <v>295</v>
      </c>
      <c r="C52" s="3482"/>
      <c r="D52" s="513">
        <f ca="1">ROUND(D45*'数据-取费表'!B41/(1+'数据-取费表'!C42),0)</f>
        <v>3433</v>
      </c>
      <c r="E52" s="298" t="s">
        <v>296</v>
      </c>
      <c r="F52" s="515">
        <f>'数据-取费表'!B41</f>
        <v>5.5000000000000007E-2</v>
      </c>
      <c r="G52" s="465"/>
      <c r="H52" s="2275"/>
      <c r="I52" s="2278"/>
      <c r="J52" s="1498">
        <v>1</v>
      </c>
      <c r="K52" s="3552" t="s">
        <v>781</v>
      </c>
      <c r="L52" s="3552"/>
      <c r="M52" s="3267">
        <f>D48</f>
        <v>0</v>
      </c>
      <c r="N52" s="1497" t="str">
        <f>E48</f>
        <v>销售额×税（费）率</v>
      </c>
      <c r="O52" s="3268" t="str">
        <f>F48</f>
        <v>免征</v>
      </c>
    </row>
    <row r="53" spans="1:35" ht="12" hidden="1" customHeight="1">
      <c r="A53" s="514" t="s">
        <v>297</v>
      </c>
      <c r="B53" s="3507" t="s">
        <v>298</v>
      </c>
      <c r="C53" s="3508"/>
      <c r="D53" s="513">
        <f ca="1">ROUND(D45*'数据-取费表'!B41/(1+'数据-取费表'!C42),0)</f>
        <v>3433</v>
      </c>
      <c r="E53" s="298" t="s">
        <v>296</v>
      </c>
      <c r="F53" s="515">
        <f>'数据-取费表'!B41</f>
        <v>5.5000000000000007E-2</v>
      </c>
      <c r="G53" s="465"/>
      <c r="H53" s="2275"/>
      <c r="I53" s="2278"/>
      <c r="J53" s="1498">
        <v>2</v>
      </c>
      <c r="K53" s="3552" t="s">
        <v>782</v>
      </c>
      <c r="L53" s="3552"/>
      <c r="M53" s="3267">
        <f t="shared" ref="M53:O54" ca="1" si="0">D55</f>
        <v>33</v>
      </c>
      <c r="N53" s="1497" t="str">
        <f t="shared" si="0"/>
        <v>销售额×税（费）率</v>
      </c>
      <c r="O53" s="3268">
        <f t="shared" si="0"/>
        <v>5.0000000000000001E-4</v>
      </c>
    </row>
    <row r="54" spans="1:35" ht="12" hidden="1" customHeight="1">
      <c r="A54" s="514" t="s">
        <v>299</v>
      </c>
      <c r="B54" s="3507" t="s">
        <v>300</v>
      </c>
      <c r="C54" s="3508"/>
      <c r="D54" s="513">
        <f ca="1">C68</f>
        <v>3433</v>
      </c>
      <c r="E54" s="318" t="s">
        <v>301</v>
      </c>
      <c r="F54" s="515">
        <f>'数据-取费表'!B41</f>
        <v>5.5000000000000007E-2</v>
      </c>
      <c r="G54" s="465"/>
      <c r="H54" s="2279"/>
      <c r="I54" s="2278"/>
      <c r="J54" s="1498">
        <v>3</v>
      </c>
      <c r="K54" s="3552" t="s">
        <v>783</v>
      </c>
      <c r="L54" s="3552"/>
      <c r="M54" s="3267">
        <f t="shared" ca="1" si="0"/>
        <v>37159</v>
      </c>
      <c r="N54" s="1497" t="str">
        <f t="shared" si="0"/>
        <v>增值额×税（费）率</v>
      </c>
      <c r="O54" s="3269" t="str">
        <f t="shared" si="0"/>
        <v>——</v>
      </c>
    </row>
    <row r="55" spans="1:35" ht="24" hidden="1" customHeight="1">
      <c r="A55" s="3497" t="s">
        <v>302</v>
      </c>
      <c r="B55" s="3498"/>
      <c r="C55" s="3498"/>
      <c r="D55" s="516">
        <f ca="1">IF(H55="个人住宅",0,ROUND(D45*I55,0))</f>
        <v>33</v>
      </c>
      <c r="E55" s="298" t="s">
        <v>303</v>
      </c>
      <c r="F55" s="515">
        <f>IF(H55="正常",I55,"免征")</f>
        <v>5.0000000000000001E-4</v>
      </c>
      <c r="G55" s="465"/>
      <c r="H55" s="1429" t="s">
        <v>155</v>
      </c>
      <c r="I55" s="517">
        <f>'数据-取费表'!B49</f>
        <v>5.0000000000000001E-4</v>
      </c>
      <c r="J55" s="1498" t="str">
        <f>IF(H59="非个人房产","",4)</f>
        <v/>
      </c>
      <c r="K55" s="3552" t="str">
        <f>IF(H59="非个人房产","——","个人所得税")</f>
        <v>——</v>
      </c>
      <c r="L55" s="3552"/>
      <c r="M55" s="3270" t="str">
        <f>D59</f>
        <v>——</v>
      </c>
      <c r="N55" s="3271" t="str">
        <f>E59</f>
        <v>——</v>
      </c>
      <c r="O55" s="3272" t="str">
        <f>F59</f>
        <v>——</v>
      </c>
    </row>
    <row r="56" spans="1:35" ht="25.2" hidden="1">
      <c r="A56" s="3497" t="s">
        <v>304</v>
      </c>
      <c r="B56" s="3498"/>
      <c r="C56" s="3498"/>
      <c r="D56" s="516">
        <f ca="1">IF(H56="个人住宅",D57,D58)</f>
        <v>37159</v>
      </c>
      <c r="E56" s="298" t="s">
        <v>305</v>
      </c>
      <c r="F56" s="515" t="str">
        <f>IF(H56="正常",F58,"免征")</f>
        <v>——</v>
      </c>
      <c r="G56" s="1254" t="s">
        <v>784</v>
      </c>
      <c r="H56" s="1428" t="s">
        <v>155</v>
      </c>
      <c r="I56" s="2280"/>
      <c r="J56" s="1498" t="str">
        <f>IF(项目基本情况!K6="上海银行",IF(J55="",4,J55+1),"")</f>
        <v/>
      </c>
      <c r="K56" s="3579" t="str">
        <f>IF(项目基本情况!K6="上海银行","其他处置费用","")</f>
        <v/>
      </c>
      <c r="L56" s="3580"/>
      <c r="M56" s="3267" t="str">
        <f>IF(项目基本情况!K6="上海银行",M69,"")</f>
        <v/>
      </c>
      <c r="N56" s="3582" t="str">
        <f>IF(项目基本情况!K6="上海银行","包含处置中涉及的律师、诉讼、拍卖、评估等费用","")</f>
        <v/>
      </c>
      <c r="O56" s="3583"/>
    </row>
    <row r="57" spans="1:35" ht="13.2" hidden="1">
      <c r="A57" s="514" t="s">
        <v>290</v>
      </c>
      <c r="B57" s="3514" t="s">
        <v>306</v>
      </c>
      <c r="C57" s="3537"/>
      <c r="D57" s="518">
        <v>0</v>
      </c>
      <c r="E57" s="311" t="s">
        <v>291</v>
      </c>
      <c r="F57" s="486"/>
      <c r="G57" s="465"/>
      <c r="H57" s="2280"/>
      <c r="I57" s="2280"/>
      <c r="J57" s="3562">
        <f>IF(AND(J55="",J56=""),4,IF(项目基本情况!K6="上海银行",结果表!J56+1,结果表!J55+1))</f>
        <v>4</v>
      </c>
      <c r="K57" s="3552" t="s">
        <v>785</v>
      </c>
      <c r="L57" s="3273" t="s">
        <v>221</v>
      </c>
      <c r="M57" s="3274"/>
      <c r="N57" s="3275">
        <f ca="1">SUMIF(M52:M56,"&lt;9e307")</f>
        <v>37192</v>
      </c>
      <c r="O57" s="3276"/>
      <c r="P57" s="3263">
        <f ca="1">N57/M49</f>
        <v>0.56741830165074914</v>
      </c>
    </row>
    <row r="58" spans="1:35" ht="25.2" hidden="1">
      <c r="A58" s="514" t="s">
        <v>294</v>
      </c>
      <c r="B58" s="3514" t="s">
        <v>307</v>
      </c>
      <c r="C58" s="3515"/>
      <c r="D58" s="516">
        <f ca="1">IF(H58="转让取得",C81,C97)</f>
        <v>37159</v>
      </c>
      <c r="E58" s="298" t="s">
        <v>305</v>
      </c>
      <c r="F58" s="312" t="s">
        <v>171</v>
      </c>
      <c r="G58" s="465"/>
      <c r="H58" s="1428" t="s">
        <v>1132</v>
      </c>
      <c r="I58" s="2280"/>
      <c r="J58" s="3562"/>
      <c r="K58" s="3552"/>
      <c r="L58" s="3273" t="s">
        <v>222</v>
      </c>
      <c r="M58" s="3277"/>
      <c r="N58" s="3278" t="str">
        <f ca="1">NUMBERSTRING(INT(N57*10000),2)&amp;"元整"</f>
        <v>叁亿柒仟壹佰玖拾贰万元整</v>
      </c>
      <c r="O58" s="3279"/>
    </row>
    <row r="59" spans="1:35" ht="24.6" hidden="1" thickBot="1">
      <c r="A59" s="3555" t="s">
        <v>308</v>
      </c>
      <c r="B59" s="3556"/>
      <c r="C59" s="3556"/>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53">
        <f>J57+1</f>
        <v>5</v>
      </c>
      <c r="K59" s="3552" t="s">
        <v>172</v>
      </c>
      <c r="L59" s="1497" t="s">
        <v>221</v>
      </c>
      <c r="M59" s="3280"/>
      <c r="N59" s="3281">
        <f ca="1">M49-N57</f>
        <v>28354</v>
      </c>
      <c r="O59" s="3282"/>
    </row>
    <row r="60" spans="1:35" ht="12" hidden="1" customHeight="1">
      <c r="A60" s="1256"/>
      <c r="B60" s="1241"/>
      <c r="C60" s="1241"/>
      <c r="D60" s="1241"/>
      <c r="E60" s="228"/>
      <c r="F60" s="2280"/>
      <c r="G60" s="2280"/>
      <c r="H60" s="2281"/>
      <c r="I60" s="2275"/>
      <c r="J60" s="3554"/>
      <c r="K60" s="3552"/>
      <c r="L60" s="3273" t="s">
        <v>222</v>
      </c>
      <c r="M60" s="3277"/>
      <c r="N60" s="3278" t="str">
        <f ca="1">NUMBERSTRING(INT(N59*10000),2)&amp;"元整"</f>
        <v>贰亿捌仟叁佰伍拾肆万元整</v>
      </c>
      <c r="O60" s="3279"/>
    </row>
    <row r="61" spans="1:35" ht="13.8" hidden="1" thickBot="1">
      <c r="A61" s="3495" t="s">
        <v>309</v>
      </c>
      <c r="B61" s="3495"/>
      <c r="C61" s="3495"/>
      <c r="D61" s="3495"/>
      <c r="E61" s="3495"/>
      <c r="F61" s="2280"/>
      <c r="G61" s="2280"/>
      <c r="H61" s="2281"/>
      <c r="I61" s="2275"/>
      <c r="J61" s="1498">
        <f>J59+1</f>
        <v>6</v>
      </c>
      <c r="K61" s="3552" t="s">
        <v>223</v>
      </c>
      <c r="L61" s="3552"/>
      <c r="M61" s="3283"/>
      <c r="N61" s="3284">
        <f ca="1">ROUND(N59*10000/'数据-汇总表'!E3,0)</f>
        <v>1601</v>
      </c>
      <c r="O61" s="3285"/>
    </row>
    <row r="62" spans="1:35" ht="13.2" hidden="1">
      <c r="A62" s="3512" t="s">
        <v>310</v>
      </c>
      <c r="B62" s="3513"/>
      <c r="C62" s="1915"/>
      <c r="D62" s="1915" t="s">
        <v>318</v>
      </c>
      <c r="E62" s="523" t="s">
        <v>319</v>
      </c>
      <c r="F62" s="2280"/>
      <c r="G62" s="2280"/>
      <c r="H62" s="2281"/>
      <c r="I62" s="2275"/>
    </row>
    <row r="63" spans="1:35" ht="13.2" hidden="1">
      <c r="A63" s="534" t="s">
        <v>1894</v>
      </c>
      <c r="B63" s="524" t="s">
        <v>311</v>
      </c>
      <c r="C63" s="525">
        <f ca="1">ROUND((C64+C65)/(1+'数据-取费表'!C42),0)</f>
        <v>62425</v>
      </c>
      <c r="D63" s="526"/>
      <c r="E63" s="527"/>
      <c r="F63" s="2280"/>
      <c r="G63" s="2280"/>
      <c r="H63" s="2281"/>
      <c r="I63" s="2275"/>
      <c r="J63" s="3581" t="s">
        <v>2981</v>
      </c>
      <c r="K63" s="3262" t="s">
        <v>2982</v>
      </c>
      <c r="L63" s="3260">
        <f ca="1">IF(M49&gt;10000,M49*0.5%,IF(AND(M49&gt;1000,M49&lt;=10000),M49*1%,IF(AND(M49&gt;100,M49&lt;=1000),M49*3%,IF(AND(M49&gt;10,M49&lt;=100),M49*5%,M49*8%))))</f>
        <v>327.73</v>
      </c>
      <c r="M63" s="312">
        <f ca="1">ROUND(L63,1)</f>
        <v>327.7</v>
      </c>
      <c r="Z63" s="1431"/>
      <c r="AI63" s="1242"/>
    </row>
    <row r="64" spans="1:35" ht="14.25" hidden="1" customHeight="1">
      <c r="A64" s="528" t="s">
        <v>1889</v>
      </c>
      <c r="B64" s="529" t="s">
        <v>312</v>
      </c>
      <c r="C64" s="530">
        <f ca="1">D45</f>
        <v>65546</v>
      </c>
      <c r="D64" s="531" t="s">
        <v>167</v>
      </c>
      <c r="E64" s="532"/>
      <c r="F64" s="2280"/>
      <c r="G64" s="2280"/>
      <c r="H64" s="2281"/>
      <c r="I64" s="2275"/>
      <c r="J64" s="3581"/>
      <c r="K64" s="3262" t="s">
        <v>2983</v>
      </c>
      <c r="L64" s="3260">
        <f ca="1">IF(M49&gt;2000,M49*0.5%,IF(AND(M49&gt;1000,M49&lt;=2000),M49*0.6%,IF(AND(M49&gt;500,M49&lt;=1000),M49*0.7%,IF(AND(M49&gt;200,M49&lt;=500),M49*0.8%,IF(AND(M49&gt;100,M49&lt;=200),M49*0.9%,IF(AND(M49&gt;50,M49&lt;=100),M49*1%,IF(AND(M49&gt;20,M49&lt;=50),M49*1.5%,IF(AND(M49&gt;10,M49&lt;=20),M49*2%,IF(AND(M49&gt;1,M49&lt;=10),M49*2.5%)))))))))</f>
        <v>327.73</v>
      </c>
      <c r="M64" s="312">
        <f t="shared" ref="M64:M65" ca="1" si="1">ROUND(L64,1)</f>
        <v>327.7</v>
      </c>
      <c r="N64" s="468" t="s">
        <v>2989</v>
      </c>
      <c r="Z64" s="1431"/>
      <c r="AI64" s="1242"/>
    </row>
    <row r="65" spans="1:35" ht="14.25" hidden="1" customHeight="1">
      <c r="A65" s="528" t="s">
        <v>1890</v>
      </c>
      <c r="B65" s="529" t="s">
        <v>313</v>
      </c>
      <c r="C65" s="533"/>
      <c r="D65" s="531"/>
      <c r="E65" s="532"/>
      <c r="F65" s="2280"/>
      <c r="G65" s="2280"/>
      <c r="H65" s="2281"/>
      <c r="I65" s="2275"/>
      <c r="J65" s="3581"/>
      <c r="K65" s="3262" t="s">
        <v>2984</v>
      </c>
      <c r="L65" s="3260">
        <f ca="1">IF(M49&gt;1000,M49*0.1%,IF(AND(M49&gt;500,M49&lt;=1000),M49*0.5%,IF(AND(M49&gt;50,M49&lt;=500),M49*1%,IF(AND(M49&gt;1,M49&lt;=50),M49*1.5%))))</f>
        <v>65.546000000000006</v>
      </c>
      <c r="M65" s="312">
        <f t="shared" ca="1" si="1"/>
        <v>65.5</v>
      </c>
      <c r="N65" s="468" t="s">
        <v>2990</v>
      </c>
      <c r="Z65" s="1431"/>
      <c r="AI65" s="1242"/>
    </row>
    <row r="66" spans="1:35" ht="14.25" hidden="1" customHeight="1">
      <c r="A66" s="534" t="s">
        <v>1891</v>
      </c>
      <c r="B66" s="535" t="s">
        <v>314</v>
      </c>
      <c r="C66" s="536"/>
      <c r="D66" s="537" t="s">
        <v>167</v>
      </c>
      <c r="E66" s="3312" t="s">
        <v>3024</v>
      </c>
      <c r="F66" s="2280"/>
      <c r="G66" s="2280"/>
      <c r="H66" s="2281"/>
      <c r="I66" s="2275"/>
      <c r="J66" s="3581"/>
      <c r="K66" s="3262" t="s">
        <v>2985</v>
      </c>
      <c r="L66" s="3260">
        <f ca="1">M49*0.5%</f>
        <v>327.73</v>
      </c>
      <c r="M66" s="312">
        <f ca="1">IF(L66&gt;0.5,0.5,ROUND(L66,0))</f>
        <v>0.5</v>
      </c>
      <c r="N66" s="468" t="s">
        <v>2991</v>
      </c>
      <c r="Z66" s="1431"/>
      <c r="AI66" s="1242"/>
    </row>
    <row r="67" spans="1:35" ht="14.25" hidden="1" customHeight="1">
      <c r="A67" s="534" t="s">
        <v>1892</v>
      </c>
      <c r="B67" s="535" t="s">
        <v>315</v>
      </c>
      <c r="C67" s="538">
        <f ca="1">C63-C66</f>
        <v>62425</v>
      </c>
      <c r="D67" s="531" t="s">
        <v>167</v>
      </c>
      <c r="E67" s="532"/>
      <c r="F67" s="2280"/>
      <c r="G67" s="2280"/>
      <c r="H67" s="2281"/>
      <c r="I67" s="2275"/>
      <c r="J67" s="3581"/>
      <c r="K67" s="3262" t="s">
        <v>2986</v>
      </c>
      <c r="L67" s="3260">
        <f ca="1">IF(M49&gt;=10000,(8.25+(M49-10000)*0.01%),IF(AND(M49&gt;=8000,M49&lt;10000),(7.85+(M49-8000)*0.02%),IF(AND(M49&gt;=5000,M49&lt;8000),(6.65+(M49-5000)*0.04%),IF(AND(M49&gt;=2000,M49&lt;5000),(4.25+(PM49-2000)*0.08%),IF(AND(M49&gt;=1000,M49&lt;2000),(2.75+(M49-1000)*0.15%),IF(AND(M49&gt;=100,M49&lt;1000),(0.5+(M49-100)*0.25%),IF(AND(M49&gt;0,M49&lt;100),M49*0.5%)))))))</f>
        <v>13.804600000000001</v>
      </c>
      <c r="M67" s="312">
        <f ca="1">ROUND(L67*0.9,1)</f>
        <v>12.4</v>
      </c>
      <c r="Z67" s="1431"/>
      <c r="AI67" s="1242"/>
    </row>
    <row r="68" spans="1:35" ht="14.25" hidden="1" customHeight="1" thickBot="1">
      <c r="A68" s="539" t="s">
        <v>1893</v>
      </c>
      <c r="B68" s="540" t="s">
        <v>316</v>
      </c>
      <c r="C68" s="541">
        <f ca="1">IF(C67&lt;=0,0,ROUND(C67*D68,0))</f>
        <v>3433</v>
      </c>
      <c r="D68" s="542">
        <f>'数据-取费表'!B41</f>
        <v>5.5000000000000007E-2</v>
      </c>
      <c r="E68" s="543"/>
      <c r="F68" s="2280"/>
      <c r="G68" s="2280"/>
      <c r="H68" s="2281"/>
      <c r="I68" s="2275"/>
      <c r="J68" s="3581"/>
      <c r="K68" s="3262" t="s">
        <v>2987</v>
      </c>
      <c r="L68" s="3260">
        <f ca="1">IF(M49&gt;10000,M49*0.5%,IF(AND(M49&gt;5000,M49&lt;=10000),M49*1%,IF(AND(M49&gt;1000,M49&lt;=5000),M49*2%,IF(AND(M49&gt;200,M49&lt;=1000),M49*3%,M49*5%))))</f>
        <v>327.73</v>
      </c>
      <c r="M68" s="312">
        <f ca="1">ROUND(L68,1)</f>
        <v>327.7</v>
      </c>
      <c r="Z68" s="1431"/>
      <c r="AI68" s="1242"/>
    </row>
    <row r="69" spans="1:35" s="1243" customFormat="1" ht="16.5" hidden="1" customHeight="1">
      <c r="A69" s="1257"/>
      <c r="B69" s="1258"/>
      <c r="C69" s="1259"/>
      <c r="D69" s="1260"/>
      <c r="E69" s="1261"/>
      <c r="F69" s="228"/>
      <c r="G69" s="228"/>
      <c r="H69" s="240"/>
      <c r="I69" s="1241"/>
      <c r="J69" s="3581"/>
      <c r="K69" s="3262" t="s">
        <v>187</v>
      </c>
      <c r="L69" s="3261"/>
      <c r="M69" s="312">
        <f ca="1">ROUND(SUM(M63:M68),0)</f>
        <v>1062</v>
      </c>
      <c r="N69" s="3263">
        <f ca="1">M69/M49</f>
        <v>1.6202361700180027E-2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5" hidden="1" thickBot="1">
      <c r="A70" s="3535" t="s">
        <v>317</v>
      </c>
      <c r="B70" s="3536"/>
      <c r="C70" s="3536"/>
      <c r="D70" s="3536"/>
      <c r="E70" s="3536"/>
      <c r="F70" s="3536"/>
      <c r="G70" s="3536"/>
      <c r="H70" s="3536"/>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4" hidden="1">
      <c r="A71" s="3512" t="s">
        <v>310</v>
      </c>
      <c r="B71" s="3513"/>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4" hidden="1">
      <c r="A72" s="534" t="s">
        <v>1894</v>
      </c>
      <c r="B72" s="535" t="s">
        <v>320</v>
      </c>
      <c r="C72" s="538">
        <f ca="1">ROUND(D45/(1+'数据-取费表'!C42),0)</f>
        <v>62425</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4" hidden="1">
      <c r="A73" s="534" t="s">
        <v>1891</v>
      </c>
      <c r="B73" s="504" t="s">
        <v>321</v>
      </c>
      <c r="C73" s="538">
        <f ca="1">C74+C78</f>
        <v>312</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28.8"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07" t="s">
        <v>326</v>
      </c>
      <c r="F76" s="3482"/>
      <c r="G76" s="3482"/>
      <c r="H76" s="3534"/>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2498</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312</v>
      </c>
      <c r="D78" s="557">
        <f>'数据-取费表'!B43</f>
        <v>5.000000000000001E-3</v>
      </c>
      <c r="E78" s="3502" t="s">
        <v>2499</v>
      </c>
      <c r="F78" s="3493"/>
      <c r="G78" s="3493"/>
      <c r="H78" s="3503"/>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4" hidden="1">
      <c r="A79" s="1797" t="s">
        <v>1900</v>
      </c>
      <c r="B79" s="535" t="s">
        <v>329</v>
      </c>
      <c r="C79" s="538">
        <f ca="1">C72-C73</f>
        <v>62113</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199.0801282051282</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6" hidden="1" thickBot="1">
      <c r="A81" s="1798" t="s">
        <v>1902</v>
      </c>
      <c r="B81" s="540" t="s">
        <v>331</v>
      </c>
      <c r="C81" s="559">
        <f ca="1">ROUND(IF(C79&lt;=0,0,IF(C80&gt;=200%,C79*60%-C73*35%,IF(C80&gt;=100%,C79*50%-C73*15%,IF(C80&gt;=50%,C79*40%-C73*5%,IF(C80&lt;50%,C79*30%,0))))),0)</f>
        <v>37159</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5" hidden="1" thickBot="1">
      <c r="A83" s="3535" t="s">
        <v>332</v>
      </c>
      <c r="B83" s="3536"/>
      <c r="C83" s="3536"/>
      <c r="D83" s="3536"/>
      <c r="E83" s="3536"/>
      <c r="F83" s="3536"/>
      <c r="G83" s="3536"/>
      <c r="H83" s="3536"/>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4.4" hidden="1">
      <c r="A84" s="3512" t="s">
        <v>310</v>
      </c>
      <c r="B84" s="3513"/>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4.4" hidden="1">
      <c r="A85" s="534" t="s">
        <v>1894</v>
      </c>
      <c r="B85" s="535" t="s">
        <v>320</v>
      </c>
      <c r="C85" s="538">
        <f ca="1">ROUND(D45/(1+'数据-取费表'!C42),0)</f>
        <v>62425</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4.4" hidden="1">
      <c r="A86" s="534" t="s">
        <v>1891</v>
      </c>
      <c r="B86" s="504" t="s">
        <v>321</v>
      </c>
      <c r="C86" s="538">
        <f ca="1">IF(H88="仅含出让金",C87+C90+C91+C92+C93+C94,C87+C91+C92+C93+C94)</f>
        <v>312</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4.4"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4.4"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4.4"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4.4"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492" t="s">
        <v>793</v>
      </c>
      <c r="F91" s="3493"/>
      <c r="G91" s="3493"/>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492" t="s">
        <v>341</v>
      </c>
      <c r="F92" s="3493"/>
      <c r="G92" s="3493"/>
      <c r="H92" s="3503"/>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312</v>
      </c>
      <c r="D93" s="557">
        <f>'数据-取费表'!B43</f>
        <v>5.000000000000001E-3</v>
      </c>
      <c r="E93" s="3502" t="s">
        <v>2499</v>
      </c>
      <c r="F93" s="3493"/>
      <c r="G93" s="3493"/>
      <c r="H93" s="3503"/>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04" t="s">
        <v>3039</v>
      </c>
      <c r="F94" s="3505"/>
      <c r="G94" s="3505"/>
      <c r="H94" s="3506"/>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4.4" hidden="1">
      <c r="A95" s="1797" t="s">
        <v>1900</v>
      </c>
      <c r="B95" s="535" t="s">
        <v>329</v>
      </c>
      <c r="C95" s="538">
        <f ca="1">ROUND(C85-C86,0)</f>
        <v>62113</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199.0801282051282</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6" hidden="1" thickBot="1">
      <c r="A97" s="1798" t="s">
        <v>1902</v>
      </c>
      <c r="B97" s="540" t="s">
        <v>331</v>
      </c>
      <c r="C97" s="559">
        <f ca="1">ROUND(IF(C95&lt;=0,0,IF(C96&gt;=200%,C95*60%-C86*35%,IF(C96&gt;=100%,C95*50%-C86*15%,IF(C96&gt;=50%,C95*40%-C86*5%,IF(C96&lt;50%,C95*30%,0))))),0)</f>
        <v>37159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6" t="s">
        <v>228</v>
      </c>
      <c r="B100" s="3477"/>
      <c r="C100" s="3477"/>
      <c r="D100" s="3494"/>
      <c r="E100" s="3477" t="s">
        <v>2895</v>
      </c>
      <c r="F100" s="3477"/>
      <c r="G100" s="3477"/>
      <c r="H100" s="3494"/>
      <c r="I100" s="2275"/>
    </row>
    <row r="101" spans="1:35" ht="18.75" customHeight="1">
      <c r="A101" s="3560" t="s">
        <v>206</v>
      </c>
      <c r="B101" s="3561"/>
      <c r="C101" s="1264" t="str">
        <f>C4</f>
        <v>成本法</v>
      </c>
      <c r="D101" s="1265" t="str">
        <f>D4</f>
        <v>假设开发法</v>
      </c>
      <c r="E101" s="3578" t="s">
        <v>1908</v>
      </c>
      <c r="F101" s="3527"/>
      <c r="G101" s="1266" t="s">
        <v>208</v>
      </c>
      <c r="H101" s="1983">
        <f ca="1">H118</f>
        <v>65546</v>
      </c>
      <c r="I101" s="2275"/>
    </row>
    <row r="102" spans="1:35" ht="18.75" customHeight="1">
      <c r="A102" s="3529" t="s">
        <v>207</v>
      </c>
      <c r="B102" s="1266" t="s">
        <v>208</v>
      </c>
      <c r="C102" s="1233">
        <f ca="1">C19</f>
        <v>65943</v>
      </c>
      <c r="D102" s="1234">
        <f ca="1">D19</f>
        <v>65149</v>
      </c>
      <c r="E102" s="3578"/>
      <c r="F102" s="3527"/>
      <c r="G102" s="1266" t="s">
        <v>209</v>
      </c>
      <c r="H102" s="709">
        <f ca="1">I118</f>
        <v>3701</v>
      </c>
      <c r="I102" s="2275"/>
    </row>
    <row r="103" spans="1:35" ht="42.75" customHeight="1">
      <c r="A103" s="3529"/>
      <c r="B103" s="1266" t="s">
        <v>209</v>
      </c>
      <c r="C103" s="1235">
        <f ca="1">C20</f>
        <v>3723</v>
      </c>
      <c r="D103" s="1236">
        <f ca="1">D20</f>
        <v>3678</v>
      </c>
      <c r="E103" s="3573" t="s">
        <v>3004</v>
      </c>
      <c r="F103" s="3574"/>
      <c r="G103" s="1267" t="s">
        <v>211</v>
      </c>
      <c r="H103" s="1983">
        <f>IF(D36="正常操作",H104+H105+H106,H105+H106)</f>
        <v>0</v>
      </c>
      <c r="I103" s="2275"/>
    </row>
    <row r="104" spans="1:35" ht="18.75" customHeight="1">
      <c r="A104" s="3529" t="s">
        <v>210</v>
      </c>
      <c r="B104" s="1268" t="s">
        <v>208</v>
      </c>
      <c r="C104" s="1237">
        <f ca="1">H118</f>
        <v>65546</v>
      </c>
      <c r="D104" s="1238"/>
      <c r="E104" s="13" t="s">
        <v>1907</v>
      </c>
      <c r="F104" s="6"/>
      <c r="G104" s="1267" t="s">
        <v>211</v>
      </c>
      <c r="H104" s="1984">
        <f>IF(D36="同一抵押权人同一抵押物续贷",C36&amp;"（未扣减，详见特别提示）",C36)</f>
        <v>0</v>
      </c>
      <c r="I104" s="2275"/>
    </row>
    <row r="105" spans="1:35" ht="18.75" customHeight="1" thickBot="1">
      <c r="A105" s="3530"/>
      <c r="B105" s="1269" t="s">
        <v>209</v>
      </c>
      <c r="C105" s="1239">
        <f ca="1">I118</f>
        <v>3701</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6" t="str">
        <f>IF(项目基本情况!E8="已注销","——","3.房地产抵押价值")</f>
        <v>3.房地产抵押价值</v>
      </c>
      <c r="F107" s="3527"/>
      <c r="G107" s="1266" t="s">
        <v>208</v>
      </c>
      <c r="H107" s="1983">
        <f ca="1">IF(E107="——","——",H101-H103)</f>
        <v>65546</v>
      </c>
      <c r="I107" s="2275"/>
    </row>
    <row r="108" spans="1:35" ht="18.75" customHeight="1">
      <c r="A108" s="2275"/>
      <c r="B108" s="2275"/>
      <c r="C108" s="2275"/>
      <c r="D108" s="2275"/>
      <c r="E108" s="3526"/>
      <c r="F108" s="3527"/>
      <c r="G108" s="1266" t="s">
        <v>209</v>
      </c>
      <c r="H108" s="709">
        <f ca="1">ROUND(H107*10000/'数据-汇总表'!E3,0)</f>
        <v>3701</v>
      </c>
      <c r="I108" s="2275"/>
    </row>
    <row r="109" spans="1:35" ht="18.75" customHeight="1">
      <c r="A109" s="2275"/>
      <c r="B109" s="2275"/>
      <c r="C109" s="2275"/>
      <c r="D109" s="2275"/>
      <c r="E109" s="3526" t="str">
        <f>IF(项目基本情况!E8="已注销及未注销","4.抵押担保权已注销时的房地产抵押价值",IF(项目基本情况!E8="已注销","3.抵押担保权已注销时的房地产抵押价值","——"))</f>
        <v>——</v>
      </c>
      <c r="F109" s="3527"/>
      <c r="G109" s="1266" t="s">
        <v>208</v>
      </c>
      <c r="H109" s="684" t="str">
        <f>IF(E109="——","——",H101-H105-H106)</f>
        <v>——</v>
      </c>
      <c r="I109" s="2275"/>
    </row>
    <row r="110" spans="1:35" ht="18.75" customHeight="1">
      <c r="A110" s="2275"/>
      <c r="B110" s="2275"/>
      <c r="C110" s="2275"/>
      <c r="D110" s="2275"/>
      <c r="E110" s="3526"/>
      <c r="F110" s="3527"/>
      <c r="G110" s="1266" t="s">
        <v>209</v>
      </c>
      <c r="H110" s="709" t="str">
        <f>IF(H109="——","——",ROUND(H109*10000/'数据-汇总表'!E3,0))</f>
        <v>——</v>
      </c>
      <c r="I110" s="2275"/>
    </row>
    <row r="111" spans="1:35" ht="18.75" customHeight="1">
      <c r="A111" s="2275"/>
      <c r="B111" s="2275"/>
      <c r="C111" s="2275"/>
      <c r="D111" s="2275"/>
      <c r="E111" s="3563" t="str">
        <f>IF(项目基本情况!E9="抵押净值",IF(OR(项目基本情况!E8="已注销",项目基本情况!E8="房地产抵押价值"),"4.抵押净值","5.抵押净值"),"——")</f>
        <v>——</v>
      </c>
      <c r="F111" s="3564"/>
      <c r="G111" s="1266" t="s">
        <v>208</v>
      </c>
      <c r="H111" s="1983" t="str">
        <f>IF(E111="——","——",N59)</f>
        <v>——</v>
      </c>
      <c r="I111" s="2275"/>
    </row>
    <row r="112" spans="1:35" ht="18.75" customHeight="1" thickBot="1">
      <c r="A112" s="2275"/>
      <c r="B112" s="2275"/>
      <c r="C112" s="2275"/>
      <c r="D112" s="2275"/>
      <c r="E112" s="3565"/>
      <c r="F112" s="3566"/>
      <c r="G112" s="1270" t="s">
        <v>209</v>
      </c>
      <c r="H112" s="1420" t="str">
        <f>IF(E111="——","——",N61)</f>
        <v>——</v>
      </c>
      <c r="I112" s="2275"/>
    </row>
    <row r="113" spans="1:11" ht="18.75" customHeight="1">
      <c r="A113" s="2275"/>
      <c r="B113" s="2275"/>
      <c r="C113" s="2275"/>
      <c r="D113" s="2275"/>
      <c r="E113" s="3531" t="s">
        <v>2001</v>
      </c>
      <c r="F113" s="3531"/>
      <c r="G113" s="3531"/>
      <c r="H113" s="3531"/>
      <c r="I113" s="2275"/>
    </row>
    <row r="114" spans="1:11" ht="3.75" customHeight="1">
      <c r="A114" s="1241"/>
      <c r="B114" s="1241"/>
      <c r="C114" s="1241"/>
      <c r="D114" s="1241"/>
      <c r="E114" s="1256"/>
      <c r="F114" s="1256"/>
      <c r="G114" s="1256"/>
      <c r="H114" s="1256"/>
      <c r="I114" s="1241"/>
    </row>
    <row r="115" spans="1:11" ht="18.75" customHeight="1">
      <c r="A115" s="3545" t="s">
        <v>224</v>
      </c>
      <c r="B115" s="3546"/>
      <c r="C115" s="3546"/>
      <c r="D115" s="3546"/>
      <c r="E115" s="3546"/>
      <c r="F115" s="3546"/>
      <c r="G115" s="3546"/>
      <c r="H115" s="3546"/>
      <c r="I115" s="3547"/>
    </row>
    <row r="116" spans="1:11" ht="27" customHeight="1">
      <c r="A116" s="3434" t="s">
        <v>5</v>
      </c>
      <c r="B116" s="3532" t="s">
        <v>3190</v>
      </c>
      <c r="C116" s="3532" t="s">
        <v>3191</v>
      </c>
      <c r="D116" s="3549" t="s">
        <v>204</v>
      </c>
      <c r="E116" s="3550"/>
      <c r="F116" s="3541" t="s">
        <v>2377</v>
      </c>
      <c r="G116" s="3541"/>
      <c r="H116" s="3434" t="s">
        <v>6</v>
      </c>
      <c r="I116" s="3434"/>
    </row>
    <row r="117" spans="1:11" ht="18.75" customHeight="1">
      <c r="A117" s="3434"/>
      <c r="B117" s="3533"/>
      <c r="C117" s="3533"/>
      <c r="D117" s="1912" t="s">
        <v>7</v>
      </c>
      <c r="E117" s="1912" t="s">
        <v>786</v>
      </c>
      <c r="F117" s="1912" t="s">
        <v>7</v>
      </c>
      <c r="G117" s="1912" t="s">
        <v>8</v>
      </c>
      <c r="H117" s="1912" t="s">
        <v>7</v>
      </c>
      <c r="I117" s="1912" t="s">
        <v>8</v>
      </c>
    </row>
    <row r="118" spans="1:11" ht="76.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22876</v>
      </c>
      <c r="E118" s="1917">
        <f ca="1">ROUND(IF(C33="自定义",IF(D32="楼面单价",C34,D118*10000/B118),I118-G118),0)</f>
        <v>1292</v>
      </c>
      <c r="F118" s="1917">
        <f ca="1">ROUND(IF(D32="总价",C35,G118*B118/10000),0)</f>
        <v>42670</v>
      </c>
      <c r="G118" s="1917">
        <f ca="1">ROUND(IF(D32="楼面单价",C35,F118*10000/B118),0)</f>
        <v>2409</v>
      </c>
      <c r="H118" s="1917">
        <f ca="1">ROUND(IF(D32="总价",C32,I118*B118/10000),0)</f>
        <v>65546</v>
      </c>
      <c r="I118" s="1917">
        <f ca="1">ROUND(IF(D32="楼面单价",C32,H118*10000/B118),0)</f>
        <v>3701</v>
      </c>
    </row>
    <row r="119" spans="1:11" ht="18.75" customHeight="1">
      <c r="A119" s="3434" t="s">
        <v>9</v>
      </c>
      <c r="B119" s="3434"/>
      <c r="C119" s="3434"/>
      <c r="D119" s="3538" t="str">
        <f ca="1">NUMBERSTRING(INT(D118*10000),2)&amp;"元整"</f>
        <v>贰亿贰仟捌佰柒拾陆万元整</v>
      </c>
      <c r="E119" s="3540"/>
      <c r="F119" s="3538" t="str">
        <f ca="1">NUMBERSTRING(INT(F118*10000),2)&amp;"元整"</f>
        <v>肆亿贰仟陆佰柒拾万元整</v>
      </c>
      <c r="G119" s="3540"/>
      <c r="H119" s="3538" t="str">
        <f ca="1">NUMBERSTRING(INT(H118*10000),2)&amp;"元整"</f>
        <v>陆亿伍仟伍佰肆拾陆万元整</v>
      </c>
      <c r="I119" s="3540"/>
    </row>
    <row r="120" spans="1:11" ht="18.75" customHeight="1">
      <c r="A120" s="3570" t="str">
        <f>IF(项目基本情况!B9="房地产市场价值","",MID(E103,3,LEN(E103)-2))</f>
        <v>估价师知悉的法定优先受偿款</v>
      </c>
      <c r="B120" s="3571"/>
      <c r="C120" s="3572"/>
      <c r="D120" s="3567">
        <f>H103</f>
        <v>0</v>
      </c>
      <c r="E120" s="3568"/>
      <c r="F120" s="3568"/>
      <c r="G120" s="3568"/>
      <c r="H120" s="3568"/>
      <c r="I120" s="3569"/>
      <c r="K120" s="1431" t="str">
        <f>IF(D120=0,"故，本次评估不存在"&amp;A120,"故，本次评估"&amp;A120&amp;"为人民币"&amp;D120&amp;"万元整。")</f>
        <v>故，本次评估不存在估价师知悉的法定优先受偿款</v>
      </c>
    </row>
    <row r="121" spans="1:11" ht="18.75" customHeight="1">
      <c r="A121" s="3542" t="s">
        <v>9</v>
      </c>
      <c r="B121" s="3543"/>
      <c r="C121" s="3544"/>
      <c r="D121" s="3538" t="str">
        <f>IF(D120=0,"零元整",NUMBERSTRING(INT(D120*10000),2)&amp;"元整")</f>
        <v>零元整</v>
      </c>
      <c r="E121" s="3539"/>
      <c r="F121" s="3539"/>
      <c r="G121" s="3539"/>
      <c r="H121" s="3539"/>
      <c r="I121" s="3540"/>
    </row>
    <row r="122" spans="1:11" ht="18.75" customHeight="1">
      <c r="A122" s="3528" t="str">
        <f>IF(项目基本情况!B9="房地产市场价值","",MID(E107,3,LEN(E107)-2))</f>
        <v>房地产抵押价值</v>
      </c>
      <c r="B122" s="3528"/>
      <c r="C122" s="3528"/>
      <c r="D122" s="3567">
        <f ca="1">H107</f>
        <v>65546</v>
      </c>
      <c r="E122" s="3568"/>
      <c r="F122" s="3568"/>
      <c r="G122" s="3568"/>
      <c r="H122" s="3568"/>
      <c r="I122" s="3569"/>
    </row>
    <row r="123" spans="1:11" ht="18.75" customHeight="1">
      <c r="A123" s="3434" t="s">
        <v>9</v>
      </c>
      <c r="B123" s="3434"/>
      <c r="C123" s="3434"/>
      <c r="D123" s="3538" t="str">
        <f ca="1">NUMBERSTRING(INT(D122*10000),2)&amp;"元整"</f>
        <v>陆亿伍仟伍佰肆拾陆万元整</v>
      </c>
      <c r="E123" s="3539"/>
      <c r="F123" s="3539"/>
      <c r="G123" s="3539"/>
      <c r="H123" s="3539"/>
      <c r="I123" s="3540"/>
    </row>
    <row r="124" spans="1:11" ht="18.75" hidden="1" customHeight="1">
      <c r="A124" s="3528" t="str">
        <f>IF(项目基本情况!B9="房地产市场价值","",MID(E109,3,LEN(E109)-2))</f>
        <v/>
      </c>
      <c r="B124" s="3528"/>
      <c r="C124" s="3528"/>
      <c r="D124" s="3567" t="str">
        <f>H109</f>
        <v>——</v>
      </c>
      <c r="E124" s="3568"/>
      <c r="F124" s="3568"/>
      <c r="G124" s="3568"/>
      <c r="H124" s="3568"/>
      <c r="I124" s="3569"/>
    </row>
    <row r="125" spans="1:11" ht="18.75" hidden="1" customHeight="1">
      <c r="A125" s="3434" t="s">
        <v>9</v>
      </c>
      <c r="B125" s="3434"/>
      <c r="C125" s="3434"/>
      <c r="D125" s="3538" t="e">
        <f>NUMBERSTRING(INT(D124*10000),2)&amp;"元整"</f>
        <v>#VALUE!</v>
      </c>
      <c r="E125" s="3539"/>
      <c r="F125" s="3539"/>
      <c r="G125" s="3539"/>
      <c r="H125" s="3539"/>
      <c r="I125" s="3540"/>
    </row>
    <row r="126" spans="1:11" ht="18.75" hidden="1" customHeight="1">
      <c r="A126" s="3528" t="str">
        <f>IF(项目基本情况!B9="房地产市场价值","",MID(E111,3,LEN(E111)-2))</f>
        <v/>
      </c>
      <c r="B126" s="3528"/>
      <c r="C126" s="3528"/>
      <c r="D126" s="3567" t="str">
        <f>H111</f>
        <v>——</v>
      </c>
      <c r="E126" s="3568"/>
      <c r="F126" s="3568"/>
      <c r="G126" s="3568"/>
      <c r="H126" s="3568"/>
      <c r="I126" s="3569"/>
    </row>
    <row r="127" spans="1:11" ht="18.75" hidden="1" customHeight="1">
      <c r="A127" s="3434" t="s">
        <v>9</v>
      </c>
      <c r="B127" s="3434"/>
      <c r="C127" s="3434"/>
      <c r="D127" s="3538" t="e">
        <f>NUMBERSTRING(INT(D126*10000),2)&amp;"元整"</f>
        <v>#VALUE!</v>
      </c>
      <c r="E127" s="3539"/>
      <c r="F127" s="3539"/>
      <c r="G127" s="3539"/>
      <c r="H127" s="3539"/>
      <c r="I127" s="3540"/>
    </row>
    <row r="128" spans="1:11" ht="21.75" customHeight="1">
      <c r="A128" s="3548" t="s">
        <v>2000</v>
      </c>
      <c r="B128" s="3548"/>
      <c r="C128" s="3548"/>
      <c r="D128" s="3548"/>
      <c r="E128" s="3548"/>
      <c r="F128" s="3548"/>
      <c r="G128" s="3548"/>
      <c r="H128" s="3548"/>
      <c r="I128" s="3548"/>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3194</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3195</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3195</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8" sqref="E28"/>
    </sheetView>
  </sheetViews>
  <sheetFormatPr defaultColWidth="8.33203125" defaultRowHeight="13.2"/>
  <cols>
    <col min="1" max="1" width="10.33203125" style="644" customWidth="1"/>
    <col min="2" max="2" width="29.21875" style="626" customWidth="1"/>
    <col min="3" max="3" width="12.109375" style="626" customWidth="1"/>
    <col min="4" max="5" width="11.21875" style="647" customWidth="1"/>
    <col min="6" max="6" width="9.44140625" style="626" customWidth="1"/>
    <col min="7" max="7" width="31.88671875" style="626" customWidth="1"/>
    <col min="8" max="254" width="9" style="626" customWidth="1"/>
    <col min="255" max="16384" width="8.33203125" style="626"/>
  </cols>
  <sheetData>
    <row r="1" spans="1:9" s="575" customFormat="1" ht="21">
      <c r="A1" s="571" t="s">
        <v>814</v>
      </c>
      <c r="B1" s="2750"/>
      <c r="C1" s="573"/>
      <c r="D1" s="573"/>
      <c r="E1" s="573"/>
      <c r="F1" s="573"/>
      <c r="G1" s="2751">
        <f>MATCH(B1,'数据-取费表'!A6:A16,0)+5</f>
        <v>7</v>
      </c>
    </row>
    <row r="2" spans="1:9" s="575" customFormat="1" ht="18" customHeight="1">
      <c r="A2" s="576" t="s">
        <v>444</v>
      </c>
      <c r="B2" s="577">
        <f ca="1">IF(D2="——",C52,C52-E2)</f>
        <v>65943</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3723</v>
      </c>
      <c r="C3" s="85" t="s">
        <v>865</v>
      </c>
      <c r="D3" s="574"/>
      <c r="E3" s="574"/>
      <c r="F3" s="574"/>
      <c r="G3" s="574"/>
    </row>
    <row r="4" spans="1:9" s="583" customFormat="1" ht="16.2">
      <c r="A4" s="580" t="s">
        <v>817</v>
      </c>
      <c r="B4" s="581"/>
      <c r="C4" s="581"/>
      <c r="D4" s="581"/>
      <c r="E4" s="581"/>
      <c r="F4" s="581"/>
      <c r="G4" s="582"/>
    </row>
    <row r="5" spans="1:9" s="589" customFormat="1" ht="13.5" customHeight="1">
      <c r="A5" s="630" t="s">
        <v>2500</v>
      </c>
      <c r="B5" s="585" t="s">
        <v>818</v>
      </c>
      <c r="C5" s="586">
        <f ca="1">C6+C7+C8</f>
        <v>18758</v>
      </c>
      <c r="D5" s="586" t="s">
        <v>819</v>
      </c>
      <c r="E5" s="587" t="s">
        <v>820</v>
      </c>
      <c r="F5" s="587" t="s">
        <v>821</v>
      </c>
      <c r="G5" s="588"/>
    </row>
    <row r="6" spans="1:9" s="589" customFormat="1" ht="13.5" customHeight="1">
      <c r="A6" s="1801" t="s">
        <v>1920</v>
      </c>
      <c r="B6" s="590" t="s">
        <v>822</v>
      </c>
      <c r="C6" s="591">
        <f ca="1">'土地比较法-工业'!B2+基准地价修正!E39</f>
        <v>18203</v>
      </c>
      <c r="D6" s="592"/>
      <c r="E6" s="593"/>
      <c r="F6" s="593"/>
      <c r="G6" s="594"/>
    </row>
    <row r="7" spans="1:9" s="589" customFormat="1" ht="13.5" customHeight="1">
      <c r="A7" s="1801" t="s">
        <v>1921</v>
      </c>
      <c r="B7" s="590" t="s">
        <v>345</v>
      </c>
      <c r="C7" s="595">
        <f ca="1">ROUND(C6*F7,0)</f>
        <v>555</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2677</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3189</v>
      </c>
      <c r="H9" s="2799"/>
      <c r="I9" s="2800" t="s">
        <v>2681</v>
      </c>
    </row>
    <row r="10" spans="1:9" s="589" customFormat="1" ht="13.5" customHeight="1">
      <c r="A10" s="1802" t="s">
        <v>1930</v>
      </c>
      <c r="B10" s="599" t="s">
        <v>825</v>
      </c>
      <c r="C10" s="600">
        <f ca="1">ROUND(D10*E10/10000,0)</f>
        <v>3365</v>
      </c>
      <c r="D10" s="1906">
        <f ca="1">IF(B1="",'数据-汇总表'!E6,IF(INDIRECT("'数据-取费表'!c"&amp;$G$1)="住宅",INDIRECT("'数据-取费表'!s"&amp;$G$1),INDIRECT("'数据-取费表'!k"&amp;$G$1)+INDIRECT("'数据-取费表'!s"&amp;$G$1)))</f>
        <v>177117.85000000003</v>
      </c>
      <c r="E10" s="600">
        <f>'数据-取费表'!B28</f>
        <v>190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t="str">
        <f>IF(G19="已包含在土地取得成本中","0",ROUND(D19*E19/10000,0))</f>
        <v>0</v>
      </c>
      <c r="D19" s="1910">
        <f ca="1">D9+D10</f>
        <v>177117.85000000003</v>
      </c>
      <c r="E19" s="586">
        <f>'数据-取费表'!B31</f>
        <v>200</v>
      </c>
      <c r="F19" s="606"/>
      <c r="G19" s="84" t="s">
        <v>3181</v>
      </c>
    </row>
    <row r="20" spans="1:7" s="589" customFormat="1" ht="13.5" customHeight="1">
      <c r="A20" s="1800" t="s">
        <v>2503</v>
      </c>
      <c r="B20" s="585" t="s">
        <v>835</v>
      </c>
      <c r="C20" s="607">
        <f ca="1">ROUND((C5+C19)*F20,0)</f>
        <v>375</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1177</v>
      </c>
      <c r="D22" s="610">
        <f ca="1">C26</f>
        <v>2.9999999999999997E-4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698">
        <f ca="1">ROUND(IF('数据-取费表'!B22&lt;=1,C5*F22*'数据-取费表'!B23,C5*(POWER((1+F22),'数据-取费表'!B23)-1)),0)</f>
        <v>1166</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2504</v>
      </c>
      <c r="C25" s="2698">
        <f ca="1">ROUND(IF('数据-取费表'!B22&lt;=1,C20*F22*'数据-取费表'!B23/2,C20*(POWER((1+F22),'数据-取费表'!B23/2)-1)),0)</f>
        <v>11</v>
      </c>
      <c r="D25" s="613"/>
      <c r="E25" s="616"/>
      <c r="F25" s="614"/>
      <c r="G25" s="617" t="s">
        <v>841</v>
      </c>
    </row>
    <row r="26" spans="1:7" s="589" customFormat="1">
      <c r="A26" s="1803" t="s">
        <v>1924</v>
      </c>
      <c r="B26" s="590" t="s">
        <v>2506</v>
      </c>
      <c r="C26" s="613">
        <f ca="1">ROUND(IF('数据-取费表'!B22&lt;=1,F21*F22*'数据-取费表'!B23/2,F21*(POWER((1+F22),'数据-取费表'!B23/2)-1)),4)</f>
        <v>2.9999999999999997E-4</v>
      </c>
      <c r="D26" s="613"/>
      <c r="E26" s="616"/>
      <c r="F26" s="614"/>
      <c r="G26" s="618"/>
    </row>
    <row r="27" spans="1:7" s="589" customFormat="1" ht="26.4">
      <c r="A27" s="1800" t="s">
        <v>1916</v>
      </c>
      <c r="B27" s="619" t="s">
        <v>843</v>
      </c>
      <c r="C27" s="620">
        <f ca="1">C28</f>
        <v>1244</v>
      </c>
      <c r="D27" s="610">
        <f ca="1">C29</f>
        <v>6.9999999999999999E-4</v>
      </c>
      <c r="E27" s="611" t="s">
        <v>857</v>
      </c>
      <c r="F27" s="621">
        <f ca="1">IF(B1="",'数据-取费表'!Q16,INDIRECT("'数据-取费表'!q"&amp;$G$1))</f>
        <v>0.1</v>
      </c>
      <c r="G27" s="622" t="s">
        <v>2515</v>
      </c>
    </row>
    <row r="28" spans="1:7" s="589" customFormat="1" ht="13.5" customHeight="1">
      <c r="A28" s="1803" t="s">
        <v>1920</v>
      </c>
      <c r="B28" s="623" t="s">
        <v>2508</v>
      </c>
      <c r="C28" s="624">
        <f ca="1">ROUND((C5+C19+C20)*F27*'数据-取费表'!B21/'数据-取费表'!B20,0)</f>
        <v>1244</v>
      </c>
      <c r="D28" s="610"/>
      <c r="E28" s="611"/>
      <c r="F28" s="621"/>
      <c r="G28" s="622"/>
    </row>
    <row r="29" spans="1:7" s="589" customFormat="1" ht="13.5" customHeight="1">
      <c r="A29" s="1803" t="s">
        <v>1921</v>
      </c>
      <c r="B29" s="623" t="s">
        <v>2509</v>
      </c>
      <c r="C29" s="613">
        <f ca="1">ROUND(C21*F27*'数据-取费表'!B21/'数据-取费表'!B20,4)</f>
        <v>6.9999999999999999E-4</v>
      </c>
      <c r="D29" s="610"/>
      <c r="E29" s="611"/>
      <c r="F29" s="621"/>
      <c r="G29" s="622"/>
    </row>
    <row r="30" spans="1:7" s="589" customFormat="1" ht="13.5" customHeight="1">
      <c r="A30" s="1800" t="s">
        <v>1917</v>
      </c>
      <c r="B30" s="585" t="s">
        <v>346</v>
      </c>
      <c r="C30" s="610">
        <f>ROUND(F30/(1+'数据-取费表'!C42),4)</f>
        <v>5.2400000000000002E-2</v>
      </c>
      <c r="D30" s="611" t="s">
        <v>2932</v>
      </c>
      <c r="E30" s="616"/>
      <c r="F30" s="612">
        <f>'数据-取费表'!B41</f>
        <v>5.5000000000000007E-2</v>
      </c>
      <c r="G30" s="2618" t="s">
        <v>2933</v>
      </c>
    </row>
    <row r="31" spans="1:7" ht="16.5" customHeight="1">
      <c r="A31" s="584">
        <v>1</v>
      </c>
      <c r="B31" s="585" t="s">
        <v>859</v>
      </c>
      <c r="C31" s="586">
        <f ca="1">ROUND((C5+C19+C20+C22+C27)/(1-C21-D22-D27-C30),0)</f>
        <v>23013</v>
      </c>
      <c r="D31" s="605"/>
      <c r="E31" s="586"/>
      <c r="F31" s="625"/>
      <c r="G31" s="609" t="s">
        <v>2516</v>
      </c>
    </row>
    <row r="32" spans="1:7" s="583" customFormat="1" ht="16.2">
      <c r="A32" s="627" t="s">
        <v>845</v>
      </c>
      <c r="B32" s="628"/>
      <c r="C32" s="628"/>
      <c r="D32" s="628"/>
      <c r="E32" s="628"/>
      <c r="F32" s="628"/>
      <c r="G32" s="629"/>
    </row>
    <row r="33" spans="1:7" s="589" customFormat="1" ht="13.5" customHeight="1">
      <c r="A33" s="630" t="s">
        <v>1911</v>
      </c>
      <c r="B33" s="585" t="s">
        <v>846</v>
      </c>
      <c r="C33" s="631">
        <f ca="1">SUM(C34:C38)</f>
        <v>34855</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31150</v>
      </c>
      <c r="D34" s="592"/>
      <c r="E34" s="595"/>
      <c r="F34" s="632">
        <f ca="1">IF('数据-取费表'!B24=0,1,IF(B1="",'数据-取费表'!N16,INDIRECT("'数据-取费表'!n"&amp;$G$1)))</f>
        <v>0.65</v>
      </c>
      <c r="G34" s="594" t="s">
        <v>847</v>
      </c>
    </row>
    <row r="35" spans="1:7" ht="13.5" customHeight="1">
      <c r="A35" s="1803" t="s">
        <v>1925</v>
      </c>
      <c r="B35" s="590" t="s">
        <v>348</v>
      </c>
      <c r="C35" s="595">
        <f ca="1">ROUND(C34*F35,0)</f>
        <v>935</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2303</v>
      </c>
      <c r="D37" s="592">
        <f ca="1">D19</f>
        <v>177117.85000000003</v>
      </c>
      <c r="E37" s="624">
        <f>'数据-取费表'!B35</f>
        <v>200</v>
      </c>
      <c r="F37" s="634"/>
      <c r="G37" s="636" t="s">
        <v>850</v>
      </c>
    </row>
    <row r="38" spans="1:7" ht="13.5" customHeight="1">
      <c r="A38" s="1803" t="s">
        <v>1928</v>
      </c>
      <c r="B38" s="590" t="s">
        <v>351</v>
      </c>
      <c r="C38" s="595">
        <f ca="1">ROUND(C34*F38,0)</f>
        <v>467</v>
      </c>
      <c r="D38" s="595"/>
      <c r="E38" s="595"/>
      <c r="F38" s="634">
        <f>'数据-取费表'!B36</f>
        <v>1.4999999999999999E-2</v>
      </c>
      <c r="G38" s="594" t="s">
        <v>848</v>
      </c>
    </row>
    <row r="39" spans="1:7" s="589" customFormat="1" ht="13.5" customHeight="1">
      <c r="A39" s="1800" t="s">
        <v>1912</v>
      </c>
      <c r="B39" s="585" t="s">
        <v>835</v>
      </c>
      <c r="C39" s="607">
        <f ca="1">ROUND(C33*F20,0)</f>
        <v>697</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1088</v>
      </c>
      <c r="D41" s="610">
        <f ca="1">C44</f>
        <v>2.9999999999999997E-4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ROUND(IF('数据-取费表'!B22&lt;=1,C33*F22*'数据-取费表'!B21/2,C33*(POWER((1+F22),'数据-取费表'!B21/2)-1)),0)</f>
        <v>1067</v>
      </c>
      <c r="D42" s="613"/>
      <c r="E42" s="613"/>
      <c r="F42" s="614"/>
      <c r="G42" s="3584" t="s">
        <v>852</v>
      </c>
    </row>
    <row r="43" spans="1:7" ht="13.5" customHeight="1">
      <c r="A43" s="1803" t="s">
        <v>1921</v>
      </c>
      <c r="B43" s="590" t="s">
        <v>2510</v>
      </c>
      <c r="C43" s="613">
        <f ca="1">ROUND(IF('数据-取费表'!B22&lt;=1,C39*F22*'数据-取费表'!B21/2,C39*(POWER((1+F22),'数据-取费表'!B21/2)-1)),0)</f>
        <v>21</v>
      </c>
      <c r="D43" s="613"/>
      <c r="E43" s="613"/>
      <c r="F43" s="614"/>
      <c r="G43" s="3585"/>
    </row>
    <row r="44" spans="1:7" ht="13.5" customHeight="1">
      <c r="A44" s="1803" t="s">
        <v>1922</v>
      </c>
      <c r="B44" s="590" t="s">
        <v>2512</v>
      </c>
      <c r="C44" s="613">
        <f ca="1">ROUND(IF('数据-取费表'!B22&lt;=1,C40*F22*'数据-取费表'!B21/2,C40*(POWER((1+F22),'数据-取费表'!B21/2)-1)),4)</f>
        <v>2.9999999999999997E-4</v>
      </c>
      <c r="D44" s="613"/>
      <c r="E44" s="613"/>
      <c r="F44" s="614"/>
      <c r="G44" s="3586"/>
    </row>
    <row r="45" spans="1:7" s="589" customFormat="1" ht="13.5" customHeight="1">
      <c r="A45" s="1800" t="s">
        <v>1915</v>
      </c>
      <c r="B45" s="619" t="s">
        <v>843</v>
      </c>
      <c r="C45" s="620">
        <f ca="1">C46</f>
        <v>3555</v>
      </c>
      <c r="D45" s="610">
        <f ca="1">C47</f>
        <v>1E-3</v>
      </c>
      <c r="E45" s="611" t="s">
        <v>860</v>
      </c>
      <c r="F45" s="621"/>
      <c r="G45" s="622" t="s">
        <v>2518</v>
      </c>
    </row>
    <row r="46" spans="1:7" s="589" customFormat="1" ht="13.5" customHeight="1">
      <c r="A46" s="1803" t="s">
        <v>1920</v>
      </c>
      <c r="B46" s="623" t="s">
        <v>2511</v>
      </c>
      <c r="C46" s="624">
        <f ca="1">ROUND((C33+C39)*F27,0)</f>
        <v>3555</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2934</v>
      </c>
      <c r="E48" s="607"/>
      <c r="F48" s="612"/>
      <c r="G48" s="2618" t="s">
        <v>2935</v>
      </c>
    </row>
    <row r="49" spans="1:7" ht="16.5" customHeight="1">
      <c r="A49" s="1800" t="s">
        <v>1917</v>
      </c>
      <c r="B49" s="585" t="s">
        <v>862</v>
      </c>
      <c r="C49" s="607">
        <f ca="1">ROUND((C33+C39+C41+C45)/(1-C40-D41-D45-C48),0)</f>
        <v>42930</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42930</v>
      </c>
      <c r="D51" s="607"/>
      <c r="E51" s="607"/>
      <c r="F51" s="639"/>
      <c r="G51" s="609" t="s">
        <v>352</v>
      </c>
    </row>
    <row r="52" spans="1:7" s="583" customFormat="1" ht="16.8" thickBot="1">
      <c r="A52" s="640" t="s">
        <v>353</v>
      </c>
      <c r="B52" s="641"/>
      <c r="C52" s="642">
        <f ca="1">C31+C51</f>
        <v>65943</v>
      </c>
      <c r="D52" s="641"/>
      <c r="E52" s="641"/>
      <c r="F52" s="641"/>
      <c r="G52" s="643"/>
    </row>
    <row r="54" spans="1:7">
      <c r="E54" s="647">
        <f ca="1">1-C40-C44-C47-C48</f>
        <v>0.93630000000000002</v>
      </c>
    </row>
    <row r="55" spans="1:7" ht="15">
      <c r="B55" s="645" t="s">
        <v>354</v>
      </c>
      <c r="C55" s="646"/>
      <c r="E55" s="3385">
        <f ca="1">C33+C39+C41+C45</f>
        <v>40195</v>
      </c>
    </row>
    <row r="56" spans="1:7">
      <c r="B56" s="2870" t="s">
        <v>2693</v>
      </c>
      <c r="C56" s="650">
        <f ca="1">1-C57</f>
        <v>0.34899999999999998</v>
      </c>
      <c r="E56" s="647">
        <f ca="1">E55/E54</f>
        <v>42929.616575883796</v>
      </c>
    </row>
    <row r="57" spans="1:7">
      <c r="B57" s="2870" t="s">
        <v>2692</v>
      </c>
      <c r="C57" s="649">
        <f ca="1">ROUND(C51/C52,3)</f>
        <v>0.65100000000000002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ColWidth="9" defaultRowHeight="14.4"/>
  <cols>
    <col min="1" max="1" width="3.44140625" style="1886" customWidth="1"/>
    <col min="2" max="9" width="10" style="1886" customWidth="1"/>
    <col min="10" max="16384" width="9" style="1886"/>
  </cols>
  <sheetData>
    <row r="36" spans="1:9">
      <c r="A36" s="1885" t="s">
        <v>1961</v>
      </c>
      <c r="B36" s="1885" t="s">
        <v>1962</v>
      </c>
    </row>
    <row r="37" spans="1:9" ht="27.75" customHeight="1">
      <c r="A37" s="1885"/>
      <c r="B37" s="3391" t="str">
        <f>项目基本情况!B1</f>
        <v>北京市北京市经济开发区路东区E6街区EM6-1地块出让国有建设用地使用权及在建建筑物房地产抵押价值预评估</v>
      </c>
      <c r="C37" s="3391"/>
      <c r="D37" s="3391"/>
      <c r="E37" s="3391"/>
      <c r="F37" s="3391"/>
      <c r="G37" s="3391"/>
      <c r="H37" s="3391"/>
      <c r="I37" s="3391"/>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c r="B46" s="1885" t="str">
        <f ca="1">项目基本情况!K4</f>
        <v>欧红伟（注册号：1120000080)、梁津（注册号：1119970066)</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3203125" defaultRowHeight="13.2"/>
  <cols>
    <col min="1" max="1" width="9.33203125" style="644" customWidth="1"/>
    <col min="2" max="2" width="29.21875" style="626" customWidth="1"/>
    <col min="3" max="3" width="12.109375" style="626" customWidth="1"/>
    <col min="4" max="5" width="11.21875" style="647" customWidth="1"/>
    <col min="6" max="6" width="9.44140625" style="626" customWidth="1"/>
    <col min="7" max="7" width="31.88671875" style="626" customWidth="1"/>
    <col min="8" max="8" width="10.77734375" style="626" customWidth="1"/>
    <col min="9" max="254" width="9" style="626" customWidth="1"/>
    <col min="255" max="16384" width="8.33203125" style="626"/>
  </cols>
  <sheetData>
    <row r="1" spans="1:8" s="575" customFormat="1" ht="21">
      <c r="A1" s="571" t="s">
        <v>814</v>
      </c>
      <c r="B1" s="2750"/>
      <c r="C1" s="2755" t="s">
        <v>2623</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76049</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4294</v>
      </c>
      <c r="C3" s="85" t="s">
        <v>865</v>
      </c>
      <c r="D3" s="574"/>
      <c r="E3" s="574"/>
      <c r="F3" s="574"/>
      <c r="G3" s="574"/>
    </row>
    <row r="4" spans="1:8" s="583" customFormat="1" ht="16.2">
      <c r="A4" s="580" t="s">
        <v>817</v>
      </c>
      <c r="B4" s="581"/>
      <c r="C4" s="581"/>
      <c r="D4" s="581"/>
      <c r="E4" s="581"/>
      <c r="F4" s="581"/>
      <c r="G4" s="582"/>
    </row>
    <row r="5" spans="1:8" s="589" customFormat="1" ht="13.5" customHeight="1">
      <c r="A5" s="630" t="s">
        <v>1911</v>
      </c>
      <c r="B5" s="585" t="s">
        <v>818</v>
      </c>
      <c r="C5" s="586">
        <f ca="1">C6+C7+C8</f>
        <v>33652392</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33652392</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33652392</v>
      </c>
      <c r="D10" s="1906">
        <f ca="1">IF(B1="",'数据-汇总表'!E6,IF(INDIRECT("'数据-取费表'!c"&amp;$G$1)="住宅",INDIRECT("'数据-取费表'!s"&amp;$G$1),INDIRECT("'数据-取费表'!k"&amp;$G$1)+INDIRECT("'数据-取费表'!s"&amp;$G$1)))</f>
        <v>177117.85000000003</v>
      </c>
      <c r="E10" s="600">
        <f>'数据-取费表'!B28</f>
        <v>190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1381519</v>
      </c>
      <c r="D20" s="607"/>
      <c r="E20" s="607"/>
      <c r="F20" s="608">
        <f>'数据-取费表'!B37</f>
        <v>0.02</v>
      </c>
      <c r="G20" s="2618" t="s">
        <v>2514</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6783691</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753">
        <f ca="1">ROUND(IF('数据-取费表'!B22&lt;=1,C5*F22*'数据-取费表'!B22,C5*(POWER((1+F22),'数据-取费表'!B22)-1)),0)</f>
        <v>3272905</v>
      </c>
      <c r="D23" s="613"/>
      <c r="E23" s="613"/>
      <c r="F23" s="614"/>
      <c r="G23" s="615" t="s">
        <v>839</v>
      </c>
    </row>
    <row r="24" spans="1:7" s="589" customFormat="1" ht="13.5" customHeight="1">
      <c r="A24" s="1803" t="s">
        <v>1921</v>
      </c>
      <c r="B24" s="590" t="s">
        <v>2502</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2504</v>
      </c>
      <c r="C25" s="2753">
        <f ca="1">ROUND(IF('数据-取费表'!B22&lt;=1,C20*F22*'数据-取费表'!B22/2,C20*(POWER((1+F22),'数据-取费表'!B22/2)-1)),0)</f>
        <v>65622</v>
      </c>
      <c r="D25" s="613"/>
      <c r="E25" s="616"/>
      <c r="F25" s="614"/>
      <c r="G25" s="617" t="s">
        <v>841</v>
      </c>
    </row>
    <row r="26" spans="1:7" s="589" customFormat="1">
      <c r="A26" s="1803" t="s">
        <v>1924</v>
      </c>
      <c r="B26" s="590" t="s">
        <v>2506</v>
      </c>
      <c r="C26" s="613">
        <f ca="1">ROUND(IF('数据-取费表'!B22&lt;=1,F21*F22*'数据-取费表'!B22/2,F21*(POWER((1+F22),'数据-取费表'!B22/2)-1)),4)</f>
        <v>5.0000000000000001E-4</v>
      </c>
      <c r="D26" s="613"/>
      <c r="E26" s="616"/>
      <c r="F26" s="614"/>
      <c r="G26" s="618"/>
    </row>
    <row r="27" spans="1:7" s="589" customFormat="1" ht="26.4">
      <c r="A27" s="1800" t="s">
        <v>1916</v>
      </c>
      <c r="B27" s="619" t="s">
        <v>843</v>
      </c>
      <c r="C27" s="620">
        <f ca="1">C28</f>
        <v>7045748</v>
      </c>
      <c r="D27" s="610">
        <f ca="1">C29</f>
        <v>1E-3</v>
      </c>
      <c r="E27" s="611" t="s">
        <v>857</v>
      </c>
      <c r="F27" s="621">
        <f ca="1">IF(B1="",'数据-取费表'!Q16,INDIRECT("'数据-取费表'!q"&amp;$G$1))</f>
        <v>0.1</v>
      </c>
      <c r="G27" s="622" t="s">
        <v>2515</v>
      </c>
    </row>
    <row r="28" spans="1:7" s="589" customFormat="1" ht="13.5" customHeight="1">
      <c r="A28" s="1803" t="s">
        <v>1920</v>
      </c>
      <c r="B28" s="623" t="s">
        <v>2508</v>
      </c>
      <c r="C28" s="624">
        <f ca="1">ROUND((C5+C19+C20)*F27,0)</f>
        <v>7045748</v>
      </c>
      <c r="D28" s="610"/>
      <c r="E28" s="611"/>
      <c r="F28" s="621"/>
      <c r="G28" s="622"/>
    </row>
    <row r="29" spans="1:7" s="589" customFormat="1" ht="13.5" customHeight="1">
      <c r="A29" s="1803" t="s">
        <v>1921</v>
      </c>
      <c r="B29" s="623" t="s">
        <v>2509</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2936</v>
      </c>
      <c r="E30" s="616"/>
      <c r="F30" s="612">
        <f>'数据-取费表'!B41</f>
        <v>5.5000000000000007E-2</v>
      </c>
      <c r="G30" s="2618" t="s">
        <v>2937</v>
      </c>
    </row>
    <row r="31" spans="1:7" ht="16.5" customHeight="1">
      <c r="A31" s="584">
        <v>1</v>
      </c>
      <c r="B31" s="585" t="s">
        <v>859</v>
      </c>
      <c r="C31" s="586">
        <f ca="1">ROUND((C5+C19+C20+C22+C27)/(1-C21-D22-D27-C30),0)</f>
        <v>90040508</v>
      </c>
      <c r="D31" s="605"/>
      <c r="E31" s="586"/>
      <c r="F31" s="625"/>
      <c r="G31" s="609" t="s">
        <v>2516</v>
      </c>
    </row>
    <row r="32" spans="1:7" s="583" customFormat="1" ht="16.2">
      <c r="A32" s="627" t="s">
        <v>2618</v>
      </c>
      <c r="B32" s="628"/>
      <c r="C32" s="628"/>
      <c r="D32" s="628"/>
      <c r="E32" s="628"/>
      <c r="F32" s="628"/>
      <c r="G32" s="629"/>
    </row>
    <row r="33" spans="1:7" s="589" customFormat="1" ht="13.5" customHeight="1">
      <c r="A33" s="630" t="s">
        <v>1911</v>
      </c>
      <c r="B33" s="2754" t="s">
        <v>2619</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ROUND(IF('数据-取费表'!B22&lt;=1,C33*F22*'数据-取费表'!B20/2,C33*(POWER((1+F22),'数据-取费表'!B20/2)-1)),0)</f>
        <v>25470196</v>
      </c>
      <c r="D42" s="613"/>
      <c r="E42" s="613"/>
      <c r="F42" s="614"/>
      <c r="G42" s="3587" t="s">
        <v>2622</v>
      </c>
    </row>
    <row r="43" spans="1:7" ht="13.5" customHeight="1">
      <c r="A43" s="1803" t="s">
        <v>1921</v>
      </c>
      <c r="B43" s="590" t="s">
        <v>2502</v>
      </c>
      <c r="C43" s="613">
        <f ca="1">ROUND(IF('数据-取费表'!B22&lt;=1,C39*F22*'数据-取费表'!B20/2,C39*(POWER((1+F22),'数据-取费表'!B20/2)-1)),0)</f>
        <v>509404</v>
      </c>
      <c r="D43" s="613"/>
      <c r="E43" s="613"/>
      <c r="F43" s="614"/>
      <c r="G43" s="3585"/>
    </row>
    <row r="44" spans="1:7" ht="13.5" customHeight="1">
      <c r="A44" s="1803" t="s">
        <v>1922</v>
      </c>
      <c r="B44" s="590" t="s">
        <v>2504</v>
      </c>
      <c r="C44" s="613">
        <f ca="1">ROUND(IF('数据-取费表'!B22&lt;=1,C40*F22*'数据-取费表'!B20/2,C40*(POWER((1+F22),'数据-取费表'!B20/2)-1)),4)</f>
        <v>5.0000000000000001E-4</v>
      </c>
      <c r="D44" s="613"/>
      <c r="E44" s="613"/>
      <c r="F44" s="614"/>
      <c r="G44" s="3586"/>
    </row>
    <row r="45" spans="1:7" s="589" customFormat="1" ht="13.5" customHeight="1">
      <c r="A45" s="1800" t="s">
        <v>1915</v>
      </c>
      <c r="B45" s="619" t="s">
        <v>843</v>
      </c>
      <c r="C45" s="620">
        <f ca="1">C46</f>
        <v>54693894</v>
      </c>
      <c r="D45" s="610">
        <f ca="1">C47</f>
        <v>1E-3</v>
      </c>
      <c r="E45" s="611" t="s">
        <v>860</v>
      </c>
      <c r="F45" s="621"/>
      <c r="G45" s="622" t="s">
        <v>2518</v>
      </c>
    </row>
    <row r="46" spans="1:7" s="589" customFormat="1" ht="13.5" customHeight="1">
      <c r="A46" s="1803" t="s">
        <v>1920</v>
      </c>
      <c r="B46" s="623" t="s">
        <v>2511</v>
      </c>
      <c r="C46" s="624">
        <f ca="1">ROUND((C33+C39)*F27,0)</f>
        <v>54693894</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2934</v>
      </c>
      <c r="E48" s="607"/>
      <c r="F48" s="612"/>
      <c r="G48" s="2618" t="s">
        <v>2935</v>
      </c>
    </row>
    <row r="49" spans="1:7" ht="16.5" customHeight="1">
      <c r="A49" s="1800" t="s">
        <v>1917</v>
      </c>
      <c r="B49" s="585" t="s">
        <v>2620</v>
      </c>
      <c r="C49" s="607">
        <f ca="1">ROUND((C33+C39+C41+C45)/(1-C40-D41-D45-C48),0)</f>
        <v>670454479</v>
      </c>
      <c r="D49" s="607"/>
      <c r="E49" s="607"/>
      <c r="F49" s="639"/>
      <c r="G49" s="609" t="s">
        <v>2519</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2621</v>
      </c>
      <c r="C51" s="607">
        <f ca="1">ROUND(C49*F50,0)</f>
        <v>670454479</v>
      </c>
      <c r="D51" s="607"/>
      <c r="E51" s="607"/>
      <c r="F51" s="639"/>
      <c r="G51" s="609" t="s">
        <v>352</v>
      </c>
    </row>
    <row r="52" spans="1:7" s="583" customFormat="1" ht="16.8" thickBot="1">
      <c r="A52" s="640" t="s">
        <v>353</v>
      </c>
      <c r="B52" s="641"/>
      <c r="C52" s="642">
        <f ca="1">C31+C51</f>
        <v>760494987</v>
      </c>
      <c r="D52" s="641"/>
      <c r="E52" s="641"/>
      <c r="F52" s="641"/>
      <c r="G52" s="643"/>
    </row>
    <row r="55" spans="1:7" ht="15">
      <c r="B55" s="645" t="s">
        <v>354</v>
      </c>
      <c r="C55" s="646"/>
    </row>
    <row r="56" spans="1:7">
      <c r="B56" s="2870" t="s">
        <v>2693</v>
      </c>
      <c r="C56" s="650">
        <f ca="1">1-C57</f>
        <v>0.11799999999999999</v>
      </c>
    </row>
    <row r="57" spans="1:7">
      <c r="B57" s="2870" t="s">
        <v>2692</v>
      </c>
      <c r="C57" s="649">
        <f ca="1">ROUND(C51/C52,3)</f>
        <v>0.88200000000000001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topLeftCell="A7" workbookViewId="0">
      <selection activeCell="H21" sqref="H21"/>
    </sheetView>
  </sheetViews>
  <sheetFormatPr defaultColWidth="6.6640625" defaultRowHeight="13.2"/>
  <cols>
    <col min="1" max="1" width="9.77734375" style="1463" customWidth="1"/>
    <col min="2" max="2" width="25.77734375" style="1804" customWidth="1"/>
    <col min="3" max="3" width="10.33203125" style="1848" customWidth="1"/>
    <col min="4" max="4" width="9.88671875" style="1804" customWidth="1"/>
    <col min="5" max="5" width="9.44140625" style="1463" customWidth="1"/>
    <col min="6" max="6" width="10.109375" style="1804" customWidth="1"/>
    <col min="7" max="7" width="10.77734375" style="1804" customWidth="1"/>
    <col min="8" max="8" width="10" style="1804" customWidth="1"/>
    <col min="9" max="11" width="9.44140625" style="1804" customWidth="1"/>
    <col min="12" max="12" width="9" style="1804" customWidth="1"/>
    <col min="13" max="13" width="10.44140625" style="1804" bestFit="1" customWidth="1"/>
    <col min="14" max="254" width="9" style="1804" customWidth="1"/>
    <col min="255" max="16384" width="6.6640625" style="1804"/>
  </cols>
  <sheetData>
    <row r="1" spans="1:33" ht="21">
      <c r="A1" s="571" t="s">
        <v>866</v>
      </c>
      <c r="B1" s="3048"/>
      <c r="C1" s="3049"/>
      <c r="D1" s="3047"/>
      <c r="E1" s="651"/>
      <c r="F1" s="651"/>
      <c r="G1" s="3048"/>
      <c r="H1" s="651"/>
      <c r="I1" s="651"/>
      <c r="J1" s="651"/>
      <c r="K1" s="651">
        <f>MATCH(C1,'数据-取费表'!A6:A16,0)+5</f>
        <v>7</v>
      </c>
    </row>
    <row r="2" spans="1:33" ht="18" customHeight="1">
      <c r="A2" s="576" t="s">
        <v>815</v>
      </c>
      <c r="B2" s="579">
        <f ca="1">C32</f>
        <v>65149</v>
      </c>
      <c r="C2" s="88" t="s">
        <v>1098</v>
      </c>
      <c r="D2" s="651"/>
      <c r="E2" s="651"/>
      <c r="F2" s="651"/>
      <c r="G2" s="651"/>
      <c r="H2" s="651"/>
      <c r="I2" s="651"/>
      <c r="J2" s="651"/>
      <c r="K2" s="651"/>
    </row>
    <row r="3" spans="1:33" ht="18" customHeight="1" thickBot="1">
      <c r="A3" s="578" t="s">
        <v>816</v>
      </c>
      <c r="B3" s="579">
        <f ca="1">ROUND(B2*10000/IF(C1="",'数据-汇总表'!E3,INDIRECT("'数据-取费表'!K"&amp;$K$1)),0)</f>
        <v>3678</v>
      </c>
      <c r="C3" s="88" t="s">
        <v>865</v>
      </c>
      <c r="D3" s="651"/>
      <c r="E3" s="651"/>
      <c r="F3" s="651"/>
      <c r="G3" s="651"/>
      <c r="H3" s="651"/>
      <c r="I3" s="651"/>
      <c r="J3" s="651"/>
      <c r="K3" s="651"/>
    </row>
    <row r="4" spans="1:33" s="1808" customFormat="1" ht="16.5" customHeight="1">
      <c r="A4" s="1805" t="s">
        <v>867</v>
      </c>
      <c r="B4" s="1806"/>
      <c r="C4" s="1849">
        <f ca="1">SUM(C8:K8)</f>
        <v>102577</v>
      </c>
      <c r="D4" s="1806"/>
      <c r="E4" s="1806"/>
      <c r="F4" s="1806"/>
      <c r="G4" s="1806"/>
      <c r="H4" s="1806"/>
      <c r="I4" s="1806"/>
      <c r="J4" s="1806"/>
      <c r="K4" s="1807"/>
    </row>
    <row r="5" spans="1:33" s="1812" customFormat="1" ht="14.4">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6789</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102577</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2940</v>
      </c>
      <c r="B11" s="1825" t="s">
        <v>878</v>
      </c>
      <c r="C11" s="654">
        <f ca="1">IF(C1="",'数据-取费表'!P16,INDIRECT("'数据-取费表'!p"&amp;$K$1)+INDIRECT("'数据-取费表'!ar"&amp;$K$1))</f>
        <v>16773</v>
      </c>
      <c r="D11" s="1826"/>
      <c r="E11" s="713"/>
      <c r="F11" s="1827">
        <f ca="1">1-IF('数据-取费表'!B24=0,1,IF(C1="",'数据-取费表'!N16,INDIRECT("'数据-取费表'!n"&amp;$K$1)))</f>
        <v>0.35</v>
      </c>
      <c r="G11" s="294"/>
      <c r="H11" s="1821"/>
      <c r="I11" s="1821"/>
      <c r="J11" s="1821"/>
      <c r="K11" s="1822"/>
    </row>
    <row r="12" spans="1:33" s="1828" customFormat="1" ht="13.5" customHeight="1">
      <c r="A12" s="1824" t="s">
        <v>2941</v>
      </c>
      <c r="B12" s="1825" t="s">
        <v>879</v>
      </c>
      <c r="C12" s="312">
        <f ca="1">ROUND(C11*F12,0)</f>
        <v>503</v>
      </c>
      <c r="D12" s="1826"/>
      <c r="E12" s="713"/>
      <c r="F12" s="1829">
        <f>'数据-取费表'!B33</f>
        <v>0.03</v>
      </c>
      <c r="G12" s="294" t="s">
        <v>880</v>
      </c>
      <c r="H12" s="1821"/>
      <c r="I12" s="1821"/>
      <c r="J12" s="1821"/>
      <c r="K12" s="1822"/>
    </row>
    <row r="13" spans="1:33" s="1828" customFormat="1" ht="13.5" customHeight="1">
      <c r="A13" s="1824" t="s">
        <v>2942</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2943</v>
      </c>
      <c r="B14" s="1825" t="s">
        <v>883</v>
      </c>
      <c r="C14" s="312">
        <f ca="1">ROUND(D14*E14*F11/10000,0)</f>
        <v>1240</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2944</v>
      </c>
      <c r="B15" s="1825" t="s">
        <v>890</v>
      </c>
      <c r="C15" s="1836">
        <f ca="1">ROUND(C11*F15,0)</f>
        <v>252</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2945</v>
      </c>
      <c r="C16" s="1836">
        <f ca="1">SUM(C11:C15)</f>
        <v>18768</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2946</v>
      </c>
      <c r="B18" s="1825" t="s">
        <v>887</v>
      </c>
      <c r="C18" s="312">
        <f ca="1">C19+C20-IF(C1="",'数据-取费表'!B29,IF(G18="已全部缴纳",C19+C20,H18))</f>
        <v>3365</v>
      </c>
      <c r="D18" s="1907"/>
      <c r="E18" s="312"/>
      <c r="F18" s="1829"/>
      <c r="G18" s="3044" t="s">
        <v>3133</v>
      </c>
      <c r="H18" s="3042"/>
      <c r="I18" s="3043" t="s">
        <v>2791</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3365</v>
      </c>
      <c r="D20" s="1907">
        <f ca="1">IF(C1="",'数据-汇总表'!E6,IF(INDIRECT("'数据-取费表'!c"&amp;$K$1)="住宅",INDIRECT("'数据-取费表'!s"&amp;$K$1),INDIRECT("'数据-取费表'!k"&amp;$K$1)+INDIRECT("'数据-取费表'!s"&amp;$K$1)))</f>
        <v>177117.85000000003</v>
      </c>
      <c r="E20" s="312">
        <f>'数据-取费表'!B28</f>
        <v>190</v>
      </c>
      <c r="F20" s="1829"/>
      <c r="G20" s="302"/>
      <c r="H20" s="1834"/>
      <c r="I20" s="1834"/>
      <c r="J20" s="1834"/>
      <c r="K20" s="1835"/>
    </row>
    <row r="21" spans="1:33" s="1828" customFormat="1" ht="13.5" customHeight="1">
      <c r="A21" s="1813" t="s">
        <v>1931</v>
      </c>
      <c r="B21" s="1838" t="s">
        <v>892</v>
      </c>
      <c r="C21" s="1839">
        <f ca="1">C16+C17+C18</f>
        <v>22133</v>
      </c>
      <c r="D21" s="1840"/>
      <c r="E21" s="656"/>
      <c r="F21" s="656"/>
      <c r="G21" s="470" t="s">
        <v>2520</v>
      </c>
      <c r="H21" s="1832"/>
      <c r="I21" s="1832"/>
      <c r="J21" s="1832"/>
      <c r="K21" s="1833"/>
    </row>
    <row r="22" spans="1:33" s="1828" customFormat="1" ht="13.5" customHeight="1">
      <c r="A22" s="1818" t="s">
        <v>1912</v>
      </c>
      <c r="B22" s="1838" t="s">
        <v>893</v>
      </c>
      <c r="C22" s="1839">
        <f ca="1">ROUND(C21*F22,0)</f>
        <v>443</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359</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2938</v>
      </c>
      <c r="H24" s="1843"/>
      <c r="I24" s="1843"/>
      <c r="J24" s="1843"/>
      <c r="K24" s="1844"/>
    </row>
    <row r="25" spans="1:33" s="1828" customFormat="1" ht="13.5" customHeight="1">
      <c r="A25" s="1818" t="s">
        <v>1915</v>
      </c>
      <c r="B25" s="1840" t="s">
        <v>898</v>
      </c>
      <c r="C25" s="2700">
        <f ca="1">C27</f>
        <v>376</v>
      </c>
      <c r="D25" s="655">
        <f ca="1">C26</f>
        <v>3.4000000000000002E-2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3.4000000000000002E-2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2610</v>
      </c>
      <c r="C27" s="2702">
        <f ca="1">ROUND(IF('数据-取费表'!B22&lt;=1,(C21+C22+C23)*F25*'数据-取费表'!B24/2,(C21+C22+C23)*(POWER((1+F25),'数据-取费表'!B24/2)-1)),0)</f>
        <v>376</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2947</v>
      </c>
      <c r="C28" s="662">
        <f ca="1">C30</f>
        <v>2294</v>
      </c>
      <c r="D28" s="655">
        <f ca="1">C29</f>
        <v>3.5999999999999997E-2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3.5999999999999997E-2</v>
      </c>
      <c r="D29" s="659"/>
      <c r="E29" s="660"/>
      <c r="F29" s="665"/>
      <c r="G29" s="470" t="s">
        <v>901</v>
      </c>
      <c r="H29" s="1832"/>
      <c r="I29" s="1832"/>
      <c r="J29" s="1832"/>
      <c r="K29" s="1833"/>
    </row>
    <row r="30" spans="1:33" s="666" customFormat="1" ht="13.5" customHeight="1">
      <c r="A30" s="1824" t="s">
        <v>1933</v>
      </c>
      <c r="B30" s="2707" t="s">
        <v>2611</v>
      </c>
      <c r="C30" s="667">
        <f ca="1">ROUND((C21+C22+C23)*F28,0)</f>
        <v>2294</v>
      </c>
      <c r="D30" s="659"/>
      <c r="E30" s="660"/>
      <c r="F30" s="665"/>
      <c r="G30" s="470"/>
      <c r="H30" s="1832"/>
      <c r="I30" s="1832"/>
      <c r="J30" s="1832"/>
      <c r="K30" s="1833"/>
    </row>
    <row r="31" spans="1:33" s="1828" customFormat="1" ht="13.5" customHeight="1" thickBot="1">
      <c r="A31" s="1859" t="s">
        <v>1917</v>
      </c>
      <c r="B31" s="1860" t="s">
        <v>902</v>
      </c>
      <c r="C31" s="1861">
        <f ca="1">ROUND(C4*F31/(1+'数据-取费表'!C42),0)</f>
        <v>5373</v>
      </c>
      <c r="D31" s="1862"/>
      <c r="E31" s="1863"/>
      <c r="F31" s="1864">
        <f>'数据-取费表'!B41</f>
        <v>5.5000000000000007E-2</v>
      </c>
      <c r="G31" s="1865" t="s">
        <v>903</v>
      </c>
      <c r="H31" s="1866"/>
      <c r="I31" s="1866"/>
      <c r="J31" s="1866"/>
      <c r="K31" s="1867"/>
    </row>
    <row r="32" spans="1:33" s="1823" customFormat="1" ht="13.5" customHeight="1" thickBot="1">
      <c r="A32" s="1854" t="s">
        <v>2939</v>
      </c>
      <c r="B32" s="1855"/>
      <c r="C32" s="1856">
        <f ca="1">ROUND((C4-C21-C22-C23-C25-C28-C31)/(1+C24+D25+D28),0)</f>
        <v>65149</v>
      </c>
      <c r="D32" s="1855"/>
      <c r="E32" s="1855"/>
      <c r="F32" s="1855"/>
      <c r="G32" s="1857" t="s">
        <v>904</v>
      </c>
      <c r="H32" s="1855"/>
      <c r="I32" s="1855"/>
      <c r="J32" s="1855"/>
      <c r="K32" s="1858"/>
    </row>
    <row r="34" spans="5:5" ht="12.75" customHeight="1">
      <c r="E34" s="3386">
        <f ca="1">C8-C21-C22-C23-C25-C28-C31</f>
        <v>71599</v>
      </c>
    </row>
    <row r="35" spans="5:5">
      <c r="E35" s="3387">
        <f ca="1">1+C24+C26+C29</f>
        <v>1.099</v>
      </c>
    </row>
    <row r="36" spans="5:5">
      <c r="E36" s="1463">
        <f ca="1">E34/E35</f>
        <v>65149.226569608734</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0" zoomScaleNormal="80" zoomScaleSheetLayoutView="90" workbookViewId="0">
      <selection activeCell="E53" sqref="E53"/>
    </sheetView>
  </sheetViews>
  <sheetFormatPr defaultColWidth="9" defaultRowHeight="15"/>
  <cols>
    <col min="1" max="1" width="9" style="673" customWidth="1"/>
    <col min="2" max="2" width="20.6640625" style="734" customWidth="1"/>
    <col min="3" max="3" width="11.88671875" style="734" customWidth="1"/>
    <col min="4" max="4" width="40.44140625" style="673" customWidth="1"/>
    <col min="5" max="5" width="15.77734375" style="673" customWidth="1"/>
    <col min="6" max="6" width="10.6640625" style="673" customWidth="1"/>
    <col min="7" max="7" width="4.88671875" style="673" customWidth="1"/>
    <col min="8" max="8" width="8.44140625" style="673" customWidth="1"/>
    <col min="9" max="9" width="21.21875" style="673" customWidth="1"/>
    <col min="10" max="10" width="12.21875" style="673" customWidth="1"/>
    <col min="11" max="11" width="45.109375" style="724" customWidth="1"/>
    <col min="12" max="12" width="16.33203125" style="673" customWidth="1"/>
    <col min="13" max="13" width="13" style="673" customWidth="1"/>
    <col min="14" max="14" width="13.77734375" style="1452" customWidth="1"/>
    <col min="15" max="15" width="5.109375" style="1452" customWidth="1"/>
    <col min="16" max="16" width="25.77734375" style="1452" customWidth="1"/>
    <col min="17" max="17" width="13.77734375" style="1452" customWidth="1"/>
    <col min="18" max="18" width="20.44140625" style="1452" customWidth="1"/>
    <col min="19" max="19" width="13.21875" style="1452" customWidth="1"/>
    <col min="20" max="37" width="9" style="1452"/>
    <col min="38" max="16384" width="9" style="673"/>
  </cols>
  <sheetData>
    <row r="1" spans="1:37" s="670" customFormat="1" ht="21.6">
      <c r="A1" s="668" t="s">
        <v>905</v>
      </c>
      <c r="B1" s="669"/>
      <c r="C1" s="2390" t="s">
        <v>39</v>
      </c>
      <c r="D1" s="1272"/>
      <c r="E1" s="2583" t="s">
        <v>2439</v>
      </c>
      <c r="F1" s="2584">
        <f ca="1">J53</f>
        <v>47.09</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102577</v>
      </c>
      <c r="C2" s="1298" t="s">
        <v>1099</v>
      </c>
      <c r="D2" s="1274"/>
      <c r="E2" s="2573"/>
      <c r="F2" s="1275"/>
      <c r="G2" s="2285"/>
      <c r="H2" s="1273"/>
      <c r="I2" s="1273"/>
      <c r="J2" s="1273"/>
      <c r="K2" s="1297"/>
      <c r="L2" s="1273"/>
      <c r="M2" s="1273"/>
    </row>
    <row r="3" spans="1:37" ht="18" customHeight="1" thickBot="1">
      <c r="A3" s="674" t="s">
        <v>816</v>
      </c>
      <c r="B3" s="1406">
        <f ca="1">IF(ISERROR(B2*10000/F43),0,ROUND(B2*10000/F43,0))</f>
        <v>6789</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2528</v>
      </c>
      <c r="C5" s="2624">
        <f ca="1">C6+C10+C12</f>
        <v>6959</v>
      </c>
      <c r="D5" s="2634" t="s">
        <v>2530</v>
      </c>
      <c r="E5" s="2625"/>
      <c r="F5" s="2626"/>
      <c r="G5" s="2286"/>
      <c r="H5" s="680">
        <v>1</v>
      </c>
      <c r="I5" s="681" t="s">
        <v>2528</v>
      </c>
      <c r="J5" s="2624">
        <f ca="1">J6+J10+J12</f>
        <v>0</v>
      </c>
      <c r="K5" s="2627" t="s">
        <v>2530</v>
      </c>
      <c r="L5" s="2625"/>
      <c r="M5" s="2626"/>
    </row>
    <row r="6" spans="1:37" ht="18" customHeight="1">
      <c r="A6" s="2620" t="s">
        <v>2535</v>
      </c>
      <c r="B6" s="3590" t="s">
        <v>2529</v>
      </c>
      <c r="C6" s="2629">
        <f ca="1">ROUND(F6*F8*F7*(1-F9)/10000,0)</f>
        <v>6949</v>
      </c>
      <c r="D6" s="2623" t="s">
        <v>2531</v>
      </c>
      <c r="E6" s="683" t="s">
        <v>912</v>
      </c>
      <c r="F6" s="684">
        <f ca="1">INDIRECT("'数据-取费表'!u"&amp;$G$1)</f>
        <v>1.4</v>
      </c>
      <c r="G6" s="2286"/>
      <c r="H6" s="2620" t="s">
        <v>2538</v>
      </c>
      <c r="I6" s="3590" t="s">
        <v>2529</v>
      </c>
      <c r="J6" s="682">
        <f ca="1">ROUND(M6*M8*M7*(1-M9)/10000,0)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151095.50000000003</v>
      </c>
      <c r="G7" s="2286"/>
      <c r="H7" s="685"/>
      <c r="I7" s="3591"/>
      <c r="J7" s="687"/>
      <c r="K7" s="688"/>
      <c r="L7" s="683" t="s">
        <v>913</v>
      </c>
      <c r="M7" s="684">
        <f ca="1">F7</f>
        <v>151095.50000000003</v>
      </c>
    </row>
    <row r="8" spans="1:37" ht="18" customHeight="1">
      <c r="A8" s="685"/>
      <c r="B8" s="3591"/>
      <c r="C8" s="687"/>
      <c r="D8" s="688"/>
      <c r="E8" s="683" t="s">
        <v>914</v>
      </c>
      <c r="F8" s="684">
        <f ca="1">INDIRECT("'数据-取费表'!ai"&amp;$G$1)</f>
        <v>365</v>
      </c>
      <c r="G8" s="2286"/>
      <c r="H8" s="685"/>
      <c r="I8" s="3591"/>
      <c r="J8" s="687"/>
      <c r="K8" s="688"/>
      <c r="L8" s="683" t="s">
        <v>914</v>
      </c>
      <c r="M8" s="684">
        <f ca="1">INDIRECT("'数据-取费表'!ai"&amp;$G$1)</f>
        <v>365</v>
      </c>
    </row>
    <row r="9" spans="1:37" ht="18" customHeight="1">
      <c r="A9" s="685"/>
      <c r="B9" s="3592"/>
      <c r="C9" s="687"/>
      <c r="D9" s="688"/>
      <c r="E9" s="683" t="s">
        <v>915</v>
      </c>
      <c r="F9" s="693">
        <f ca="1">INDIRECT("'数据-取费表'!w"&amp;$G$1)</f>
        <v>0.1</v>
      </c>
      <c r="G9" s="2286"/>
      <c r="H9" s="685"/>
      <c r="I9" s="3592"/>
      <c r="J9" s="687"/>
      <c r="K9" s="688"/>
      <c r="L9" s="694" t="s">
        <v>915</v>
      </c>
      <c r="M9" s="695">
        <f ca="1">INDIRECT("'数据-取费表'!ab"&amp;$G$1)</f>
        <v>0</v>
      </c>
    </row>
    <row r="10" spans="1:37" ht="18" customHeight="1">
      <c r="A10" s="2620" t="s">
        <v>2536</v>
      </c>
      <c r="B10" s="2621" t="s">
        <v>2524</v>
      </c>
      <c r="C10" s="697">
        <f ca="1">ROUND(IF(F10="押一",F6*F8*F7/12*F11,IF(F10="押二",F6*F8*F7/12*2*F11,IF(F10="押三",F6*F8*F7/12*3*F11,C11*F11)))/10000,0)</f>
        <v>10</v>
      </c>
      <c r="D10" s="2632" t="s">
        <v>2532</v>
      </c>
      <c r="E10" s="2095" t="s">
        <v>2526</v>
      </c>
      <c r="F10" s="2826" t="s">
        <v>3130</v>
      </c>
      <c r="G10" s="2286"/>
      <c r="H10" s="2620" t="s">
        <v>2539</v>
      </c>
      <c r="I10" s="2621" t="s">
        <v>2524</v>
      </c>
      <c r="J10" s="682">
        <f ca="1">ROUND(IF(M10="押一",M6*M8*M7/12*M11,IF(M10="押二",M6*M8*M7/12*2*M11,IF(M10="押三",M6*M8*M7/12*3*M11,J11*M11)))/10000,0)</f>
        <v>0</v>
      </c>
      <c r="K10" s="2632" t="s">
        <v>2532</v>
      </c>
      <c r="L10" s="2095" t="s">
        <v>2526</v>
      </c>
      <c r="M10" s="2727" t="s">
        <v>3130</v>
      </c>
    </row>
    <row r="11" spans="1:37" ht="18" customHeight="1">
      <c r="A11" s="689"/>
      <c r="B11" s="2622" t="s">
        <v>2690</v>
      </c>
      <c r="C11" s="2413"/>
      <c r="D11" s="2865"/>
      <c r="E11" s="2095" t="s">
        <v>2527</v>
      </c>
      <c r="F11" s="695">
        <f>'数据-取费表'!B39</f>
        <v>1.4999999999999999E-2</v>
      </c>
      <c r="G11" s="2286"/>
      <c r="H11" s="2633"/>
      <c r="I11" s="2622" t="s">
        <v>2690</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2540</v>
      </c>
      <c r="I12" s="2669" t="s">
        <v>2525</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2601</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1264</v>
      </c>
      <c r="K16" s="2674" t="s">
        <v>924</v>
      </c>
      <c r="L16" s="2675"/>
      <c r="M16" s="2626"/>
    </row>
    <row r="17" spans="1:37" s="704" customFormat="1" ht="18" customHeight="1">
      <c r="A17" s="2436" t="s">
        <v>2603</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2535</v>
      </c>
      <c r="B19" s="683" t="s">
        <v>364</v>
      </c>
      <c r="C19" s="312">
        <f ca="1">SUM(C14:C18)</f>
        <v>53622</v>
      </c>
      <c r="D19" s="470" t="s">
        <v>931</v>
      </c>
      <c r="E19" s="2221"/>
      <c r="F19" s="314"/>
      <c r="G19" s="2286"/>
      <c r="H19" s="2436" t="s">
        <v>2601</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2605</v>
      </c>
      <c r="B20" s="683" t="s">
        <v>365</v>
      </c>
      <c r="C20" s="312">
        <f ca="1">ROUND(C19*F20,0)</f>
        <v>1072</v>
      </c>
      <c r="D20" s="707" t="s">
        <v>933</v>
      </c>
      <c r="E20" s="683" t="s">
        <v>922</v>
      </c>
      <c r="F20" s="705">
        <f>'数据-取费表'!B37</f>
        <v>0.02</v>
      </c>
      <c r="G20" s="2287"/>
      <c r="H20" s="2436" t="s">
        <v>2602</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670.5</v>
      </c>
      <c r="K22" s="2211" t="s">
        <v>943</v>
      </c>
      <c r="L22" s="683" t="s">
        <v>922</v>
      </c>
      <c r="M22" s="712">
        <f ca="1">INDIRECT("'数据-取费表'!Ak"&amp;$G$1)</f>
        <v>0.01</v>
      </c>
    </row>
    <row r="23" spans="1:37" s="704" customFormat="1" ht="18" customHeight="1">
      <c r="A23" s="2436" t="s">
        <v>2366</v>
      </c>
      <c r="B23" s="683" t="s">
        <v>2521</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-1264</v>
      </c>
      <c r="K25" s="2682" t="s">
        <v>951</v>
      </c>
      <c r="L25" s="2683"/>
      <c r="M25" s="2684"/>
    </row>
    <row r="26" spans="1:37" ht="18" customHeight="1">
      <c r="A26" s="2436" t="s">
        <v>2366</v>
      </c>
      <c r="B26" s="683" t="s">
        <v>2522</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2071</v>
      </c>
      <c r="D30" s="2674" t="s">
        <v>924</v>
      </c>
      <c r="E30" s="2675"/>
      <c r="F30" s="2626"/>
      <c r="G30" s="2286"/>
      <c r="H30" s="1276"/>
      <c r="I30" s="1277"/>
      <c r="J30" s="1278"/>
      <c r="K30" s="1279"/>
      <c r="L30" s="1280"/>
      <c r="M30" s="1281"/>
    </row>
    <row r="31" spans="1:37" ht="18" customHeight="1">
      <c r="A31" s="2436" t="s">
        <v>2535</v>
      </c>
      <c r="B31" s="683" t="s">
        <v>361</v>
      </c>
      <c r="C31" s="312">
        <f ca="1">ROUND(IF(项目基本情况!B11="自然人",C5*F31,C32+C33+C34),1)</f>
        <v>1229.9000000000001</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2600</v>
      </c>
      <c r="B32" s="683" t="s">
        <v>929</v>
      </c>
      <c r="C32" s="312">
        <f ca="1">IF(项目基本情况!B11="自然人","——",ROUND(C5*F32/(1+'数据-取费表'!C42),2))</f>
        <v>364.52</v>
      </c>
      <c r="D32" s="2211" t="s">
        <v>930</v>
      </c>
      <c r="E32" s="683" t="s">
        <v>922</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IF(项目基本情况!B11="自然人","——",IF(D33="按租金收入计税",ROUND(C5*F33,2),IF(D33="按房产原值计税",ROUND(C29*F33*0.7,2),INDIRECT("'数据-取费表'!Aj"&amp;$G$1))))</f>
        <v>835.08</v>
      </c>
      <c r="D33" s="1299" t="s">
        <v>3208</v>
      </c>
      <c r="E33" s="683" t="s">
        <v>363</v>
      </c>
      <c r="F33" s="705">
        <f>IF(D33="按票据","——",IF(D33="按租金收入计税",'数据-取费表'!B51,'数据-取费表'!B50))</f>
        <v>0.12</v>
      </c>
      <c r="G33" s="2286"/>
      <c r="H33" s="1288"/>
      <c r="I33" s="2879"/>
      <c r="J33" s="2880"/>
      <c r="K33" s="1289"/>
      <c r="L33" s="1288"/>
      <c r="M33" s="1288"/>
    </row>
    <row r="34" spans="1:18" ht="18" customHeight="1">
      <c r="A34" s="2620" t="s">
        <v>2602</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670.5</v>
      </c>
      <c r="D36" s="2211" t="s">
        <v>972</v>
      </c>
      <c r="E36" s="683" t="s">
        <v>973</v>
      </c>
      <c r="F36" s="712">
        <f ca="1">INDIRECT("'数据-取费表'!Ak"&amp;$G$1)</f>
        <v>0.01</v>
      </c>
      <c r="G36" s="2286"/>
      <c r="H36" s="1288"/>
      <c r="I36" s="2879"/>
      <c r="J36" s="2880"/>
      <c r="K36" s="1292"/>
      <c r="L36" s="1288"/>
      <c r="M36" s="1288"/>
    </row>
    <row r="37" spans="1:18" ht="18" customHeight="1">
      <c r="A37" s="2436" t="s">
        <v>2606</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2607</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4888</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102577</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47.09</v>
      </c>
      <c r="G41" s="2286"/>
      <c r="H41" s="1190"/>
      <c r="I41" s="2879"/>
      <c r="J41" s="2880"/>
      <c r="K41" s="1292"/>
      <c r="L41" s="1190"/>
      <c r="M41" s="1190"/>
    </row>
    <row r="42" spans="1:18" ht="18" customHeight="1">
      <c r="A42" s="689"/>
      <c r="B42" s="690"/>
      <c r="C42" s="691"/>
      <c r="D42" s="711"/>
      <c r="E42" s="683" t="s">
        <v>380</v>
      </c>
      <c r="F42" s="693">
        <f ca="1">INDIRECT("'数据-取费表'!v"&amp;$G$1)</f>
        <v>0.01</v>
      </c>
      <c r="G42" s="2286"/>
      <c r="H42" s="1190"/>
      <c r="I42" s="2879"/>
      <c r="J42" s="2880"/>
      <c r="K42" s="1292"/>
      <c r="L42" s="1190"/>
      <c r="M42" s="1190"/>
    </row>
    <row r="43" spans="1:18" ht="18" customHeight="1" thickBot="1">
      <c r="A43" s="718" t="s">
        <v>2359</v>
      </c>
      <c r="B43" s="719" t="s">
        <v>381</v>
      </c>
      <c r="C43" s="720">
        <f ca="1">ROUND(C40*10000/F43,0)</f>
        <v>6789</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31.8" thickBot="1">
      <c r="A46" s="2394" t="s">
        <v>2321</v>
      </c>
      <c r="B46" s="2395"/>
      <c r="C46" s="2723">
        <f ca="1">C68-C40</f>
        <v>-218306</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6.2" thickBot="1">
      <c r="A47" s="2396" t="s">
        <v>2323</v>
      </c>
      <c r="B47" s="2432" t="s">
        <v>2324</v>
      </c>
      <c r="C47" s="2728" t="s">
        <v>2325</v>
      </c>
      <c r="D47" s="2432" t="s">
        <v>2326</v>
      </c>
      <c r="E47" s="2535" t="s">
        <v>2327</v>
      </c>
      <c r="F47" s="2536"/>
      <c r="G47" s="1454"/>
      <c r="I47" s="2551" t="s">
        <v>2410</v>
      </c>
      <c r="J47" s="2552" t="s">
        <v>3131</v>
      </c>
      <c r="K47" s="2561" t="s">
        <v>2433</v>
      </c>
      <c r="L47" s="2562">
        <f ca="1">INDIRECT("'数据-取费表'!d"&amp;$G$1)</f>
        <v>50</v>
      </c>
      <c r="M47" s="2582" t="str">
        <f>IF(ISNUMBER(FIND("住宅",C1)),"住宅","非住宅")</f>
        <v>非住宅</v>
      </c>
      <c r="O47" s="2585" t="s">
        <v>2445</v>
      </c>
      <c r="P47" s="2595" t="s">
        <v>2463</v>
      </c>
      <c r="Q47" s="2586">
        <f ca="1">C40+J29</f>
        <v>102577</v>
      </c>
      <c r="R47" s="2586" t="s">
        <v>2464</v>
      </c>
    </row>
    <row r="48" spans="1:18" s="1452" customFormat="1" ht="49.8" thickBot="1">
      <c r="A48" s="2709" t="s">
        <v>2612</v>
      </c>
      <c r="B48" s="681" t="s">
        <v>2328</v>
      </c>
      <c r="C48" s="2719">
        <f ca="1">C49+C53+C55</f>
        <v>0</v>
      </c>
      <c r="D48" s="2713"/>
      <c r="E48" s="2714"/>
      <c r="F48" s="2416"/>
      <c r="G48" s="1454"/>
      <c r="H48" s="1455"/>
      <c r="I48" s="2542" t="s">
        <v>2411</v>
      </c>
      <c r="J48" s="2553" t="s">
        <v>2412</v>
      </c>
      <c r="K48" s="2563" t="s">
        <v>2434</v>
      </c>
      <c r="L48" s="2166">
        <f ca="1">INDIRECT("'数据-取费表'!f"&amp;$G$1)</f>
        <v>47.09</v>
      </c>
      <c r="O48" s="2585" t="s">
        <v>2446</v>
      </c>
      <c r="P48" s="2595" t="s">
        <v>2465</v>
      </c>
      <c r="Q48" s="2586" t="str">
        <f ca="1">J60</f>
        <v>0</v>
      </c>
      <c r="R48" s="2586" t="s">
        <v>2473</v>
      </c>
    </row>
    <row r="49" spans="1:18" s="1452" customFormat="1" ht="16.2" thickBot="1">
      <c r="A49" s="2429" t="s">
        <v>2613</v>
      </c>
      <c r="B49" s="2712" t="s">
        <v>2615</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6.2"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6.2" thickBot="1">
      <c r="A51" s="2431"/>
      <c r="B51" s="2433"/>
      <c r="C51" s="2434"/>
      <c r="D51" s="2403"/>
      <c r="E51" s="2435" t="s">
        <v>2331</v>
      </c>
      <c r="F51" s="684">
        <f ca="1">F8</f>
        <v>365</v>
      </c>
      <c r="I51" s="2556" t="s">
        <v>2418</v>
      </c>
      <c r="J51" s="2557">
        <f>IF(J49="",J50,J49+J50-YEAR('数据-取费表'!B2))</f>
        <v>61</v>
      </c>
      <c r="K51" s="2566" t="s">
        <v>2438</v>
      </c>
      <c r="L51" s="2579">
        <f ca="1">ROUND(-PV(INDIRECT("'数据-取费表'!h"&amp;$G$1),L48,(C39-C13*C76),0),0)</f>
        <v>-9239</v>
      </c>
      <c r="M51" s="2560"/>
      <c r="O51" s="2587" t="s">
        <v>2449</v>
      </c>
      <c r="P51" s="2595" t="s">
        <v>2475</v>
      </c>
      <c r="Q51" s="2588">
        <f>J52</f>
        <v>8.5000000000000006E-2</v>
      </c>
      <c r="R51" s="2586"/>
    </row>
    <row r="52" spans="1:18" s="1452" customFormat="1" ht="16.2"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47.09</v>
      </c>
      <c r="R52" s="2586" t="s">
        <v>2468</v>
      </c>
    </row>
    <row r="53" spans="1:18" s="1452" customFormat="1" ht="47.4" thickBot="1">
      <c r="A53" s="2824" t="s">
        <v>2614</v>
      </c>
      <c r="B53" s="432" t="s">
        <v>2524</v>
      </c>
      <c r="C53" s="697">
        <f>ROUND(IF(F53="押一",F49*F51*F50/12*F11,IF(F53="押二",F49*F51*F50/12*2*F11,IF(F53="押三",F49*F51*F50/12*3*F11,C54*F11)))/10000,0)</f>
        <v>0</v>
      </c>
      <c r="D53" s="2632" t="s">
        <v>2532</v>
      </c>
      <c r="E53" s="2095" t="s">
        <v>2526</v>
      </c>
      <c r="F53" s="2826"/>
      <c r="I53" s="2568" t="s">
        <v>2443</v>
      </c>
      <c r="J53" s="2569">
        <f ca="1">IF(M47="住宅",J51,MIN(J51,L48))</f>
        <v>47.09</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585" t="s">
        <v>2451</v>
      </c>
      <c r="P53" s="2595" t="s">
        <v>2469</v>
      </c>
      <c r="Q53" s="2586">
        <f ca="1">Q47+Q48</f>
        <v>102577</v>
      </c>
      <c r="R53" s="2586" t="s">
        <v>2452</v>
      </c>
    </row>
    <row r="54" spans="1:18" s="1452" customFormat="1" ht="24.6" thickBot="1">
      <c r="A54" s="2825"/>
      <c r="B54" s="2622" t="s">
        <v>2690</v>
      </c>
      <c r="C54" s="2413"/>
      <c r="D54" s="2632"/>
      <c r="E54" s="2776"/>
      <c r="F54" s="2538"/>
      <c r="I54" s="2410"/>
      <c r="J54" s="2567"/>
      <c r="K54" s="2567"/>
      <c r="L54" s="2567"/>
      <c r="M54" s="1456"/>
      <c r="O54" s="2589" t="s">
        <v>2476</v>
      </c>
      <c r="P54" s="1294"/>
      <c r="Q54" s="1294"/>
      <c r="R54" s="1294"/>
    </row>
    <row r="55" spans="1:18" s="1452" customFormat="1" ht="31.8" thickBot="1">
      <c r="A55" s="2668" t="s">
        <v>2537</v>
      </c>
      <c r="B55" s="2669" t="s">
        <v>2525</v>
      </c>
      <c r="C55" s="2670"/>
      <c r="D55" s="2632"/>
      <c r="E55" s="2708"/>
      <c r="F55" s="2538"/>
      <c r="I55" s="3314" t="s">
        <v>2419</v>
      </c>
      <c r="J55" s="3313" t="e">
        <f ca="1">ROUND(IF(J47="钢混",J57/J50,1-(1-2%)*(J50-J57)/J50),3)</f>
        <v>#VALUE!</v>
      </c>
      <c r="K55" s="2549" t="s">
        <v>2420</v>
      </c>
      <c r="L55" s="2571" t="s">
        <v>3132</v>
      </c>
      <c r="O55" s="2592" t="s">
        <v>2460</v>
      </c>
      <c r="P55" s="2593" t="s">
        <v>2461</v>
      </c>
      <c r="Q55" s="2594" t="s">
        <v>2459</v>
      </c>
      <c r="R55" s="2594" t="s">
        <v>2462</v>
      </c>
    </row>
    <row r="56" spans="1:18" s="1452" customFormat="1" ht="48" thickTop="1" thickBot="1">
      <c r="A56" s="2407">
        <v>2</v>
      </c>
      <c r="B56" s="2408" t="s">
        <v>2333</v>
      </c>
      <c r="C56" s="607">
        <f ca="1">C13</f>
        <v>67045</v>
      </c>
      <c r="D56" s="2696"/>
      <c r="E56" s="2409"/>
      <c r="F56" s="2538"/>
      <c r="I56" s="2541" t="s">
        <v>2421</v>
      </c>
      <c r="J56" s="2570" t="s">
        <v>3042</v>
      </c>
      <c r="K56" s="2542" t="s">
        <v>2425</v>
      </c>
      <c r="L56" s="2166" t="str">
        <f ca="1">IF(L48&lt;J51,"——",L48-J51)</f>
        <v>——</v>
      </c>
      <c r="O56" s="2585" t="s">
        <v>2445</v>
      </c>
      <c r="P56" s="2595" t="s">
        <v>2463</v>
      </c>
      <c r="Q56" s="2586">
        <f ca="1">C40+J29</f>
        <v>102577</v>
      </c>
      <c r="R56" s="2586" t="s">
        <v>2464</v>
      </c>
    </row>
    <row r="57" spans="1:18" s="1452" customFormat="1" ht="31.8" thickBot="1">
      <c r="A57" s="2539"/>
      <c r="B57" s="2400" t="s">
        <v>2363</v>
      </c>
      <c r="C57" s="613">
        <f ca="1">C29</f>
        <v>67045</v>
      </c>
      <c r="D57" s="2411"/>
      <c r="E57" s="2412"/>
      <c r="F57" s="2540"/>
      <c r="I57" s="2543" t="s">
        <v>2442</v>
      </c>
      <c r="J57" s="2547" t="str">
        <f ca="1">IF(OR(M47="住宅",J51&lt;L48,J56="是"),"——",J51-L48)</f>
        <v>——</v>
      </c>
      <c r="K57" s="2542" t="s">
        <v>2892</v>
      </c>
      <c r="L57" s="2166" t="str">
        <f ca="1">IF(L48&lt;J51,"——",IF(L55="比较法",L49,IF(L55="基准地价",L50,L51)))</f>
        <v>——</v>
      </c>
      <c r="O57" s="2585" t="s">
        <v>2446</v>
      </c>
      <c r="P57" s="2595" t="s">
        <v>2470</v>
      </c>
      <c r="Q57" s="2586">
        <f ca="1">L60</f>
        <v>0</v>
      </c>
      <c r="R57" s="2586" t="s">
        <v>2485</v>
      </c>
    </row>
    <row r="58" spans="1:18" s="1452" customFormat="1" ht="31.8" thickBot="1">
      <c r="A58" s="696" t="s">
        <v>2334</v>
      </c>
      <c r="B58" s="2408" t="s">
        <v>2364</v>
      </c>
      <c r="C58" s="697">
        <f ca="1">ROUND(C59+C64+C65+C66,0)</f>
        <v>6433</v>
      </c>
      <c r="D58" s="2414" t="s">
        <v>2365</v>
      </c>
      <c r="E58" s="2415"/>
      <c r="F58" s="2416"/>
      <c r="I58" s="2543" t="s">
        <v>2422</v>
      </c>
      <c r="J58" s="3315" t="e">
        <f ca="1">IF(J55&lt;0.4,0.4,J55)</f>
        <v>#VALUE!</v>
      </c>
      <c r="K58" s="2566" t="s">
        <v>2893</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31.8" thickBot="1">
      <c r="A59" s="2436" t="s">
        <v>2369</v>
      </c>
      <c r="B59" s="2400" t="s">
        <v>361</v>
      </c>
      <c r="C59" s="312">
        <f ca="1">ROUND(IF(项目基本情况!B11="自然人",C48*F59,C60+C61+C62),1)</f>
        <v>5662.1</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2894</v>
      </c>
      <c r="L59" s="2166">
        <f ca="1">IF(ISERROR(POWER(1+L52,L47-J51)*(POWER(1+L52,J51)-1)/(POWER(1+L52,L47)-1)),0,POWER(1+L52,L47-J51)*(POWER(1+L52,J51)-1)/(POWER(1+L52,L47)-1))</f>
        <v>0</v>
      </c>
      <c r="O59" s="2587" t="s">
        <v>2448</v>
      </c>
      <c r="P59" s="2595" t="s">
        <v>2478</v>
      </c>
      <c r="Q59" s="2588">
        <f>L52</f>
        <v>0</v>
      </c>
      <c r="R59" s="2586"/>
    </row>
    <row r="60" spans="1:18" s="1452" customFormat="1" ht="19.2"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19.2" thickBot="1">
      <c r="A61" s="2436" t="s">
        <v>2367</v>
      </c>
      <c r="B61" s="2400" t="s">
        <v>2340</v>
      </c>
      <c r="C61" s="312">
        <f ca="1">IF(项目基本情况!B11="自然人","——",IF(D61="按租金收入计税",ROUND(C48*F61,2),IF(D61="按房产原值计税",ROUND(C57*F61*0.7,2),INDIRECT("'数据-取费表'!Aj"&amp;$G$1))))</f>
        <v>5631.78</v>
      </c>
      <c r="D61" s="1299" t="s">
        <v>2409</v>
      </c>
      <c r="E61" s="2400" t="s">
        <v>2339</v>
      </c>
      <c r="F61" s="705">
        <f t="shared" si="0"/>
        <v>0.12</v>
      </c>
      <c r="I61" s="2410"/>
      <c r="J61" s="2410"/>
      <c r="K61" s="2410"/>
      <c r="L61" s="2410"/>
      <c r="O61" s="2587" t="s">
        <v>2450</v>
      </c>
      <c r="P61" s="2595" t="s">
        <v>2480</v>
      </c>
      <c r="Q61" s="2586">
        <f ca="1">L59</f>
        <v>0</v>
      </c>
      <c r="R61" s="2586" t="s">
        <v>2455</v>
      </c>
    </row>
    <row r="62" spans="1:18" s="1452" customFormat="1" ht="16.2"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3025</v>
      </c>
      <c r="O62" s="2585" t="s">
        <v>2451</v>
      </c>
      <c r="P62" s="2595" t="s">
        <v>2469</v>
      </c>
      <c r="Q62" s="2586">
        <f ca="1">Q56+Q57</f>
        <v>102577</v>
      </c>
      <c r="R62" s="2586" t="s">
        <v>2452</v>
      </c>
    </row>
    <row r="63" spans="1:18" s="1452" customFormat="1" ht="16.2"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31.8" thickBot="1">
      <c r="A64" s="2436" t="s">
        <v>2376</v>
      </c>
      <c r="B64" s="2400" t="s">
        <v>2345</v>
      </c>
      <c r="C64" s="312">
        <f ca="1">ROUND(C57*F64,1)</f>
        <v>670.5</v>
      </c>
      <c r="D64" s="2418" t="s">
        <v>2346</v>
      </c>
      <c r="E64" s="2400" t="s">
        <v>2339</v>
      </c>
      <c r="F64" s="712">
        <f t="shared" ca="1" si="0"/>
        <v>0.01</v>
      </c>
      <c r="I64" s="2545" t="s">
        <v>2429</v>
      </c>
      <c r="J64" s="3319">
        <v>50</v>
      </c>
      <c r="K64" s="3319">
        <v>35</v>
      </c>
      <c r="L64" s="3319">
        <v>60</v>
      </c>
      <c r="M64" s="3318">
        <v>0</v>
      </c>
      <c r="O64" s="2592" t="s">
        <v>2460</v>
      </c>
      <c r="P64" s="2593" t="s">
        <v>2461</v>
      </c>
      <c r="Q64" s="2594" t="s">
        <v>2459</v>
      </c>
      <c r="R64" s="2594" t="s">
        <v>2462</v>
      </c>
    </row>
    <row r="65" spans="1:18" s="1452" customFormat="1" ht="16.2"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102577</v>
      </c>
      <c r="R65" s="2586" t="s">
        <v>2464</v>
      </c>
    </row>
    <row r="66" spans="1:18" s="1452" customFormat="1" ht="19.2"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6" thickBot="1">
      <c r="A67" s="2407" t="s">
        <v>2349</v>
      </c>
      <c r="B67" s="2421" t="s">
        <v>2350</v>
      </c>
      <c r="C67" s="697">
        <f ca="1">C48-C58</f>
        <v>-6433</v>
      </c>
      <c r="D67" s="2417" t="s">
        <v>2351</v>
      </c>
      <c r="E67" s="2422"/>
      <c r="F67" s="2423"/>
      <c r="O67" s="2587" t="s">
        <v>2447</v>
      </c>
      <c r="P67" s="2595" t="s">
        <v>2477</v>
      </c>
      <c r="Q67" s="2590">
        <f ca="1">L51</f>
        <v>-9239</v>
      </c>
      <c r="R67" s="2591" t="s">
        <v>2487</v>
      </c>
    </row>
    <row r="68" spans="1:18" s="1452" customFormat="1" ht="19.2" thickBot="1">
      <c r="A68" s="2397" t="s">
        <v>2352</v>
      </c>
      <c r="B68" s="2398" t="s">
        <v>2353</v>
      </c>
      <c r="C68" s="682">
        <f ca="1">ROUND(C67*(1-((1+F70)/(1+F68))^F69)/(F68-F70),0)</f>
        <v>-115729</v>
      </c>
      <c r="D68" s="2419" t="s">
        <v>2354</v>
      </c>
      <c r="E68" s="2400" t="s">
        <v>2355</v>
      </c>
      <c r="F68" s="693">
        <f ca="1">F40</f>
        <v>0.05</v>
      </c>
      <c r="O68" s="2587" t="s">
        <v>2448</v>
      </c>
      <c r="P68" s="2596" t="s">
        <v>2481</v>
      </c>
      <c r="Q68" s="2586">
        <f ca="1">ROUND(Q69-Q70*Q71,0)</f>
        <v>-476</v>
      </c>
      <c r="R68" s="2586" t="s">
        <v>2486</v>
      </c>
    </row>
    <row r="69" spans="1:18" s="1452" customFormat="1" ht="16.2" thickBot="1">
      <c r="A69" s="2401"/>
      <c r="B69" s="2402"/>
      <c r="C69" s="687"/>
      <c r="D69" s="2424" t="s">
        <v>2356</v>
      </c>
      <c r="E69" s="2400" t="s">
        <v>2357</v>
      </c>
      <c r="F69" s="717">
        <f ca="1">F41</f>
        <v>47.09</v>
      </c>
      <c r="O69" s="2587" t="s">
        <v>2456</v>
      </c>
      <c r="P69" s="2596" t="s">
        <v>2471</v>
      </c>
      <c r="Q69" s="2586">
        <f ca="1">C39</f>
        <v>4888</v>
      </c>
      <c r="R69" s="2586" t="s">
        <v>2464</v>
      </c>
    </row>
    <row r="70" spans="1:18" s="1452" customFormat="1" ht="16.2" thickBot="1">
      <c r="A70" s="2404"/>
      <c r="B70" s="2405"/>
      <c r="C70" s="691"/>
      <c r="D70" s="2420"/>
      <c r="E70" s="2400" t="s">
        <v>2358</v>
      </c>
      <c r="F70" s="2530"/>
      <c r="O70" s="2587" t="s">
        <v>2457</v>
      </c>
      <c r="P70" s="2596" t="s">
        <v>2472</v>
      </c>
      <c r="Q70" s="2586">
        <f ca="1">C13</f>
        <v>67045</v>
      </c>
      <c r="R70" s="2586" t="s">
        <v>2464</v>
      </c>
    </row>
    <row r="71" spans="1:18" s="1452" customFormat="1" ht="16.2" thickBot="1">
      <c r="A71" s="2425" t="s">
        <v>2359</v>
      </c>
      <c r="B71" s="2426" t="s">
        <v>2360</v>
      </c>
      <c r="C71" s="720">
        <f ca="1">ROUND(C68*10000/F71,0)</f>
        <v>-7659</v>
      </c>
      <c r="D71" s="2427" t="s">
        <v>2361</v>
      </c>
      <c r="E71" s="2428" t="s">
        <v>2362</v>
      </c>
      <c r="F71" s="723">
        <f ca="1">F43</f>
        <v>151095.50000000003</v>
      </c>
      <c r="I71" s="2395"/>
      <c r="K71" s="2395"/>
      <c r="O71" s="2587" t="s">
        <v>2458</v>
      </c>
      <c r="P71" s="2596" t="s">
        <v>2484</v>
      </c>
      <c r="Q71" s="2588">
        <f ca="1">C76</f>
        <v>0.08</v>
      </c>
      <c r="R71" s="2586"/>
    </row>
    <row r="72" spans="1:18" s="1452" customFormat="1" ht="16.2" thickBot="1">
      <c r="B72" s="1457"/>
      <c r="C72" s="1457"/>
      <c r="I72" s="2395"/>
      <c r="O72" s="2587" t="s">
        <v>2449</v>
      </c>
      <c r="P72" s="2595" t="s">
        <v>2478</v>
      </c>
      <c r="Q72" s="2588">
        <f>L52</f>
        <v>0</v>
      </c>
      <c r="R72" s="2586"/>
    </row>
    <row r="73" spans="1:18" ht="19.2" thickBot="1">
      <c r="A73" s="1452"/>
      <c r="B73" s="1457"/>
      <c r="C73" s="1457"/>
      <c r="D73" s="1452"/>
      <c r="E73" s="1452"/>
      <c r="F73" s="1452"/>
      <c r="I73" s="2581"/>
      <c r="O73" s="2587" t="s">
        <v>2450</v>
      </c>
      <c r="P73" s="2595" t="s">
        <v>2479</v>
      </c>
      <c r="Q73" s="2586">
        <f ca="1">L58</f>
        <v>0</v>
      </c>
      <c r="R73" s="2586" t="s">
        <v>2454</v>
      </c>
    </row>
    <row r="74" spans="1:18" ht="19.2" thickBot="1">
      <c r="A74" s="1452"/>
      <c r="B74" s="725" t="s">
        <v>384</v>
      </c>
      <c r="C74" s="726"/>
      <c r="D74" s="1452"/>
      <c r="E74" s="1452"/>
      <c r="F74" s="1452"/>
      <c r="O74" s="2587" t="s">
        <v>2488</v>
      </c>
      <c r="P74" s="2595" t="s">
        <v>2480</v>
      </c>
      <c r="Q74" s="2586">
        <f ca="1">L59</f>
        <v>0</v>
      </c>
      <c r="R74" s="2586" t="s">
        <v>2455</v>
      </c>
    </row>
    <row r="75" spans="1:18" ht="16.2" thickBot="1">
      <c r="A75" s="1452"/>
      <c r="B75" s="727" t="s">
        <v>970</v>
      </c>
      <c r="C75" s="728">
        <f ca="1">ROUND(C13*C76,0)</f>
        <v>5364</v>
      </c>
      <c r="D75" s="1452"/>
      <c r="E75" s="1452"/>
      <c r="F75" s="1452"/>
      <c r="K75" s="1453"/>
      <c r="L75" s="1452"/>
      <c r="O75" s="2585" t="s">
        <v>2451</v>
      </c>
      <c r="P75" s="2595" t="s">
        <v>2469</v>
      </c>
      <c r="Q75" s="2586">
        <f ca="1">Q65+Q66</f>
        <v>102577</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2691</v>
      </c>
      <c r="C78" s="733"/>
    </row>
    <row r="79" spans="1:18">
      <c r="B79" s="2871" t="s">
        <v>2695</v>
      </c>
      <c r="C79" s="649">
        <f ca="1">1-C80</f>
        <v>-9.6999999999999975E-2</v>
      </c>
    </row>
    <row r="80" spans="1:18">
      <c r="B80" s="2871" t="s">
        <v>2694</v>
      </c>
      <c r="C80" s="649">
        <f ca="1">ROUND(C75/C39,3)</f>
        <v>1.097</v>
      </c>
    </row>
    <row r="81" spans="2:3">
      <c r="B81" s="645" t="s">
        <v>385</v>
      </c>
      <c r="C81" s="646"/>
    </row>
    <row r="82" spans="2:3">
      <c r="B82" s="2870" t="s">
        <v>2693</v>
      </c>
      <c r="C82" s="650">
        <f ca="1">1-C83</f>
        <v>0.34599999999999997</v>
      </c>
    </row>
    <row r="83" spans="2:3">
      <c r="B83" s="2870" t="s">
        <v>2692</v>
      </c>
      <c r="C83" s="649">
        <f ca="1">ROUND(C13/C40,3)</f>
        <v>0.65400000000000003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ColWidth="9" defaultRowHeight="15"/>
  <cols>
    <col min="1" max="1" width="9" style="673" customWidth="1"/>
    <col min="2" max="2" width="20.6640625" style="734" customWidth="1"/>
    <col min="3" max="3" width="11.88671875" style="734" customWidth="1"/>
    <col min="4" max="4" width="40.44140625" style="673" customWidth="1"/>
    <col min="5" max="5" width="15.77734375" style="673" customWidth="1"/>
    <col min="6" max="6" width="10.6640625" style="673" customWidth="1"/>
    <col min="7" max="7" width="4.88671875" style="673" customWidth="1"/>
    <col min="8" max="8" width="8.44140625" style="673" customWidth="1"/>
    <col min="9" max="9" width="21.21875" style="673" customWidth="1"/>
    <col min="10" max="10" width="12.21875" style="673" customWidth="1"/>
    <col min="11" max="11" width="40.109375" style="724" customWidth="1"/>
    <col min="12" max="12" width="16.33203125" style="673" customWidth="1"/>
    <col min="13" max="13" width="13" style="673" customWidth="1"/>
    <col min="14" max="14" width="13.77734375" style="1452" customWidth="1"/>
    <col min="15" max="15" width="5.109375" style="1452" customWidth="1"/>
    <col min="16" max="16" width="25.77734375" style="1452" customWidth="1"/>
    <col min="17" max="17" width="13.77734375" style="1452" customWidth="1"/>
    <col min="18" max="18" width="20.44140625" style="1452" customWidth="1"/>
    <col min="19" max="19" width="13.21875" style="1452" customWidth="1"/>
    <col min="20" max="37" width="9" style="1452"/>
    <col min="38" max="16384" width="9" style="673"/>
  </cols>
  <sheetData>
    <row r="1" spans="1:37" s="670" customFormat="1" ht="21.6">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2616</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2530</v>
      </c>
      <c r="E5" s="2625"/>
      <c r="F5" s="2626"/>
      <c r="G5" s="2286"/>
      <c r="H5" s="680">
        <v>1</v>
      </c>
      <c r="I5" s="681" t="s">
        <v>2328</v>
      </c>
      <c r="J5" s="2624">
        <f ca="1">J6+J10+J12</f>
        <v>0</v>
      </c>
      <c r="K5" s="2627" t="s">
        <v>2530</v>
      </c>
      <c r="L5" s="2625"/>
      <c r="M5" s="2626"/>
    </row>
    <row r="6" spans="1:37" ht="18" customHeight="1">
      <c r="A6" s="2620" t="s">
        <v>2369</v>
      </c>
      <c r="B6" s="3590" t="s">
        <v>2529</v>
      </c>
      <c r="C6" s="2629">
        <f ca="1">ROUND(F6*F8*F7*(1-F9),0)</f>
        <v>0</v>
      </c>
      <c r="D6" s="2623" t="s">
        <v>2531</v>
      </c>
      <c r="E6" s="683" t="s">
        <v>912</v>
      </c>
      <c r="F6" s="684">
        <f ca="1">INDIRECT("'数据-取费表'!u"&amp;$G$1)</f>
        <v>0</v>
      </c>
      <c r="G6" s="2286"/>
      <c r="H6" s="2620" t="s">
        <v>2369</v>
      </c>
      <c r="I6" s="3590" t="s">
        <v>2529</v>
      </c>
      <c r="J6" s="682">
        <f ca="1">ROUND(M6*M8*M7*(1-M9),0)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0</v>
      </c>
      <c r="G7" s="2286"/>
      <c r="H7" s="685"/>
      <c r="I7" s="3591"/>
      <c r="J7" s="687"/>
      <c r="K7" s="688"/>
      <c r="L7" s="683" t="s">
        <v>913</v>
      </c>
      <c r="M7" s="684">
        <f ca="1">F7</f>
        <v>0</v>
      </c>
    </row>
    <row r="8" spans="1:37" ht="18" customHeight="1">
      <c r="A8" s="685"/>
      <c r="B8" s="3591"/>
      <c r="C8" s="687"/>
      <c r="D8" s="688"/>
      <c r="E8" s="683" t="s">
        <v>914</v>
      </c>
      <c r="F8" s="684">
        <f ca="1">INDIRECT("'数据-取费表'!ai"&amp;$G$1)</f>
        <v>0</v>
      </c>
      <c r="G8" s="2286"/>
      <c r="H8" s="685"/>
      <c r="I8" s="3591"/>
      <c r="J8" s="687"/>
      <c r="K8" s="688"/>
      <c r="L8" s="683" t="s">
        <v>914</v>
      </c>
      <c r="M8" s="684">
        <f ca="1">INDIRECT("'数据-取费表'!ai"&amp;$G$1)</f>
        <v>0</v>
      </c>
    </row>
    <row r="9" spans="1:37" ht="18" customHeight="1">
      <c r="A9" s="685"/>
      <c r="B9" s="3592"/>
      <c r="C9" s="687"/>
      <c r="D9" s="688"/>
      <c r="E9" s="683" t="s">
        <v>915</v>
      </c>
      <c r="F9" s="693">
        <f ca="1">INDIRECT("'数据-取费表'!w"&amp;$G$1)</f>
        <v>0</v>
      </c>
      <c r="G9" s="2286"/>
      <c r="H9" s="685"/>
      <c r="I9" s="3592"/>
      <c r="J9" s="687"/>
      <c r="K9" s="688"/>
      <c r="L9" s="694" t="s">
        <v>915</v>
      </c>
      <c r="M9" s="695">
        <f ca="1">INDIRECT("'数据-取费表'!ab"&amp;$G$1)</f>
        <v>0</v>
      </c>
    </row>
    <row r="10" spans="1:37" ht="18" customHeight="1">
      <c r="A10" s="2620" t="s">
        <v>2376</v>
      </c>
      <c r="B10" s="2621" t="s">
        <v>2524</v>
      </c>
      <c r="C10" s="697">
        <f>ROUND(IF(F10="押一",F6*F8*F7/12*F11,IF(F10="押二",F6*F8*F7/12*2*F11,IF(F10="押三",F6*F8*F7/12*3*F11,C11*F11))),0)</f>
        <v>0</v>
      </c>
      <c r="D10" s="2632" t="s">
        <v>2532</v>
      </c>
      <c r="E10" s="2095" t="s">
        <v>2526</v>
      </c>
      <c r="F10" s="2826"/>
      <c r="G10" s="2286"/>
      <c r="H10" s="2620" t="s">
        <v>2376</v>
      </c>
      <c r="I10" s="2621" t="s">
        <v>2524</v>
      </c>
      <c r="J10" s="682">
        <f>ROUND(IF(M10="押一",M6*M8*M7/12*M11,IF(M10="押二",M6*M8*M7/12*2*M11,IF(M10="押三",M6*M8*M7/12*3*M11,J11*M11))),0)</f>
        <v>0</v>
      </c>
      <c r="K10" s="2632" t="s">
        <v>2532</v>
      </c>
      <c r="L10" s="2095" t="s">
        <v>2526</v>
      </c>
      <c r="M10" s="2826" t="s">
        <v>2687</v>
      </c>
    </row>
    <row r="11" spans="1:37" ht="18" customHeight="1">
      <c r="A11" s="689"/>
      <c r="B11" s="2622" t="s">
        <v>2534</v>
      </c>
      <c r="C11" s="2413"/>
      <c r="D11" s="688"/>
      <c r="E11" s="2095" t="s">
        <v>2527</v>
      </c>
      <c r="F11" s="695">
        <f>'数据-取费表'!B39</f>
        <v>1.4999999999999999E-2</v>
      </c>
      <c r="G11" s="2286"/>
      <c r="H11" s="2633"/>
      <c r="I11" s="2622" t="s">
        <v>2688</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2537</v>
      </c>
      <c r="I12" s="2669" t="s">
        <v>2525</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2601</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2603</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2601</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2605</v>
      </c>
      <c r="B20" s="683" t="s">
        <v>365</v>
      </c>
      <c r="C20" s="312">
        <f ca="1">ROUND(C19*F20,0)</f>
        <v>0</v>
      </c>
      <c r="D20" s="707" t="s">
        <v>933</v>
      </c>
      <c r="E20" s="683" t="s">
        <v>363</v>
      </c>
      <c r="F20" s="705">
        <f>'数据-取费表'!B37</f>
        <v>0.02</v>
      </c>
      <c r="G20" s="2287"/>
      <c r="H20" s="2436" t="s">
        <v>2602</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2521</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2522</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2606</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2607</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2617</v>
      </c>
      <c r="E45" s="1430"/>
      <c r="F45" s="1430"/>
      <c r="O45" s="2589" t="s">
        <v>2482</v>
      </c>
      <c r="P45" s="1294"/>
      <c r="Q45" s="1294"/>
      <c r="R45" s="1294"/>
    </row>
    <row r="46" spans="1:18" s="1452" customFormat="1" ht="31.8"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6.2"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9.8" thickBot="1">
      <c r="A48" s="2709" t="s">
        <v>2612</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6.2" thickBot="1">
      <c r="A49" s="2429" t="s">
        <v>2613</v>
      </c>
      <c r="B49" s="2712" t="s">
        <v>2615</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6.2"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6.2"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6.2"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7.4" thickBot="1">
      <c r="A53" s="2710" t="s">
        <v>2614</v>
      </c>
      <c r="B53" s="2711" t="s">
        <v>2524</v>
      </c>
      <c r="C53" s="697">
        <f>ROUND(IF(F53="押一",F49*F51*F50/12*F11,IF(F53="押二",F49*F51*F50/12*2*F11,IF(F53="押三",F49*F51*F50/12*3*F11,C54*F11))),0)</f>
        <v>0</v>
      </c>
      <c r="D53" s="2632" t="s">
        <v>2532</v>
      </c>
      <c r="E53" s="2095" t="s">
        <v>2526</v>
      </c>
      <c r="F53" s="2826"/>
      <c r="I53" s="2568" t="s">
        <v>2443</v>
      </c>
      <c r="J53" s="2569">
        <f ca="1">IF(M47="住宅",J51,MIN(J51,L48))</f>
        <v>0</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9"/>
      <c r="O53" s="2585" t="s">
        <v>2451</v>
      </c>
      <c r="P53" s="2595" t="s">
        <v>2469</v>
      </c>
      <c r="Q53" s="2586" t="e">
        <f ca="1">Q47+Q48</f>
        <v>#DIV/0!</v>
      </c>
      <c r="R53" s="2586" t="s">
        <v>2452</v>
      </c>
    </row>
    <row r="54" spans="1:18" s="1452" customFormat="1" ht="16.2" thickBot="1">
      <c r="A54" s="2429"/>
      <c r="B54" s="2823" t="s">
        <v>2688</v>
      </c>
      <c r="C54" s="2413"/>
      <c r="D54" s="2632"/>
      <c r="E54" s="2776"/>
      <c r="F54" s="2538"/>
      <c r="I54" s="2410"/>
      <c r="J54" s="2567"/>
      <c r="K54" s="2567"/>
      <c r="L54" s="2567"/>
      <c r="M54" s="1456"/>
      <c r="O54" s="2589" t="s">
        <v>2476</v>
      </c>
      <c r="P54" s="1294"/>
      <c r="Q54" s="1294"/>
      <c r="R54" s="1294"/>
    </row>
    <row r="55" spans="1:18" s="1452" customFormat="1" ht="31.8" thickBot="1">
      <c r="A55" s="2668" t="s">
        <v>2537</v>
      </c>
      <c r="B55" s="2669" t="s">
        <v>2525</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8"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31.8"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31.8"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31.8"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19.2"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19.2"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6.2"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3025</v>
      </c>
      <c r="O62" s="2585" t="s">
        <v>2451</v>
      </c>
      <c r="P62" s="2595" t="s">
        <v>2469</v>
      </c>
      <c r="Q62" s="2586" t="e">
        <f ca="1">Q56+Q57</f>
        <v>#DIV/0!</v>
      </c>
      <c r="R62" s="2586" t="s">
        <v>2452</v>
      </c>
    </row>
    <row r="63" spans="1:18" s="1452" customFormat="1" ht="16.2"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31.8"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6.2"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19.2"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6"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19.2"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6.2" thickBot="1">
      <c r="A69" s="2401"/>
      <c r="B69" s="2402"/>
      <c r="C69" s="687"/>
      <c r="D69" s="2424" t="s">
        <v>957</v>
      </c>
      <c r="E69" s="2400" t="s">
        <v>379</v>
      </c>
      <c r="F69" s="717">
        <f ca="1">F41</f>
        <v>0</v>
      </c>
      <c r="O69" s="2587" t="s">
        <v>2456</v>
      </c>
      <c r="P69" s="2596" t="s">
        <v>2471</v>
      </c>
      <c r="Q69" s="2586">
        <f ca="1">C39</f>
        <v>0</v>
      </c>
      <c r="R69" s="2586" t="s">
        <v>2464</v>
      </c>
    </row>
    <row r="70" spans="1:18" s="1452" customFormat="1" ht="16.2" thickBot="1">
      <c r="A70" s="2404"/>
      <c r="B70" s="2405"/>
      <c r="C70" s="691"/>
      <c r="D70" s="2420"/>
      <c r="E70" s="2400" t="s">
        <v>380</v>
      </c>
      <c r="F70" s="2530">
        <f ca="1">F42</f>
        <v>0</v>
      </c>
      <c r="O70" s="2587" t="s">
        <v>2457</v>
      </c>
      <c r="P70" s="2596" t="s">
        <v>2472</v>
      </c>
      <c r="Q70" s="2586">
        <f ca="1">C13</f>
        <v>0</v>
      </c>
      <c r="R70" s="2586" t="s">
        <v>2464</v>
      </c>
    </row>
    <row r="71" spans="1:18" s="1452" customFormat="1" ht="16.2"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6.2" thickBot="1">
      <c r="B72" s="1457"/>
      <c r="C72" s="1457"/>
      <c r="I72" s="2395"/>
      <c r="O72" s="2587" t="s">
        <v>2449</v>
      </c>
      <c r="P72" s="2595" t="s">
        <v>2478</v>
      </c>
      <c r="Q72" s="2588">
        <f>L52</f>
        <v>0</v>
      </c>
      <c r="R72" s="2586"/>
    </row>
    <row r="73" spans="1:18" ht="19.2" thickBot="1">
      <c r="A73" s="1452"/>
      <c r="B73" s="1457"/>
      <c r="C73" s="1457"/>
      <c r="D73" s="1452"/>
      <c r="E73" s="1452"/>
      <c r="F73" s="1452"/>
      <c r="I73" s="2581"/>
      <c r="O73" s="2587" t="s">
        <v>2450</v>
      </c>
      <c r="P73" s="2595" t="s">
        <v>2479</v>
      </c>
      <c r="Q73" s="2586">
        <f ca="1">L58</f>
        <v>0</v>
      </c>
      <c r="R73" s="2586" t="s">
        <v>2454</v>
      </c>
    </row>
    <row r="74" spans="1:18" ht="19.2" thickBot="1">
      <c r="A74" s="1452"/>
      <c r="B74" s="725" t="s">
        <v>384</v>
      </c>
      <c r="C74" s="726"/>
      <c r="D74" s="1452"/>
      <c r="E74" s="1452"/>
      <c r="F74" s="1452"/>
      <c r="O74" s="2587" t="s">
        <v>2488</v>
      </c>
      <c r="P74" s="2595" t="s">
        <v>2480</v>
      </c>
      <c r="Q74" s="2586">
        <f ca="1">L59</f>
        <v>0</v>
      </c>
      <c r="R74" s="2586" t="s">
        <v>2455</v>
      </c>
    </row>
    <row r="75" spans="1:18" ht="16.2"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2695</v>
      </c>
      <c r="C79" s="649" t="e">
        <f ca="1">1-C80</f>
        <v>#DIV/0!</v>
      </c>
    </row>
    <row r="80" spans="1:18">
      <c r="B80" s="2871" t="s">
        <v>2696</v>
      </c>
      <c r="C80" s="649" t="e">
        <f ca="1">ROUND(C75/C39,3)</f>
        <v>#DIV/0!</v>
      </c>
    </row>
    <row r="81" spans="2:3">
      <c r="B81" s="645" t="s">
        <v>385</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4.4"/>
  <cols>
    <col min="1" max="1" width="23.6640625" customWidth="1"/>
    <col min="2" max="2" width="12" customWidth="1"/>
    <col min="4" max="4" width="14.109375" customWidth="1"/>
    <col min="6" max="6" width="12.88671875" customWidth="1"/>
  </cols>
  <sheetData>
    <row r="1" spans="1:6" ht="20.399999999999999">
      <c r="A1" s="2781" t="s">
        <v>2666</v>
      </c>
      <c r="B1" s="2782"/>
      <c r="C1" s="2782"/>
      <c r="D1" s="2782"/>
      <c r="E1" s="2783"/>
    </row>
    <row r="2" spans="1:6" ht="15.6">
      <c r="A2" s="2784" t="s">
        <v>2667</v>
      </c>
      <c r="B2" s="2778">
        <f ca="1">SUMIF(B6:B13,"&lt;&gt;#ref!",B6:B13)</f>
        <v>102577</v>
      </c>
      <c r="C2" s="2779" t="s">
        <v>2664</v>
      </c>
      <c r="D2" s="2780" t="s">
        <v>2669</v>
      </c>
      <c r="E2" s="2788">
        <f>SUM(E6:E13)</f>
        <v>177117.85000000003</v>
      </c>
    </row>
    <row r="3" spans="1:6" ht="15.6">
      <c r="A3" s="2784" t="s">
        <v>2668</v>
      </c>
      <c r="B3" s="2778">
        <f ca="1">ROUND(B2*10000/E2,0)</f>
        <v>5791</v>
      </c>
      <c r="C3" s="2779" t="s">
        <v>2665</v>
      </c>
      <c r="D3" s="2785"/>
      <c r="E3" s="2789"/>
    </row>
    <row r="4" spans="1:6" ht="15.6">
      <c r="A4" s="2790"/>
      <c r="B4" s="2785"/>
      <c r="C4" s="2785"/>
      <c r="D4" s="2785"/>
      <c r="E4" s="2789"/>
    </row>
    <row r="5" spans="1:6">
      <c r="A5" s="2794" t="s">
        <v>2671</v>
      </c>
      <c r="B5" s="3593" t="s">
        <v>2673</v>
      </c>
      <c r="C5" s="3593"/>
      <c r="D5" s="2793"/>
      <c r="E5" s="3333" t="s">
        <v>2672</v>
      </c>
      <c r="F5" s="3334" t="s">
        <v>3041</v>
      </c>
    </row>
    <row r="6" spans="1:6">
      <c r="A6" s="2791" t="str">
        <f>'数据-取费表'!AN6</f>
        <v>收益法</v>
      </c>
      <c r="B6" s="2787">
        <f ca="1">IF(F6="是",'数据-取费表'!AO6,0)</f>
        <v>102577</v>
      </c>
      <c r="C6" s="2779" t="s">
        <v>2664</v>
      </c>
      <c r="D6" s="2785"/>
      <c r="E6" s="1540">
        <f>IF(OR(A6=0,F6="否"),0,'数据-取费表'!K6+'数据-取费表'!S6)</f>
        <v>177117.85000000003</v>
      </c>
      <c r="F6" s="3335" t="s">
        <v>3042</v>
      </c>
    </row>
    <row r="7" spans="1:6">
      <c r="A7" s="2791">
        <f>'数据-取费表'!AN7</f>
        <v>0</v>
      </c>
      <c r="B7" s="2787" t="e">
        <f ca="1">IF(F7="是",'数据-取费表'!AO7,0)</f>
        <v>#REF!</v>
      </c>
      <c r="C7" s="2779" t="s">
        <v>2664</v>
      </c>
      <c r="D7" s="2785"/>
      <c r="E7" s="1540">
        <f>IF(OR(A7=0,F7="否"),0,'数据-取费表'!K7+'数据-取费表'!S7)</f>
        <v>0</v>
      </c>
      <c r="F7" s="3335" t="s">
        <v>3042</v>
      </c>
    </row>
    <row r="8" spans="1:6">
      <c r="A8" s="2791">
        <f>'数据-取费表'!AN8</f>
        <v>0</v>
      </c>
      <c r="B8" s="2787" t="e">
        <f ca="1">IF(F8="是",'数据-取费表'!AO8,0)</f>
        <v>#REF!</v>
      </c>
      <c r="C8" s="2779" t="s">
        <v>2664</v>
      </c>
      <c r="D8" s="2785"/>
      <c r="E8" s="1540">
        <f>IF(OR(A8=0,F8="否"),0,'数据-取费表'!K8+'数据-取费表'!S8)</f>
        <v>0</v>
      </c>
      <c r="F8" s="3335" t="s">
        <v>3042</v>
      </c>
    </row>
    <row r="9" spans="1:6">
      <c r="A9" s="2791">
        <f>'数据-取费表'!AN9</f>
        <v>0</v>
      </c>
      <c r="B9" s="2787" t="e">
        <f ca="1">IF(F9="是",'数据-取费表'!AO9,0)</f>
        <v>#REF!</v>
      </c>
      <c r="C9" s="2779" t="s">
        <v>2664</v>
      </c>
      <c r="D9" s="2785"/>
      <c r="E9" s="1540">
        <f>IF(OR(A9=0,F9="否"),0,'数据-取费表'!K9+'数据-取费表'!S9)</f>
        <v>0</v>
      </c>
      <c r="F9" s="3335" t="s">
        <v>3042</v>
      </c>
    </row>
    <row r="10" spans="1:6">
      <c r="A10" s="2791">
        <f>'数据-取费表'!AN10</f>
        <v>0</v>
      </c>
      <c r="B10" s="2787" t="e">
        <f ca="1">IF(F10="是",'数据-取费表'!AO10,0)</f>
        <v>#REF!</v>
      </c>
      <c r="C10" s="2779" t="s">
        <v>2664</v>
      </c>
      <c r="D10" s="2785"/>
      <c r="E10" s="1540">
        <f>IF(OR(A10=0,F10="否"),0,'数据-取费表'!K10+'数据-取费表'!S10)</f>
        <v>0</v>
      </c>
      <c r="F10" s="3335" t="s">
        <v>3042</v>
      </c>
    </row>
    <row r="11" spans="1:6">
      <c r="A11" s="2791">
        <f>'数据-取费表'!AN11</f>
        <v>0</v>
      </c>
      <c r="B11" s="2787" t="e">
        <f ca="1">IF(F11="是",'数据-取费表'!AO11,0)</f>
        <v>#REF!</v>
      </c>
      <c r="C11" s="2779" t="s">
        <v>2664</v>
      </c>
      <c r="D11" s="2785"/>
      <c r="E11" s="1540">
        <f>IF(OR(A11=0,F11="否"),0,'数据-取费表'!K11+'数据-取费表'!S11)</f>
        <v>0</v>
      </c>
      <c r="F11" s="3335" t="s">
        <v>3042</v>
      </c>
    </row>
    <row r="12" spans="1:6">
      <c r="A12" s="2791">
        <f>'数据-取费表'!AN12</f>
        <v>0</v>
      </c>
      <c r="B12" s="2787" t="e">
        <f ca="1">IF(F12="是",'数据-取费表'!AO12,0)</f>
        <v>#REF!</v>
      </c>
      <c r="C12" s="2779" t="s">
        <v>2664</v>
      </c>
      <c r="D12" s="2785"/>
      <c r="E12" s="1540">
        <f>IF(OR(A12=0,F12="否"),0,'数据-取费表'!K12+'数据-取费表'!S12)</f>
        <v>0</v>
      </c>
      <c r="F12" s="3335" t="s">
        <v>3042</v>
      </c>
    </row>
    <row r="13" spans="1:6" ht="15" thickBot="1">
      <c r="A13" s="2792">
        <f>'数据-取费表'!AN13</f>
        <v>0</v>
      </c>
      <c r="B13" s="2787" t="e">
        <f ca="1">IF(F13="是",'数据-取费表'!AO13,0)</f>
        <v>#REF!</v>
      </c>
      <c r="C13" s="2795" t="s">
        <v>2664</v>
      </c>
      <c r="D13" s="2786"/>
      <c r="E13" s="1540">
        <f>IF(OR(A13=0,F13="否"),0,'数据-取费表'!K13+'数据-取费表'!S13)</f>
        <v>0</v>
      </c>
      <c r="F13" s="3335"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4.4"/>
  <cols>
    <col min="1" max="1" width="10.44140625" customWidth="1"/>
    <col min="2" max="2" width="12.88671875" customWidth="1"/>
    <col min="3" max="3" width="8.77734375" customWidth="1"/>
  </cols>
  <sheetData>
    <row r="1" spans="1:9" ht="15.6">
      <c r="A1" s="3610" t="s">
        <v>2541</v>
      </c>
      <c r="B1" s="3611"/>
      <c r="C1" s="3612"/>
      <c r="D1" s="3613">
        <f>SUM(I10,I15,I20,I21,I23)</f>
        <v>0</v>
      </c>
      <c r="E1" s="3613"/>
      <c r="F1" s="3613"/>
      <c r="G1" s="3613"/>
      <c r="H1" s="3613"/>
      <c r="I1" s="3614"/>
    </row>
    <row r="2" spans="1:9">
      <c r="A2" s="3600" t="s">
        <v>2542</v>
      </c>
      <c r="B2" s="3601" t="s">
        <v>2543</v>
      </c>
      <c r="C2" s="3601"/>
      <c r="D2" s="2636" t="s">
        <v>2544</v>
      </c>
      <c r="E2" s="2636" t="s">
        <v>2545</v>
      </c>
      <c r="F2" s="2636" t="s">
        <v>2546</v>
      </c>
      <c r="G2" s="2636" t="s">
        <v>2547</v>
      </c>
      <c r="H2" s="2636" t="s">
        <v>2548</v>
      </c>
      <c r="I2" s="2637" t="s">
        <v>2549</v>
      </c>
    </row>
    <row r="3" spans="1:9">
      <c r="A3" s="3600"/>
      <c r="B3" s="3601" t="s">
        <v>2550</v>
      </c>
      <c r="C3" s="3601"/>
      <c r="D3" s="2638"/>
      <c r="E3" s="2636"/>
      <c r="F3" s="2639"/>
      <c r="G3" s="2639"/>
      <c r="H3" s="2640"/>
      <c r="I3" s="2641">
        <f>ROUND(D3*E3*F3*G3*H3/10000,0)</f>
        <v>0</v>
      </c>
    </row>
    <row r="4" spans="1:9">
      <c r="A4" s="3600"/>
      <c r="B4" s="3601" t="s">
        <v>2551</v>
      </c>
      <c r="C4" s="3601"/>
      <c r="D4" s="2638"/>
      <c r="E4" s="2636"/>
      <c r="F4" s="2639"/>
      <c r="G4" s="2639"/>
      <c r="H4" s="2640"/>
      <c r="I4" s="2641">
        <f t="shared" ref="I4:I9" si="0">ROUND(D4*E4*F4*G4*H4/10000,0)</f>
        <v>0</v>
      </c>
    </row>
    <row r="5" spans="1:9">
      <c r="A5" s="3600"/>
      <c r="B5" s="3601" t="s">
        <v>2552</v>
      </c>
      <c r="C5" s="3601"/>
      <c r="D5" s="2638"/>
      <c r="E5" s="2636"/>
      <c r="F5" s="2639"/>
      <c r="G5" s="2639"/>
      <c r="H5" s="2640"/>
      <c r="I5" s="2641">
        <f t="shared" si="0"/>
        <v>0</v>
      </c>
    </row>
    <row r="6" spans="1:9">
      <c r="A6" s="3600"/>
      <c r="B6" s="3601" t="s">
        <v>2553</v>
      </c>
      <c r="C6" s="3601"/>
      <c r="D6" s="2638"/>
      <c r="E6" s="2636"/>
      <c r="F6" s="2639"/>
      <c r="G6" s="2639"/>
      <c r="H6" s="2640"/>
      <c r="I6" s="2641">
        <f t="shared" si="0"/>
        <v>0</v>
      </c>
    </row>
    <row r="7" spans="1:9">
      <c r="A7" s="3600"/>
      <c r="B7" s="3601" t="s">
        <v>2554</v>
      </c>
      <c r="C7" s="3601"/>
      <c r="D7" s="2638"/>
      <c r="E7" s="2636"/>
      <c r="F7" s="2639"/>
      <c r="G7" s="2639"/>
      <c r="H7" s="2640"/>
      <c r="I7" s="2641">
        <f t="shared" si="0"/>
        <v>0</v>
      </c>
    </row>
    <row r="8" spans="1:9">
      <c r="A8" s="3600"/>
      <c r="B8" s="3601" t="s">
        <v>2555</v>
      </c>
      <c r="C8" s="3601"/>
      <c r="D8" s="2638"/>
      <c r="E8" s="2636"/>
      <c r="F8" s="2639"/>
      <c r="G8" s="2639"/>
      <c r="H8" s="2640"/>
      <c r="I8" s="2641">
        <f t="shared" si="0"/>
        <v>0</v>
      </c>
    </row>
    <row r="9" spans="1:9">
      <c r="A9" s="3600"/>
      <c r="B9" s="3601" t="s">
        <v>2556</v>
      </c>
      <c r="C9" s="3601"/>
      <c r="D9" s="2638"/>
      <c r="E9" s="2636"/>
      <c r="F9" s="2639"/>
      <c r="G9" s="2639"/>
      <c r="H9" s="2640"/>
      <c r="I9" s="2641">
        <f t="shared" si="0"/>
        <v>0</v>
      </c>
    </row>
    <row r="10" spans="1:9">
      <c r="A10" s="3600"/>
      <c r="B10" s="3602" t="s">
        <v>2557</v>
      </c>
      <c r="C10" s="3602"/>
      <c r="D10" s="2642"/>
      <c r="E10" s="2642" t="e">
        <f>ROUND(D1*10000/D10/H9,0)</f>
        <v>#DIV/0!</v>
      </c>
      <c r="F10" s="2643"/>
      <c r="G10" s="2643"/>
      <c r="H10" s="2644"/>
      <c r="I10" s="2645">
        <f>SUM(I3:I9)</f>
        <v>0</v>
      </c>
    </row>
    <row r="11" spans="1:9" ht="15.6">
      <c r="A11" s="3600" t="s">
        <v>2558</v>
      </c>
      <c r="B11" s="3601" t="s">
        <v>2559</v>
      </c>
      <c r="C11" s="3601"/>
      <c r="D11" s="2638" t="s">
        <v>2560</v>
      </c>
      <c r="E11" s="2638" t="s">
        <v>2561</v>
      </c>
      <c r="F11" s="2639" t="s">
        <v>2562</v>
      </c>
      <c r="G11" s="2639" t="s">
        <v>2548</v>
      </c>
      <c r="H11" s="2646" t="s">
        <v>2563</v>
      </c>
      <c r="I11" s="2637" t="s">
        <v>2549</v>
      </c>
    </row>
    <row r="12" spans="1:9">
      <c r="A12" s="3600"/>
      <c r="B12" s="3601" t="s">
        <v>2564</v>
      </c>
      <c r="C12" s="3601"/>
      <c r="D12" s="2638"/>
      <c r="E12" s="2638"/>
      <c r="F12" s="2639"/>
      <c r="G12" s="2640"/>
      <c r="H12" s="2647"/>
      <c r="I12" s="2637">
        <f>ROUND(D12*E12*F12*G12/10000,0)</f>
        <v>0</v>
      </c>
    </row>
    <row r="13" spans="1:9">
      <c r="A13" s="3600"/>
      <c r="B13" s="3601" t="s">
        <v>2565</v>
      </c>
      <c r="C13" s="3601"/>
      <c r="D13" s="2638"/>
      <c r="E13" s="2638"/>
      <c r="F13" s="2639"/>
      <c r="G13" s="2640"/>
      <c r="H13" s="2647"/>
      <c r="I13" s="2637">
        <f>ROUND(D13*E13*F13*G13/10000,0)</f>
        <v>0</v>
      </c>
    </row>
    <row r="14" spans="1:9">
      <c r="A14" s="3600"/>
      <c r="B14" s="3601" t="s">
        <v>2566</v>
      </c>
      <c r="C14" s="3601"/>
      <c r="D14" s="2638"/>
      <c r="E14" s="2638"/>
      <c r="F14" s="2639"/>
      <c r="G14" s="2640"/>
      <c r="H14" s="2647"/>
      <c r="I14" s="2637">
        <f>ROUND(D14*E14*F14*G14/10000,0)</f>
        <v>0</v>
      </c>
    </row>
    <row r="15" spans="1:9">
      <c r="A15" s="3600"/>
      <c r="B15" s="3602" t="s">
        <v>2557</v>
      </c>
      <c r="C15" s="3602"/>
      <c r="D15" s="2642"/>
      <c r="E15" s="2642">
        <f>SUM(E12:E14)</f>
        <v>0</v>
      </c>
      <c r="F15" s="2643"/>
      <c r="G15" s="2640"/>
      <c r="H15" s="2647"/>
      <c r="I15" s="2648">
        <f>SUM(I12:I14)</f>
        <v>0</v>
      </c>
    </row>
    <row r="16" spans="1:9" ht="24">
      <c r="A16" s="3600" t="s">
        <v>2567</v>
      </c>
      <c r="B16" s="3601" t="s">
        <v>2568</v>
      </c>
      <c r="C16" s="3601"/>
      <c r="D16" s="2638" t="s">
        <v>2544</v>
      </c>
      <c r="E16" s="2649" t="s">
        <v>2569</v>
      </c>
      <c r="F16" s="2639" t="s">
        <v>2570</v>
      </c>
      <c r="G16" s="2640" t="s">
        <v>2548</v>
      </c>
      <c r="H16" s="2646" t="s">
        <v>2563</v>
      </c>
      <c r="I16" s="2637" t="s">
        <v>2549</v>
      </c>
    </row>
    <row r="17" spans="1:9" ht="15.6">
      <c r="A17" s="3600"/>
      <c r="B17" s="3601" t="s">
        <v>2571</v>
      </c>
      <c r="C17" s="3601"/>
      <c r="D17" s="2638"/>
      <c r="E17" s="2638"/>
      <c r="F17" s="2639"/>
      <c r="G17" s="2640"/>
      <c r="H17" s="2650"/>
      <c r="I17" s="2651">
        <f>ROUND(D17*E17*F17*G17/10000,0)</f>
        <v>0</v>
      </c>
    </row>
    <row r="18" spans="1:9" ht="15.6">
      <c r="A18" s="3600"/>
      <c r="B18" s="3601" t="s">
        <v>2572</v>
      </c>
      <c r="C18" s="3601"/>
      <c r="D18" s="2638"/>
      <c r="E18" s="2638"/>
      <c r="F18" s="2639"/>
      <c r="G18" s="2640"/>
      <c r="H18" s="2650"/>
      <c r="I18" s="2651">
        <f>ROUND(D18*E18*F18*G18/10000,0)</f>
        <v>0</v>
      </c>
    </row>
    <row r="19" spans="1:9" ht="15.6">
      <c r="A19" s="3600"/>
      <c r="B19" s="3601" t="s">
        <v>2573</v>
      </c>
      <c r="C19" s="3601"/>
      <c r="D19" s="2638"/>
      <c r="E19" s="2638"/>
      <c r="F19" s="2639"/>
      <c r="G19" s="2640"/>
      <c r="H19" s="2650"/>
      <c r="I19" s="2651">
        <f>ROUND(D19*E19*F19*G19/10000,0)</f>
        <v>0</v>
      </c>
    </row>
    <row r="20" spans="1:9">
      <c r="A20" s="3600"/>
      <c r="B20" s="3602" t="s">
        <v>2557</v>
      </c>
      <c r="C20" s="3602"/>
      <c r="D20" s="2642">
        <f>SUM(D17:D19)</f>
        <v>0</v>
      </c>
      <c r="E20" s="2642"/>
      <c r="F20" s="2643"/>
      <c r="G20" s="2640"/>
      <c r="H20" s="2647"/>
      <c r="I20" s="2648">
        <f>SUM(I17:I19)</f>
        <v>0</v>
      </c>
    </row>
    <row r="21" spans="1:9">
      <c r="A21" s="3600" t="s">
        <v>2574</v>
      </c>
      <c r="B21" s="3603"/>
      <c r="C21" s="3603"/>
      <c r="D21" s="3603"/>
      <c r="E21" s="3603"/>
      <c r="F21" s="3603"/>
      <c r="G21" s="3603"/>
      <c r="H21" s="3294">
        <v>0.1</v>
      </c>
      <c r="I21" s="2645">
        <f>ROUND(I10*H21,0)</f>
        <v>0</v>
      </c>
    </row>
    <row r="22" spans="1:9" ht="15.6">
      <c r="A22" s="3604" t="s">
        <v>2575</v>
      </c>
      <c r="B22" s="3605"/>
      <c r="C22" s="3606"/>
      <c r="D22" s="2652" t="s">
        <v>2576</v>
      </c>
      <c r="E22" s="2652" t="s">
        <v>2577</v>
      </c>
      <c r="F22" s="2653" t="s">
        <v>2578</v>
      </c>
      <c r="G22" s="2653" t="s">
        <v>2579</v>
      </c>
      <c r="H22" s="2646" t="s">
        <v>2580</v>
      </c>
      <c r="I22" s="2637" t="s">
        <v>2581</v>
      </c>
    </row>
    <row r="23" spans="1:9" ht="15" thickBot="1">
      <c r="A23" s="3607"/>
      <c r="B23" s="3608"/>
      <c r="C23" s="3609"/>
      <c r="D23" s="2654"/>
      <c r="E23" s="2654"/>
      <c r="F23" s="2654"/>
      <c r="G23" s="2655"/>
      <c r="H23" s="2656"/>
      <c r="I23" s="2657">
        <f>ROUND(E23*D23*F23*(1-G23)/10000,0)</f>
        <v>0</v>
      </c>
    </row>
    <row r="26" spans="1:9">
      <c r="A26" s="2658" t="s">
        <v>2582</v>
      </c>
      <c r="B26" s="2658"/>
      <c r="C26" s="2658"/>
      <c r="D26" s="2658"/>
      <c r="E26" s="3597">
        <f>C27-C30-C31-C32</f>
        <v>0</v>
      </c>
      <c r="F26" s="3597"/>
      <c r="G26" s="3597"/>
      <c r="H26" s="3248" t="s">
        <v>2950</v>
      </c>
    </row>
    <row r="27" spans="1:9">
      <c r="A27" s="2659">
        <v>1</v>
      </c>
      <c r="B27" s="2660" t="s">
        <v>2583</v>
      </c>
      <c r="C27" s="2660">
        <f>C28+C29</f>
        <v>0</v>
      </c>
      <c r="D27" s="2660"/>
      <c r="E27" s="3598"/>
      <c r="F27" s="3598"/>
      <c r="G27" s="3598"/>
    </row>
    <row r="28" spans="1:9">
      <c r="A28" s="2661" t="s">
        <v>2584</v>
      </c>
      <c r="B28" s="2660" t="s">
        <v>2585</v>
      </c>
      <c r="C28" s="2660"/>
      <c r="D28" s="2660"/>
      <c r="E28" s="3598"/>
      <c r="F28" s="3598"/>
      <c r="G28" s="3598"/>
    </row>
    <row r="29" spans="1:9">
      <c r="A29" s="2661" t="s">
        <v>2586</v>
      </c>
      <c r="B29" s="2660" t="s">
        <v>2587</v>
      </c>
      <c r="C29" s="2660"/>
      <c r="D29" s="2660"/>
      <c r="E29" s="2660" t="s">
        <v>2588</v>
      </c>
      <c r="F29" s="2660"/>
      <c r="G29" s="2660"/>
    </row>
    <row r="30" spans="1:9">
      <c r="A30" s="2659">
        <v>2</v>
      </c>
      <c r="B30" s="2660" t="s">
        <v>2589</v>
      </c>
      <c r="C30" s="2660">
        <f>C27*D30</f>
        <v>0</v>
      </c>
      <c r="D30" s="2662">
        <v>0.2</v>
      </c>
      <c r="E30" s="2660" t="s">
        <v>2590</v>
      </c>
      <c r="F30" s="2660"/>
      <c r="G30" s="2660"/>
    </row>
    <row r="31" spans="1:9">
      <c r="A31" s="2659">
        <v>3</v>
      </c>
      <c r="B31" s="2660" t="s">
        <v>2591</v>
      </c>
      <c r="C31" s="2660">
        <f>C25*D31</f>
        <v>0</v>
      </c>
      <c r="D31" s="2662">
        <v>0.15</v>
      </c>
      <c r="E31" s="2660" t="s">
        <v>2592</v>
      </c>
      <c r="F31" s="2660"/>
      <c r="G31" s="2660"/>
    </row>
    <row r="32" spans="1:9">
      <c r="A32" s="2659">
        <v>4</v>
      </c>
      <c r="B32" s="2660" t="s">
        <v>2593</v>
      </c>
      <c r="C32" s="2660">
        <f>C27*D32</f>
        <v>0</v>
      </c>
      <c r="D32" s="2662">
        <v>0.05</v>
      </c>
      <c r="E32" s="3599"/>
      <c r="F32" s="3599"/>
      <c r="G32" s="3599"/>
    </row>
    <row r="33" spans="1:7" hidden="1">
      <c r="A33" s="3594" t="s">
        <v>2594</v>
      </c>
      <c r="B33" s="3595"/>
      <c r="C33" s="3595"/>
      <c r="D33" s="3596"/>
      <c r="E33" s="3597"/>
      <c r="F33" s="3597"/>
      <c r="G33" s="3597"/>
    </row>
    <row r="34" spans="1:7" hidden="1">
      <c r="A34" s="2663">
        <v>1</v>
      </c>
      <c r="B34" s="2660" t="s">
        <v>2595</v>
      </c>
      <c r="C34" s="2660"/>
      <c r="D34" s="2660"/>
      <c r="E34" s="3598"/>
      <c r="F34" s="3598"/>
      <c r="G34" s="3598"/>
    </row>
    <row r="35" spans="1:7" hidden="1">
      <c r="A35" s="2663">
        <v>2</v>
      </c>
      <c r="B35" s="2660" t="s">
        <v>2596</v>
      </c>
      <c r="C35" s="2660"/>
      <c r="D35" s="2660"/>
      <c r="E35" s="3598"/>
      <c r="F35" s="3598"/>
      <c r="G35" s="3598"/>
    </row>
    <row r="36" spans="1:7" hidden="1">
      <c r="A36" s="2663">
        <v>3</v>
      </c>
      <c r="B36" s="2660" t="s">
        <v>2597</v>
      </c>
      <c r="C36" s="2660"/>
      <c r="D36" s="2660"/>
      <c r="E36" s="3598"/>
      <c r="F36" s="3598"/>
      <c r="G36" s="3598"/>
    </row>
    <row r="37" spans="1:7" hidden="1">
      <c r="A37" s="2663">
        <v>4</v>
      </c>
      <c r="B37" s="2660" t="s">
        <v>2598</v>
      </c>
      <c r="C37" s="2660"/>
      <c r="D37" s="2660"/>
      <c r="E37" s="3598"/>
      <c r="F37" s="3598"/>
      <c r="G37" s="3598"/>
    </row>
    <row r="38" spans="1:7" hidden="1">
      <c r="A38" s="3594" t="s">
        <v>2599</v>
      </c>
      <c r="B38" s="3595"/>
      <c r="C38" s="3595"/>
      <c r="D38" s="3596"/>
      <c r="E38" s="3597"/>
      <c r="F38" s="3597"/>
      <c r="G38" s="35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ColWidth="9" defaultRowHeight="14.4"/>
  <cols>
    <col min="1" max="1" width="10.44140625" style="91" customWidth="1"/>
    <col min="2" max="2" width="15.77734375" style="91" customWidth="1"/>
    <col min="3" max="3" width="15.10937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1367"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12" customFormat="1" ht="28.5" customHeight="1" thickBot="1">
      <c r="A1" s="3098" t="s">
        <v>975</v>
      </c>
      <c r="B1" s="3099" t="s">
        <v>976</v>
      </c>
      <c r="C1" s="3100" t="s">
        <v>977</v>
      </c>
      <c r="D1" s="3101"/>
      <c r="E1" s="3102"/>
      <c r="F1" s="3103" t="s">
        <v>2689</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3" t="s">
        <v>983</v>
      </c>
      <c r="D4" s="3634"/>
      <c r="E4" s="3635" t="s">
        <v>984</v>
      </c>
      <c r="F4" s="3636"/>
      <c r="G4" s="3633" t="s">
        <v>985</v>
      </c>
      <c r="H4" s="3634"/>
      <c r="I4" s="3633" t="s">
        <v>986</v>
      </c>
      <c r="J4" s="3634"/>
      <c r="K4" s="145" t="s">
        <v>987</v>
      </c>
      <c r="L4" s="2293"/>
      <c r="M4" s="2294"/>
      <c r="N4" s="2294"/>
      <c r="O4" s="2294"/>
      <c r="P4" s="3637" t="s">
        <v>982</v>
      </c>
      <c r="Q4" s="3638"/>
      <c r="R4" s="3643" t="s">
        <v>984</v>
      </c>
      <c r="S4" s="3644"/>
      <c r="T4" s="3643" t="s">
        <v>985</v>
      </c>
      <c r="U4" s="3644"/>
      <c r="V4" s="3649" t="s">
        <v>986</v>
      </c>
      <c r="W4" s="3649"/>
      <c r="X4" s="1338"/>
      <c r="Y4" s="3643" t="s">
        <v>982</v>
      </c>
      <c r="Z4" s="3644"/>
      <c r="AA4" s="3630" t="s">
        <v>984</v>
      </c>
      <c r="AB4" s="3630" t="s">
        <v>985</v>
      </c>
      <c r="AC4" s="3630" t="s">
        <v>986</v>
      </c>
    </row>
    <row r="5" spans="1:29">
      <c r="A5" s="146"/>
      <c r="B5" s="147"/>
      <c r="C5" s="3652" t="s">
        <v>988</v>
      </c>
      <c r="D5" s="3653"/>
      <c r="E5" s="3659" t="s">
        <v>989</v>
      </c>
      <c r="F5" s="3660"/>
      <c r="G5" s="3652" t="s">
        <v>990</v>
      </c>
      <c r="H5" s="3653"/>
      <c r="I5" s="3652" t="s">
        <v>991</v>
      </c>
      <c r="J5" s="3653"/>
      <c r="K5" s="152"/>
      <c r="L5" s="2293"/>
      <c r="M5" s="2294"/>
      <c r="N5" s="2294"/>
      <c r="O5" s="2294"/>
      <c r="P5" s="3639"/>
      <c r="Q5" s="3640"/>
      <c r="R5" s="3645"/>
      <c r="S5" s="3646"/>
      <c r="T5" s="3645"/>
      <c r="U5" s="3646"/>
      <c r="V5" s="3649"/>
      <c r="W5" s="3649"/>
      <c r="X5" s="1338"/>
      <c r="Y5" s="3645"/>
      <c r="Z5" s="3646"/>
      <c r="AA5" s="3631"/>
      <c r="AB5" s="3631"/>
      <c r="AC5" s="3631"/>
    </row>
    <row r="6" spans="1:29" ht="15" thickBot="1">
      <c r="A6" s="148"/>
      <c r="B6" s="149"/>
      <c r="C6" s="3650" t="s">
        <v>992</v>
      </c>
      <c r="D6" s="3651"/>
      <c r="E6" s="3657" t="s">
        <v>992</v>
      </c>
      <c r="F6" s="3658"/>
      <c r="G6" s="3650" t="s">
        <v>992</v>
      </c>
      <c r="H6" s="3651"/>
      <c r="I6" s="3650" t="s">
        <v>992</v>
      </c>
      <c r="J6" s="3651"/>
      <c r="K6" s="152" t="s">
        <v>993</v>
      </c>
      <c r="L6" s="2293"/>
      <c r="M6" s="2294"/>
      <c r="N6" s="2294"/>
      <c r="O6" s="2294"/>
      <c r="P6" s="3641"/>
      <c r="Q6" s="3642"/>
      <c r="R6" s="3645"/>
      <c r="S6" s="3646"/>
      <c r="T6" s="3647"/>
      <c r="U6" s="3648"/>
      <c r="V6" s="3649"/>
      <c r="W6" s="3649"/>
      <c r="X6" s="1338"/>
      <c r="Y6" s="3647"/>
      <c r="Z6" s="3648"/>
      <c r="AA6" s="3632"/>
      <c r="AB6" s="3632"/>
      <c r="AC6" s="3632"/>
    </row>
    <row r="7" spans="1:29" s="40" customFormat="1" ht="15" thickBot="1">
      <c r="A7" s="1012" t="s">
        <v>994</v>
      </c>
      <c r="B7" s="1013"/>
      <c r="C7" s="1014">
        <f>'数据-取费表'!B2</f>
        <v>43385</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54" t="s">
        <v>994</v>
      </c>
      <c r="Q7" s="3656"/>
      <c r="R7" s="1340" t="s">
        <v>115</v>
      </c>
      <c r="S7" s="1341">
        <f t="shared" ref="S7:S15" si="0">F7</f>
        <v>0</v>
      </c>
      <c r="T7" s="1340" t="s">
        <v>115</v>
      </c>
      <c r="U7" s="1341">
        <f t="shared" ref="U7:U15" si="1">H7</f>
        <v>0</v>
      </c>
      <c r="V7" s="1340" t="s">
        <v>115</v>
      </c>
      <c r="W7" s="1341">
        <f t="shared" ref="W7:W15" si="2">J7</f>
        <v>0</v>
      </c>
      <c r="X7" s="286"/>
      <c r="Y7" s="3654" t="s">
        <v>994</v>
      </c>
      <c r="Z7" s="3655"/>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54" t="s">
        <v>995</v>
      </c>
      <c r="Q8" s="3655"/>
      <c r="R8" s="1340" t="s">
        <v>115</v>
      </c>
      <c r="S8" s="1341">
        <f t="shared" si="0"/>
        <v>0</v>
      </c>
      <c r="T8" s="1340" t="s">
        <v>115</v>
      </c>
      <c r="U8" s="1341">
        <f t="shared" si="1"/>
        <v>0</v>
      </c>
      <c r="V8" s="1340" t="s">
        <v>115</v>
      </c>
      <c r="W8" s="1341">
        <f t="shared" si="2"/>
        <v>0</v>
      </c>
      <c r="X8" s="286"/>
      <c r="Y8" s="3654" t="s">
        <v>995</v>
      </c>
      <c r="Z8" s="3655"/>
      <c r="AA8" s="1342" t="e">
        <f t="shared" ref="AA8:AA19" si="3">D8/F8</f>
        <v>#DIV/0!</v>
      </c>
      <c r="AB8" s="1342" t="e">
        <f t="shared" ref="AB8:AB19" si="4">D8/H8</f>
        <v>#DIV/0!</v>
      </c>
      <c r="AC8" s="1342" t="e">
        <f t="shared" ref="AC8:AC19" si="5">D8/J8</f>
        <v>#DIV/0!</v>
      </c>
    </row>
    <row r="9" spans="1:29" s="40" customFormat="1">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29" t="s">
        <v>67</v>
      </c>
      <c r="Q9" s="7" t="str">
        <f t="shared" ref="Q9:Q15" si="6">B9</f>
        <v>用途</v>
      </c>
      <c r="R9" s="1340" t="s">
        <v>65</v>
      </c>
      <c r="S9" s="1341">
        <f t="shared" si="0"/>
        <v>100</v>
      </c>
      <c r="T9" s="1340" t="s">
        <v>65</v>
      </c>
      <c r="U9" s="1341">
        <f t="shared" si="1"/>
        <v>100</v>
      </c>
      <c r="V9" s="1340" t="s">
        <v>65</v>
      </c>
      <c r="W9" s="1341">
        <f t="shared" si="2"/>
        <v>100</v>
      </c>
      <c r="X9" s="286"/>
      <c r="Y9" s="3434" t="s">
        <v>67</v>
      </c>
      <c r="Z9" s="287" t="str">
        <f t="shared" ref="Z9:Z15" si="7">Q9</f>
        <v>用途</v>
      </c>
      <c r="AA9" s="1342">
        <f t="shared" si="3"/>
        <v>1</v>
      </c>
      <c r="AB9" s="1342">
        <f t="shared" si="4"/>
        <v>1</v>
      </c>
      <c r="AC9" s="1342">
        <f t="shared" si="5"/>
        <v>1</v>
      </c>
    </row>
    <row r="10" spans="1:29" s="92" customFormat="1" ht="28.8">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29"/>
      <c r="Q10" s="7" t="str">
        <f t="shared" si="6"/>
        <v>土地使用年限（年）</v>
      </c>
      <c r="R10" s="1340" t="s">
        <v>65</v>
      </c>
      <c r="S10" s="1341">
        <f t="shared" si="0"/>
        <v>100</v>
      </c>
      <c r="T10" s="1340" t="s">
        <v>65</v>
      </c>
      <c r="U10" s="1341">
        <f t="shared" si="1"/>
        <v>100</v>
      </c>
      <c r="V10" s="1340" t="s">
        <v>65</v>
      </c>
      <c r="W10" s="1341">
        <f t="shared" si="2"/>
        <v>100</v>
      </c>
      <c r="X10" s="286"/>
      <c r="Y10" s="3434"/>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29"/>
      <c r="Q11" s="7" t="str">
        <f t="shared" si="6"/>
        <v>容积率</v>
      </c>
      <c r="R11" s="1340" t="s">
        <v>104</v>
      </c>
      <c r="S11" s="1341" t="e">
        <f t="shared" si="0"/>
        <v>#N/A</v>
      </c>
      <c r="T11" s="1340" t="s">
        <v>104</v>
      </c>
      <c r="U11" s="1341" t="e">
        <f t="shared" si="1"/>
        <v>#N/A</v>
      </c>
      <c r="V11" s="1340" t="s">
        <v>104</v>
      </c>
      <c r="W11" s="1341" t="e">
        <f t="shared" si="2"/>
        <v>#N/A</v>
      </c>
      <c r="X11" s="286"/>
      <c r="Y11" s="3434"/>
      <c r="Z11" s="287" t="str">
        <f t="shared" si="7"/>
        <v>容积率</v>
      </c>
      <c r="AA11" s="1342" t="e">
        <f t="shared" si="3"/>
        <v>#N/A</v>
      </c>
      <c r="AB11" s="1342" t="e">
        <f t="shared" si="4"/>
        <v>#N/A</v>
      </c>
      <c r="AC11" s="1342" t="e">
        <f t="shared" si="5"/>
        <v>#N/A</v>
      </c>
    </row>
    <row r="12" spans="1:29" s="40" customFormat="1" ht="15.6">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29"/>
      <c r="Q12" s="7">
        <f t="shared" si="6"/>
        <v>111</v>
      </c>
      <c r="R12" s="1340" t="s">
        <v>104</v>
      </c>
      <c r="S12" s="1341">
        <f t="shared" si="0"/>
        <v>100</v>
      </c>
      <c r="T12" s="1340" t="s">
        <v>104</v>
      </c>
      <c r="U12" s="1341">
        <f t="shared" si="1"/>
        <v>100</v>
      </c>
      <c r="V12" s="1340" t="s">
        <v>104</v>
      </c>
      <c r="W12" s="1341">
        <f t="shared" si="2"/>
        <v>100</v>
      </c>
      <c r="X12" s="286"/>
      <c r="Y12" s="3434"/>
      <c r="Z12" s="287">
        <f t="shared" si="7"/>
        <v>111</v>
      </c>
      <c r="AA12" s="1342">
        <f>D12/F12</f>
        <v>1</v>
      </c>
      <c r="AB12" s="1342">
        <f>D12/H12</f>
        <v>1</v>
      </c>
      <c r="AC12" s="1342">
        <f>D12/J12</f>
        <v>1</v>
      </c>
    </row>
    <row r="13" spans="1:29" ht="15.6">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29"/>
      <c r="Q13" s="7">
        <f t="shared" si="6"/>
        <v>111</v>
      </c>
      <c r="R13" s="1340" t="s">
        <v>104</v>
      </c>
      <c r="S13" s="1341">
        <f t="shared" si="0"/>
        <v>100</v>
      </c>
      <c r="T13" s="1340" t="s">
        <v>104</v>
      </c>
      <c r="U13" s="1341">
        <f t="shared" si="1"/>
        <v>100</v>
      </c>
      <c r="V13" s="1340" t="s">
        <v>104</v>
      </c>
      <c r="W13" s="1341">
        <f t="shared" si="2"/>
        <v>100</v>
      </c>
      <c r="X13" s="286"/>
      <c r="Y13" s="3434"/>
      <c r="Z13" s="287">
        <f t="shared" si="7"/>
        <v>111</v>
      </c>
      <c r="AA13" s="1342">
        <f t="shared" si="3"/>
        <v>1</v>
      </c>
      <c r="AB13" s="1342">
        <f t="shared" si="4"/>
        <v>1</v>
      </c>
      <c r="AC13" s="1342">
        <f t="shared" si="5"/>
        <v>1</v>
      </c>
    </row>
    <row r="14" spans="1:29" ht="16.2"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29"/>
      <c r="Q14" s="7">
        <f t="shared" si="6"/>
        <v>111</v>
      </c>
      <c r="R14" s="1340" t="s">
        <v>104</v>
      </c>
      <c r="S14" s="1341">
        <f t="shared" si="0"/>
        <v>100</v>
      </c>
      <c r="T14" s="1340" t="s">
        <v>104</v>
      </c>
      <c r="U14" s="1341">
        <f t="shared" si="1"/>
        <v>100</v>
      </c>
      <c r="V14" s="1340" t="s">
        <v>104</v>
      </c>
      <c r="W14" s="1341">
        <f t="shared" si="2"/>
        <v>100</v>
      </c>
      <c r="X14" s="286"/>
      <c r="Y14" s="3434"/>
      <c r="Z14" s="287">
        <f t="shared" si="7"/>
        <v>111</v>
      </c>
      <c r="AA14" s="1342">
        <f t="shared" si="3"/>
        <v>1</v>
      </c>
      <c r="AB14" s="1342">
        <f t="shared" si="4"/>
        <v>1</v>
      </c>
      <c r="AC14" s="1342">
        <f t="shared" si="5"/>
        <v>1</v>
      </c>
    </row>
    <row r="15" spans="1:29" ht="100.8">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27" t="s">
        <v>69</v>
      </c>
      <c r="Q15" s="1349" t="str">
        <f t="shared" si="6"/>
        <v>居住社区成熟度</v>
      </c>
      <c r="R15" s="1350" t="s">
        <v>104</v>
      </c>
      <c r="S15" s="1351">
        <f t="shared" si="0"/>
        <v>100</v>
      </c>
      <c r="T15" s="1350" t="s">
        <v>104</v>
      </c>
      <c r="U15" s="1351">
        <f t="shared" si="1"/>
        <v>100</v>
      </c>
      <c r="V15" s="1350" t="s">
        <v>104</v>
      </c>
      <c r="W15" s="1351">
        <f t="shared" si="2"/>
        <v>100</v>
      </c>
      <c r="X15" s="1338"/>
      <c r="Y15" s="3620" t="s">
        <v>69</v>
      </c>
      <c r="Z15" s="1352" t="str">
        <f t="shared" si="7"/>
        <v>居住社区成熟度</v>
      </c>
      <c r="AA15" s="1353">
        <f t="shared" si="3"/>
        <v>1</v>
      </c>
      <c r="AB15" s="1353">
        <f t="shared" si="4"/>
        <v>1</v>
      </c>
      <c r="AC15" s="1353">
        <f t="shared" si="5"/>
        <v>1</v>
      </c>
    </row>
    <row r="16" spans="1:29" ht="15.6">
      <c r="A16" s="151"/>
      <c r="B16" s="156"/>
      <c r="C16" s="97"/>
      <c r="D16" s="789"/>
      <c r="E16" s="99"/>
      <c r="F16" s="789"/>
      <c r="G16" s="98"/>
      <c r="H16" s="791"/>
      <c r="I16" s="98"/>
      <c r="J16" s="789"/>
      <c r="K16" s="159"/>
      <c r="L16" s="2299"/>
      <c r="M16" s="2294"/>
      <c r="N16" s="2294"/>
      <c r="O16" s="2294"/>
      <c r="P16" s="3628"/>
      <c r="Q16" s="1349"/>
      <c r="R16" s="1350"/>
      <c r="S16" s="1351"/>
      <c r="T16" s="1350"/>
      <c r="U16" s="1351"/>
      <c r="V16" s="1350"/>
      <c r="W16" s="1351"/>
      <c r="X16" s="1338"/>
      <c r="Y16" s="3621"/>
      <c r="Z16" s="1352"/>
      <c r="AA16" s="1353">
        <v>1</v>
      </c>
      <c r="AB16" s="1353">
        <v>1</v>
      </c>
      <c r="AC16" s="1353">
        <v>1</v>
      </c>
    </row>
    <row r="17" spans="1:29" ht="86.4">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28"/>
      <c r="Q17" s="1349" t="str">
        <f>B17</f>
        <v>交通便捷度</v>
      </c>
      <c r="R17" s="1350" t="s">
        <v>104</v>
      </c>
      <c r="S17" s="1351">
        <f>F17</f>
        <v>100</v>
      </c>
      <c r="T17" s="1350" t="s">
        <v>104</v>
      </c>
      <c r="U17" s="1351">
        <f>H17</f>
        <v>100</v>
      </c>
      <c r="V17" s="1350" t="s">
        <v>104</v>
      </c>
      <c r="W17" s="1351">
        <f>J17</f>
        <v>100</v>
      </c>
      <c r="X17" s="1338"/>
      <c r="Y17" s="3621"/>
      <c r="Z17" s="1352" t="str">
        <f>Q17</f>
        <v>交通便捷度</v>
      </c>
      <c r="AA17" s="1353">
        <f t="shared" si="3"/>
        <v>1</v>
      </c>
      <c r="AB17" s="1353">
        <f t="shared" si="4"/>
        <v>1</v>
      </c>
      <c r="AC17" s="1353">
        <f t="shared" si="5"/>
        <v>1</v>
      </c>
    </row>
    <row r="18" spans="1:29" ht="15.6">
      <c r="A18" s="151"/>
      <c r="B18" s="1038"/>
      <c r="C18" s="102"/>
      <c r="D18" s="791"/>
      <c r="E18" s="104"/>
      <c r="F18" s="791"/>
      <c r="G18" s="103"/>
      <c r="H18" s="789"/>
      <c r="I18" s="103"/>
      <c r="J18" s="789"/>
      <c r="K18" s="159"/>
      <c r="L18" s="2299"/>
      <c r="M18" s="2294"/>
      <c r="N18" s="2294"/>
      <c r="O18" s="2294"/>
      <c r="P18" s="3628"/>
      <c r="Q18" s="1349"/>
      <c r="R18" s="1350"/>
      <c r="S18" s="1351"/>
      <c r="T18" s="1350"/>
      <c r="U18" s="1351"/>
      <c r="V18" s="1350"/>
      <c r="W18" s="1351"/>
      <c r="X18" s="1338"/>
      <c r="Y18" s="3621"/>
      <c r="Z18" s="1352"/>
      <c r="AA18" s="1353">
        <v>1</v>
      </c>
      <c r="AB18" s="1353">
        <v>1</v>
      </c>
      <c r="AC18" s="1353">
        <v>1</v>
      </c>
    </row>
    <row r="19" spans="1:29" ht="43.2">
      <c r="A19" s="151"/>
      <c r="B19" s="1354" t="s">
        <v>2625</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28"/>
      <c r="Q19" s="1349" t="str">
        <f>B19</f>
        <v>公共配套设施</v>
      </c>
      <c r="R19" s="1350" t="s">
        <v>104</v>
      </c>
      <c r="S19" s="1351">
        <f>F19</f>
        <v>100</v>
      </c>
      <c r="T19" s="1350" t="s">
        <v>104</v>
      </c>
      <c r="U19" s="1351">
        <f>H19</f>
        <v>100</v>
      </c>
      <c r="V19" s="1350" t="s">
        <v>104</v>
      </c>
      <c r="W19" s="1351">
        <f>J19</f>
        <v>100</v>
      </c>
      <c r="X19" s="1338"/>
      <c r="Y19" s="3621"/>
      <c r="Z19" s="1352" t="str">
        <f>Q19</f>
        <v>公共配套设施</v>
      </c>
      <c r="AA19" s="1353">
        <f t="shared" si="3"/>
        <v>1</v>
      </c>
      <c r="AB19" s="1353">
        <f t="shared" si="4"/>
        <v>1</v>
      </c>
      <c r="AC19" s="1353">
        <f t="shared" si="5"/>
        <v>1</v>
      </c>
    </row>
    <row r="20" spans="1:29" ht="15.6">
      <c r="A20" s="151"/>
      <c r="B20" s="1038"/>
      <c r="C20" s="97"/>
      <c r="D20" s="789"/>
      <c r="E20" s="99"/>
      <c r="F20" s="789"/>
      <c r="G20" s="98"/>
      <c r="H20" s="789"/>
      <c r="I20" s="98"/>
      <c r="J20" s="789"/>
      <c r="K20" s="159"/>
      <c r="L20" s="2299"/>
      <c r="M20" s="2294"/>
      <c r="N20" s="2294"/>
      <c r="O20" s="2294"/>
      <c r="P20" s="3628"/>
      <c r="Q20" s="1349"/>
      <c r="R20" s="1350"/>
      <c r="S20" s="1351"/>
      <c r="T20" s="1350"/>
      <c r="U20" s="1351"/>
      <c r="V20" s="1350"/>
      <c r="W20" s="1351"/>
      <c r="X20" s="1338"/>
      <c r="Y20" s="3621"/>
      <c r="Z20" s="1352"/>
      <c r="AA20" s="1353">
        <v>1</v>
      </c>
      <c r="AB20" s="1353">
        <v>1</v>
      </c>
      <c r="AC20" s="1353">
        <v>1</v>
      </c>
    </row>
    <row r="21" spans="1:29" ht="28.8">
      <c r="A21" s="151"/>
      <c r="B21" s="1410" t="s">
        <v>2636</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28"/>
      <c r="Q21" s="2744" t="str">
        <f>B21</f>
        <v>基础设施水平</v>
      </c>
      <c r="R21" s="1350" t="s">
        <v>65</v>
      </c>
      <c r="S21" s="1351">
        <f>F21</f>
        <v>100</v>
      </c>
      <c r="T21" s="1350" t="s">
        <v>65</v>
      </c>
      <c r="U21" s="1351">
        <f>H21</f>
        <v>100</v>
      </c>
      <c r="V21" s="1350" t="s">
        <v>65</v>
      </c>
      <c r="W21" s="1351">
        <f>J21</f>
        <v>100</v>
      </c>
      <c r="X21" s="2746"/>
      <c r="Y21" s="3621"/>
      <c r="Z21" s="2745" t="str">
        <f>Q21</f>
        <v>基础设施水平</v>
      </c>
      <c r="AA21" s="1353">
        <f t="shared" ref="AA21" si="8">D21/F21</f>
        <v>1</v>
      </c>
      <c r="AB21" s="1353">
        <f t="shared" ref="AB21" si="9">D21/H21</f>
        <v>1</v>
      </c>
      <c r="AC21" s="1353">
        <f t="shared" ref="AC21" si="10">D21/J21</f>
        <v>1</v>
      </c>
    </row>
    <row r="22" spans="1:29" ht="15.6">
      <c r="A22" s="151"/>
      <c r="B22" s="1410"/>
      <c r="C22" s="102"/>
      <c r="D22" s="789"/>
      <c r="E22" s="97"/>
      <c r="F22" s="789"/>
      <c r="G22" s="192"/>
      <c r="H22" s="789"/>
      <c r="I22" s="97"/>
      <c r="J22" s="789"/>
      <c r="K22" s="2761"/>
      <c r="L22" s="2299"/>
      <c r="M22" s="2294"/>
      <c r="N22" s="2294"/>
      <c r="O22" s="2294"/>
      <c r="P22" s="3628"/>
      <c r="Q22" s="2744"/>
      <c r="R22" s="1350"/>
      <c r="S22" s="1351"/>
      <c r="T22" s="1350"/>
      <c r="U22" s="1351"/>
      <c r="V22" s="1350"/>
      <c r="W22" s="1351"/>
      <c r="X22" s="2746"/>
      <c r="Y22" s="3621"/>
      <c r="Z22" s="2745"/>
      <c r="AA22" s="1353">
        <v>1</v>
      </c>
      <c r="AB22" s="1353">
        <v>1</v>
      </c>
      <c r="AC22" s="1353">
        <v>1</v>
      </c>
    </row>
    <row r="23" spans="1:29" ht="57.6">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28"/>
      <c r="Q23" s="1349" t="str">
        <f>B23</f>
        <v>自然及人文环境</v>
      </c>
      <c r="R23" s="1350" t="s">
        <v>104</v>
      </c>
      <c r="S23" s="1351">
        <f>F23</f>
        <v>100</v>
      </c>
      <c r="T23" s="1350" t="s">
        <v>104</v>
      </c>
      <c r="U23" s="1351">
        <f>H23</f>
        <v>100</v>
      </c>
      <c r="V23" s="1350" t="s">
        <v>104</v>
      </c>
      <c r="W23" s="1351">
        <f>J23</f>
        <v>100</v>
      </c>
      <c r="X23" s="1338"/>
      <c r="Y23" s="3621"/>
      <c r="Z23" s="1352" t="str">
        <f>Q23</f>
        <v>自然及人文环境</v>
      </c>
      <c r="AA23" s="1353">
        <f>D23/F23</f>
        <v>1</v>
      </c>
      <c r="AB23" s="1353">
        <f>D23/H23</f>
        <v>1</v>
      </c>
      <c r="AC23" s="1353">
        <f>D23/J23</f>
        <v>1</v>
      </c>
    </row>
    <row r="24" spans="1:29" ht="15.6">
      <c r="A24" s="151"/>
      <c r="B24" s="1038"/>
      <c r="C24" s="97"/>
      <c r="D24" s="789"/>
      <c r="E24" s="99"/>
      <c r="F24" s="789"/>
      <c r="G24" s="98"/>
      <c r="H24" s="789"/>
      <c r="I24" s="98"/>
      <c r="J24" s="789"/>
      <c r="K24" s="159"/>
      <c r="L24" s="2299"/>
      <c r="M24" s="2294"/>
      <c r="N24" s="2294"/>
      <c r="O24" s="2294"/>
      <c r="P24" s="3628"/>
      <c r="Q24" s="1349"/>
      <c r="R24" s="1350"/>
      <c r="S24" s="1351"/>
      <c r="T24" s="1350"/>
      <c r="U24" s="1351"/>
      <c r="V24" s="1350"/>
      <c r="W24" s="1351"/>
      <c r="X24" s="1338"/>
      <c r="Y24" s="3621"/>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28"/>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21"/>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28"/>
      <c r="Q26" s="1349" t="str">
        <f t="shared" si="11"/>
        <v>朝向</v>
      </c>
      <c r="R26" s="1350" t="s">
        <v>104</v>
      </c>
      <c r="S26" s="1351">
        <f t="shared" si="12"/>
        <v>100</v>
      </c>
      <c r="T26" s="1350" t="s">
        <v>104</v>
      </c>
      <c r="U26" s="1351">
        <f t="shared" si="13"/>
        <v>100</v>
      </c>
      <c r="V26" s="1350" t="s">
        <v>104</v>
      </c>
      <c r="W26" s="1351">
        <f t="shared" si="14"/>
        <v>100</v>
      </c>
      <c r="X26" s="1338"/>
      <c r="Y26" s="3621"/>
      <c r="Z26" s="1352" t="str">
        <f>Q26</f>
        <v>朝向</v>
      </c>
      <c r="AA26" s="1353">
        <f t="shared" si="15"/>
        <v>1</v>
      </c>
      <c r="AB26" s="1353">
        <f t="shared" si="16"/>
        <v>1</v>
      </c>
      <c r="AC26" s="1353">
        <f t="shared" si="17"/>
        <v>1</v>
      </c>
    </row>
    <row r="27" spans="1:29" s="40" customFormat="1" ht="15.6">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28"/>
      <c r="Q27" s="7">
        <f t="shared" si="11"/>
        <v>111</v>
      </c>
      <c r="R27" s="1340" t="s">
        <v>104</v>
      </c>
      <c r="S27" s="1341">
        <f t="shared" si="12"/>
        <v>100</v>
      </c>
      <c r="T27" s="1340" t="s">
        <v>104</v>
      </c>
      <c r="U27" s="1341">
        <f t="shared" si="13"/>
        <v>100</v>
      </c>
      <c r="V27" s="1340" t="s">
        <v>104</v>
      </c>
      <c r="W27" s="1341">
        <f t="shared" si="14"/>
        <v>100</v>
      </c>
      <c r="X27" s="286"/>
      <c r="Y27" s="3621"/>
      <c r="Z27" s="287">
        <f>Q27</f>
        <v>111</v>
      </c>
      <c r="AA27" s="1353">
        <f t="shared" si="15"/>
        <v>1</v>
      </c>
      <c r="AB27" s="1353">
        <f t="shared" si="16"/>
        <v>1</v>
      </c>
      <c r="AC27" s="1353">
        <f t="shared" si="17"/>
        <v>1</v>
      </c>
    </row>
    <row r="28" spans="1:29" ht="15.6">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28"/>
      <c r="Q28" s="1349">
        <f t="shared" si="11"/>
        <v>111</v>
      </c>
      <c r="R28" s="1350" t="s">
        <v>104</v>
      </c>
      <c r="S28" s="1351">
        <f t="shared" si="12"/>
        <v>100</v>
      </c>
      <c r="T28" s="1350" t="s">
        <v>104</v>
      </c>
      <c r="U28" s="1351">
        <f t="shared" si="13"/>
        <v>100</v>
      </c>
      <c r="V28" s="1350" t="s">
        <v>104</v>
      </c>
      <c r="W28" s="1351">
        <f t="shared" si="14"/>
        <v>100</v>
      </c>
      <c r="X28" s="1338"/>
      <c r="Y28" s="3621"/>
      <c r="Z28" s="1352">
        <f t="shared" ref="Z28:Z46" si="18">Q28</f>
        <v>111</v>
      </c>
      <c r="AA28" s="1353">
        <f t="shared" si="15"/>
        <v>1</v>
      </c>
      <c r="AB28" s="1353">
        <f t="shared" si="16"/>
        <v>1</v>
      </c>
      <c r="AC28" s="1353">
        <f t="shared" si="17"/>
        <v>1</v>
      </c>
    </row>
    <row r="29" spans="1:29" ht="15.6">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28"/>
      <c r="Q29" s="1349">
        <f t="shared" si="11"/>
        <v>111</v>
      </c>
      <c r="R29" s="1350" t="s">
        <v>104</v>
      </c>
      <c r="S29" s="1351">
        <f t="shared" si="12"/>
        <v>100</v>
      </c>
      <c r="T29" s="1350" t="s">
        <v>104</v>
      </c>
      <c r="U29" s="1351">
        <f t="shared" si="13"/>
        <v>100</v>
      </c>
      <c r="V29" s="1350" t="s">
        <v>104</v>
      </c>
      <c r="W29" s="1351">
        <f t="shared" si="14"/>
        <v>100</v>
      </c>
      <c r="X29" s="1338"/>
      <c r="Y29" s="3621"/>
      <c r="Z29" s="1352">
        <f t="shared" si="18"/>
        <v>111</v>
      </c>
      <c r="AA29" s="1353">
        <f t="shared" si="15"/>
        <v>1</v>
      </c>
      <c r="AB29" s="1353">
        <f t="shared" si="16"/>
        <v>1</v>
      </c>
      <c r="AC29" s="1353">
        <f t="shared" si="17"/>
        <v>1</v>
      </c>
    </row>
    <row r="30" spans="1:29" ht="15.6">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28"/>
      <c r="Q30" s="1349">
        <f t="shared" si="11"/>
        <v>111</v>
      </c>
      <c r="R30" s="1350" t="s">
        <v>104</v>
      </c>
      <c r="S30" s="1351">
        <f t="shared" si="12"/>
        <v>100</v>
      </c>
      <c r="T30" s="1350" t="s">
        <v>104</v>
      </c>
      <c r="U30" s="1351">
        <f t="shared" si="13"/>
        <v>100</v>
      </c>
      <c r="V30" s="1350" t="s">
        <v>104</v>
      </c>
      <c r="W30" s="1351">
        <f t="shared" si="14"/>
        <v>100</v>
      </c>
      <c r="X30" s="1338"/>
      <c r="Y30" s="3621"/>
      <c r="Z30" s="1352">
        <f t="shared" si="18"/>
        <v>111</v>
      </c>
      <c r="AA30" s="1353">
        <f t="shared" si="15"/>
        <v>1</v>
      </c>
      <c r="AB30" s="1353">
        <f t="shared" si="16"/>
        <v>1</v>
      </c>
      <c r="AC30" s="1353">
        <f t="shared" si="17"/>
        <v>1</v>
      </c>
    </row>
    <row r="31" spans="1:29" ht="16.2"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28"/>
      <c r="Q31" s="1349">
        <f t="shared" si="11"/>
        <v>111</v>
      </c>
      <c r="R31" s="1350" t="s">
        <v>104</v>
      </c>
      <c r="S31" s="1351">
        <f t="shared" si="12"/>
        <v>100</v>
      </c>
      <c r="T31" s="1350" t="s">
        <v>104</v>
      </c>
      <c r="U31" s="1351">
        <f t="shared" si="13"/>
        <v>100</v>
      </c>
      <c r="V31" s="1350" t="s">
        <v>104</v>
      </c>
      <c r="W31" s="1351">
        <f t="shared" si="14"/>
        <v>100</v>
      </c>
      <c r="X31" s="1338"/>
      <c r="Y31" s="3621"/>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22" t="s">
        <v>70</v>
      </c>
      <c r="Q32" s="1349" t="str">
        <f t="shared" si="11"/>
        <v>建筑类型</v>
      </c>
      <c r="R32" s="1350" t="s">
        <v>104</v>
      </c>
      <c r="S32" s="1351">
        <f t="shared" si="12"/>
        <v>100</v>
      </c>
      <c r="T32" s="1350" t="s">
        <v>104</v>
      </c>
      <c r="U32" s="1351">
        <f t="shared" si="13"/>
        <v>100</v>
      </c>
      <c r="V32" s="1350" t="s">
        <v>104</v>
      </c>
      <c r="W32" s="1351">
        <f t="shared" si="14"/>
        <v>100</v>
      </c>
      <c r="X32" s="1338"/>
      <c r="Y32" s="3625" t="s">
        <v>70</v>
      </c>
      <c r="Z32" s="1352" t="str">
        <f t="shared" si="18"/>
        <v>建筑类型</v>
      </c>
      <c r="AA32" s="1353">
        <f t="shared" si="15"/>
        <v>1</v>
      </c>
      <c r="AB32" s="1353">
        <f t="shared" si="16"/>
        <v>1</v>
      </c>
      <c r="AC32" s="1353">
        <f t="shared" si="17"/>
        <v>1</v>
      </c>
    </row>
    <row r="33" spans="1:29" s="1037" customFormat="1" ht="15.6">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23"/>
      <c r="Q33" s="1357" t="str">
        <f t="shared" si="11"/>
        <v>项目建筑规模</v>
      </c>
      <c r="R33" s="1358" t="s">
        <v>104</v>
      </c>
      <c r="S33" s="1359" t="e">
        <f t="shared" si="12"/>
        <v>#N/A</v>
      </c>
      <c r="T33" s="1358" t="s">
        <v>104</v>
      </c>
      <c r="U33" s="1359" t="e">
        <f t="shared" si="13"/>
        <v>#N/A</v>
      </c>
      <c r="V33" s="1358" t="s">
        <v>104</v>
      </c>
      <c r="W33" s="1359" t="e">
        <f t="shared" si="14"/>
        <v>#N/A</v>
      </c>
      <c r="X33" s="1360"/>
      <c r="Y33" s="3625"/>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23"/>
      <c r="Q34" s="1349" t="str">
        <f t="shared" si="11"/>
        <v>建筑结构</v>
      </c>
      <c r="R34" s="1350" t="s">
        <v>104</v>
      </c>
      <c r="S34" s="1351">
        <f t="shared" si="12"/>
        <v>100</v>
      </c>
      <c r="T34" s="1350" t="s">
        <v>104</v>
      </c>
      <c r="U34" s="1351">
        <f t="shared" si="13"/>
        <v>100</v>
      </c>
      <c r="V34" s="1350" t="s">
        <v>104</v>
      </c>
      <c r="W34" s="1351">
        <f t="shared" si="14"/>
        <v>100</v>
      </c>
      <c r="X34" s="1338"/>
      <c r="Y34" s="3625"/>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23"/>
      <c r="Q35" s="1349" t="str">
        <f t="shared" si="11"/>
        <v>建筑品质</v>
      </c>
      <c r="R35" s="1350" t="s">
        <v>104</v>
      </c>
      <c r="S35" s="1351">
        <f t="shared" si="12"/>
        <v>100</v>
      </c>
      <c r="T35" s="1350" t="s">
        <v>104</v>
      </c>
      <c r="U35" s="1351">
        <f t="shared" si="13"/>
        <v>100</v>
      </c>
      <c r="V35" s="1350" t="s">
        <v>104</v>
      </c>
      <c r="W35" s="1351">
        <f t="shared" si="14"/>
        <v>100</v>
      </c>
      <c r="X35" s="1338"/>
      <c r="Y35" s="3625"/>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23"/>
      <c r="Q36" s="1349" t="str">
        <f t="shared" si="11"/>
        <v>公共部分装修</v>
      </c>
      <c r="R36" s="1350" t="s">
        <v>104</v>
      </c>
      <c r="S36" s="1351">
        <f t="shared" si="12"/>
        <v>100</v>
      </c>
      <c r="T36" s="1350" t="s">
        <v>104</v>
      </c>
      <c r="U36" s="1351">
        <f t="shared" si="13"/>
        <v>100</v>
      </c>
      <c r="V36" s="1350" t="s">
        <v>104</v>
      </c>
      <c r="W36" s="1351">
        <f t="shared" si="14"/>
        <v>100</v>
      </c>
      <c r="X36" s="1338"/>
      <c r="Y36" s="3625"/>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23"/>
      <c r="Q37" s="7" t="str">
        <f t="shared" si="11"/>
        <v>成新度</v>
      </c>
      <c r="R37" s="1340" t="s">
        <v>104</v>
      </c>
      <c r="S37" s="1341" t="e">
        <f t="shared" si="12"/>
        <v>#N/A</v>
      </c>
      <c r="T37" s="1340" t="s">
        <v>104</v>
      </c>
      <c r="U37" s="1341" t="e">
        <f t="shared" si="13"/>
        <v>#N/A</v>
      </c>
      <c r="V37" s="1340" t="s">
        <v>104</v>
      </c>
      <c r="W37" s="1341" t="e">
        <f t="shared" si="14"/>
        <v>#N/A</v>
      </c>
      <c r="X37" s="286"/>
      <c r="Y37" s="3625"/>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23" t="s">
        <v>70</v>
      </c>
      <c r="Q38" s="1349" t="str">
        <f t="shared" si="11"/>
        <v>物业管理</v>
      </c>
      <c r="R38" s="1350" t="s">
        <v>104</v>
      </c>
      <c r="S38" s="1351">
        <f t="shared" si="12"/>
        <v>100</v>
      </c>
      <c r="T38" s="1350" t="s">
        <v>104</v>
      </c>
      <c r="U38" s="1351">
        <f t="shared" si="13"/>
        <v>100</v>
      </c>
      <c r="V38" s="1350" t="s">
        <v>104</v>
      </c>
      <c r="W38" s="1351">
        <f t="shared" si="14"/>
        <v>100</v>
      </c>
      <c r="X38" s="1338"/>
      <c r="Y38" s="3625" t="s">
        <v>70</v>
      </c>
      <c r="Z38" s="1352" t="str">
        <f t="shared" si="18"/>
        <v>物业管理</v>
      </c>
      <c r="AA38" s="1353">
        <f t="shared" si="15"/>
        <v>1</v>
      </c>
      <c r="AB38" s="1353">
        <f t="shared" si="16"/>
        <v>1</v>
      </c>
      <c r="AC38" s="1353">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23"/>
      <c r="Q39" s="1349" t="str">
        <f t="shared" si="11"/>
        <v>市政基础设施</v>
      </c>
      <c r="R39" s="1350" t="s">
        <v>104</v>
      </c>
      <c r="S39" s="1351">
        <f t="shared" si="12"/>
        <v>100</v>
      </c>
      <c r="T39" s="1350" t="s">
        <v>104</v>
      </c>
      <c r="U39" s="1351">
        <f t="shared" si="13"/>
        <v>100</v>
      </c>
      <c r="V39" s="1350" t="s">
        <v>104</v>
      </c>
      <c r="W39" s="1351">
        <f t="shared" si="14"/>
        <v>100</v>
      </c>
      <c r="X39" s="1338"/>
      <c r="Y39" s="3625"/>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23"/>
      <c r="Q40" s="1349" t="str">
        <f t="shared" si="11"/>
        <v>房型</v>
      </c>
      <c r="R40" s="1350" t="s">
        <v>104</v>
      </c>
      <c r="S40" s="1351">
        <f t="shared" si="12"/>
        <v>100</v>
      </c>
      <c r="T40" s="1350" t="s">
        <v>104</v>
      </c>
      <c r="U40" s="1351">
        <f t="shared" si="13"/>
        <v>100</v>
      </c>
      <c r="V40" s="1350" t="s">
        <v>104</v>
      </c>
      <c r="W40" s="1351">
        <f t="shared" si="14"/>
        <v>100</v>
      </c>
      <c r="X40" s="1338"/>
      <c r="Y40" s="3625"/>
      <c r="Z40" s="1352" t="str">
        <f t="shared" si="18"/>
        <v>房型</v>
      </c>
      <c r="AA40" s="1353">
        <f t="shared" si="15"/>
        <v>1</v>
      </c>
      <c r="AB40" s="1353">
        <f t="shared" si="16"/>
        <v>1</v>
      </c>
      <c r="AC40" s="1353">
        <f t="shared" si="17"/>
        <v>1</v>
      </c>
    </row>
    <row r="41" spans="1:29" s="1037" customFormat="1" ht="28.8">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23"/>
      <c r="Q41" s="1357" t="str">
        <f t="shared" si="11"/>
        <v>单套/主力户型建筑面积</v>
      </c>
      <c r="R41" s="1358" t="s">
        <v>104</v>
      </c>
      <c r="S41" s="1359">
        <f t="shared" si="12"/>
        <v>100</v>
      </c>
      <c r="T41" s="1358" t="s">
        <v>104</v>
      </c>
      <c r="U41" s="1359">
        <f t="shared" si="13"/>
        <v>100</v>
      </c>
      <c r="V41" s="1358" t="s">
        <v>104</v>
      </c>
      <c r="W41" s="1359">
        <f t="shared" si="14"/>
        <v>100</v>
      </c>
      <c r="X41" s="1360"/>
      <c r="Y41" s="3625"/>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23"/>
      <c r="Q42" s="1349" t="str">
        <f t="shared" si="11"/>
        <v>内部装修</v>
      </c>
      <c r="R42" s="1350" t="s">
        <v>104</v>
      </c>
      <c r="S42" s="1351">
        <f t="shared" si="12"/>
        <v>100</v>
      </c>
      <c r="T42" s="1350" t="s">
        <v>104</v>
      </c>
      <c r="U42" s="1351">
        <f t="shared" si="13"/>
        <v>100</v>
      </c>
      <c r="V42" s="1350" t="s">
        <v>104</v>
      </c>
      <c r="W42" s="1351">
        <f t="shared" si="14"/>
        <v>100</v>
      </c>
      <c r="X42" s="1338"/>
      <c r="Y42" s="3625"/>
      <c r="Z42" s="1352" t="str">
        <f t="shared" si="18"/>
        <v>内部装修</v>
      </c>
      <c r="AA42" s="1353">
        <f t="shared" si="15"/>
        <v>1</v>
      </c>
      <c r="AB42" s="1353">
        <f t="shared" si="16"/>
        <v>1</v>
      </c>
      <c r="AC42" s="1353">
        <f t="shared" si="17"/>
        <v>1</v>
      </c>
    </row>
    <row r="43" spans="1:29" ht="28.8">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23"/>
      <c r="Q43" s="1349" t="str">
        <f t="shared" si="11"/>
        <v>内部装修维护情况</v>
      </c>
      <c r="R43" s="1350" t="s">
        <v>104</v>
      </c>
      <c r="S43" s="1351">
        <f t="shared" si="12"/>
        <v>100</v>
      </c>
      <c r="T43" s="1350" t="s">
        <v>104</v>
      </c>
      <c r="U43" s="1351">
        <f t="shared" si="13"/>
        <v>100</v>
      </c>
      <c r="V43" s="1350" t="s">
        <v>104</v>
      </c>
      <c r="W43" s="1351">
        <f t="shared" si="14"/>
        <v>100</v>
      </c>
      <c r="X43" s="1338"/>
      <c r="Y43" s="3625"/>
      <c r="Z43" s="1352" t="str">
        <f t="shared" si="18"/>
        <v>内部装修维护情况</v>
      </c>
      <c r="AA43" s="1353">
        <f t="shared" si="15"/>
        <v>1</v>
      </c>
      <c r="AB43" s="1353">
        <f t="shared" si="16"/>
        <v>1</v>
      </c>
      <c r="AC43" s="1353">
        <f t="shared" si="17"/>
        <v>1</v>
      </c>
    </row>
    <row r="44" spans="1:29" s="40" customFormat="1" ht="15.6">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23"/>
      <c r="Q44" s="7">
        <f t="shared" si="11"/>
        <v>111</v>
      </c>
      <c r="R44" s="1340" t="s">
        <v>104</v>
      </c>
      <c r="S44" s="1341">
        <f t="shared" si="12"/>
        <v>100</v>
      </c>
      <c r="T44" s="1340" t="s">
        <v>104</v>
      </c>
      <c r="U44" s="1341">
        <f t="shared" si="13"/>
        <v>100</v>
      </c>
      <c r="V44" s="1340" t="s">
        <v>104</v>
      </c>
      <c r="W44" s="1341">
        <f t="shared" si="14"/>
        <v>100</v>
      </c>
      <c r="X44" s="286"/>
      <c r="Y44" s="3625"/>
      <c r="Z44" s="287">
        <f t="shared" si="18"/>
        <v>111</v>
      </c>
      <c r="AA44" s="1342">
        <f t="shared" si="15"/>
        <v>1</v>
      </c>
      <c r="AB44" s="1342">
        <f t="shared" si="16"/>
        <v>1</v>
      </c>
      <c r="AC44" s="1342">
        <f t="shared" si="17"/>
        <v>1</v>
      </c>
    </row>
    <row r="45" spans="1:29" ht="15.6">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23"/>
      <c r="Q45" s="1349">
        <f t="shared" si="11"/>
        <v>111</v>
      </c>
      <c r="R45" s="1350" t="s">
        <v>104</v>
      </c>
      <c r="S45" s="1351">
        <f t="shared" si="12"/>
        <v>100</v>
      </c>
      <c r="T45" s="1350" t="s">
        <v>104</v>
      </c>
      <c r="U45" s="1351">
        <f t="shared" si="13"/>
        <v>100</v>
      </c>
      <c r="V45" s="1350" t="s">
        <v>104</v>
      </c>
      <c r="W45" s="1351">
        <f t="shared" si="14"/>
        <v>100</v>
      </c>
      <c r="X45" s="1338"/>
      <c r="Y45" s="3625"/>
      <c r="Z45" s="1352">
        <f t="shared" si="18"/>
        <v>111</v>
      </c>
      <c r="AA45" s="1353">
        <f t="shared" si="15"/>
        <v>1</v>
      </c>
      <c r="AB45" s="1353">
        <f t="shared" si="16"/>
        <v>1</v>
      </c>
      <c r="AC45" s="1353">
        <f t="shared" si="17"/>
        <v>1</v>
      </c>
    </row>
    <row r="46" spans="1:29" ht="16.2"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24"/>
      <c r="Q46" s="1349">
        <f t="shared" si="11"/>
        <v>111</v>
      </c>
      <c r="R46" s="1350" t="s">
        <v>103</v>
      </c>
      <c r="S46" s="1351">
        <f t="shared" si="12"/>
        <v>100</v>
      </c>
      <c r="T46" s="1350" t="s">
        <v>103</v>
      </c>
      <c r="U46" s="1351">
        <f t="shared" si="13"/>
        <v>100</v>
      </c>
      <c r="V46" s="1350" t="s">
        <v>103</v>
      </c>
      <c r="W46" s="1351">
        <f t="shared" si="14"/>
        <v>100</v>
      </c>
      <c r="X46" s="1338"/>
      <c r="Y46" s="3626"/>
      <c r="Z46" s="1352">
        <f t="shared" si="18"/>
        <v>111</v>
      </c>
      <c r="AA46" s="1353">
        <f t="shared" si="15"/>
        <v>1</v>
      </c>
      <c r="AB46" s="1353">
        <f t="shared" si="16"/>
        <v>1</v>
      </c>
      <c r="AC46" s="1353">
        <f t="shared" si="17"/>
        <v>1</v>
      </c>
    </row>
    <row r="47" spans="1:29">
      <c r="A47" s="163" t="s">
        <v>102</v>
      </c>
      <c r="B47" s="164"/>
      <c r="C47" s="2831" t="s">
        <v>101</v>
      </c>
      <c r="D47" s="2832"/>
      <c r="E47" s="2833"/>
      <c r="F47" s="2834"/>
      <c r="G47" s="2835"/>
      <c r="H47" s="2836"/>
      <c r="I47" s="2833"/>
      <c r="J47" s="2836"/>
      <c r="K47" s="1362"/>
      <c r="L47" s="2301"/>
      <c r="M47" s="2302"/>
      <c r="N47" s="2294"/>
      <c r="O47" s="2302"/>
      <c r="P47" s="3618" t="str">
        <f>A47</f>
        <v>成交单价（元/平方米）</v>
      </c>
      <c r="Q47" s="3618"/>
      <c r="R47" s="3619">
        <f>E47</f>
        <v>0</v>
      </c>
      <c r="S47" s="3619"/>
      <c r="T47" s="3619">
        <f>G47</f>
        <v>0</v>
      </c>
      <c r="U47" s="3619"/>
      <c r="V47" s="3619">
        <f>I47</f>
        <v>0</v>
      </c>
      <c r="W47" s="3619"/>
      <c r="X47" s="1363"/>
      <c r="Y47" s="1364"/>
      <c r="Z47" s="1363"/>
      <c r="AA47" s="1363"/>
      <c r="AB47" s="1363"/>
      <c r="AC47" s="1363"/>
    </row>
    <row r="48" spans="1:29" ht="1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3"/>
      <c r="Y48" s="1363"/>
      <c r="Z48" s="1363"/>
      <c r="AA48" s="1363"/>
      <c r="AB48" s="1363"/>
      <c r="AC48" s="1363"/>
    </row>
    <row r="49" spans="1:29" ht="15" thickBot="1">
      <c r="A49" s="115" t="s">
        <v>3005</v>
      </c>
      <c r="B49" s="116"/>
      <c r="C49" s="2840" t="e">
        <f>R49</f>
        <v>#DIV/0!</v>
      </c>
      <c r="D49" s="2841"/>
      <c r="E49" s="2841"/>
      <c r="F49" s="2841"/>
      <c r="G49" s="2841"/>
      <c r="H49" s="2841"/>
      <c r="I49" s="2841"/>
      <c r="J49" s="2841"/>
      <c r="K49" s="1366"/>
      <c r="L49" s="2301"/>
      <c r="M49" s="2302"/>
      <c r="N49" s="2302"/>
      <c r="O49" s="2302"/>
      <c r="P49" s="3615" t="str">
        <f>A49</f>
        <v>估价对象XX用房的比较价值（楼面单价，元/平方米）</v>
      </c>
      <c r="Q49" s="3616"/>
      <c r="R49" s="3617" t="e">
        <f>IF(F1="售价",ROUND(AVERAGE(R48:V48),0),ROUND(AVERAGE(R48:V48),1))</f>
        <v>#DIV/0!</v>
      </c>
      <c r="S49" s="3617"/>
      <c r="T49" s="3617"/>
      <c r="U49" s="3617"/>
      <c r="V49" s="3617"/>
      <c r="W49" s="3617"/>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c r="A58" s="846" t="s">
        <v>2788</v>
      </c>
      <c r="B58" s="847"/>
      <c r="C58" s="3041" t="str">
        <f>YEAR(C7)&amp;"-"&amp;MONTH(C7)</f>
        <v>2018-10</v>
      </c>
      <c r="D58" s="3040">
        <f>EDATE(C58,-1)</f>
        <v>43344</v>
      </c>
      <c r="E58" s="3040">
        <f>EDATE(D58,-1)</f>
        <v>43313</v>
      </c>
      <c r="F58" s="3040">
        <f t="shared" ref="F58:O58" si="19">EDATE(E58,-1)</f>
        <v>43282</v>
      </c>
      <c r="G58" s="3040">
        <f t="shared" si="19"/>
        <v>43252</v>
      </c>
      <c r="H58" s="3040">
        <f t="shared" si="19"/>
        <v>43221</v>
      </c>
      <c r="I58" s="3040">
        <f t="shared" si="19"/>
        <v>43191</v>
      </c>
      <c r="J58" s="3040">
        <f t="shared" si="19"/>
        <v>43160</v>
      </c>
      <c r="K58" s="3040">
        <f t="shared" si="19"/>
        <v>43132</v>
      </c>
      <c r="L58" s="3040">
        <f t="shared" si="19"/>
        <v>43101</v>
      </c>
      <c r="M58" s="3040">
        <f t="shared" si="19"/>
        <v>43070</v>
      </c>
      <c r="N58" s="3040">
        <f t="shared" si="19"/>
        <v>43040</v>
      </c>
      <c r="O58" s="3040">
        <f t="shared" si="19"/>
        <v>43009</v>
      </c>
      <c r="P58" s="3033"/>
    </row>
    <row r="59" spans="1:29" s="40" customFormat="1">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9.4"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2639</v>
      </c>
      <c r="C82" s="177" t="s">
        <v>2640</v>
      </c>
      <c r="D82" s="177" t="s">
        <v>2644</v>
      </c>
      <c r="E82" s="177" t="s">
        <v>2641</v>
      </c>
      <c r="F82" s="177" t="s">
        <v>2642</v>
      </c>
      <c r="G82" s="177" t="s">
        <v>2643</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5" thickTop="1">
      <c r="A116" s="175"/>
      <c r="B116" s="1052" t="s">
        <v>2631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9.4"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9.4"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5" thickBot="1">
      <c r="B136" s="2139" t="s">
        <v>2290</v>
      </c>
    </row>
    <row r="137" spans="1:17" ht="15.6">
      <c r="B137" s="2140" t="s">
        <v>2291</v>
      </c>
      <c r="C137" s="2141"/>
      <c r="D137" s="2141"/>
      <c r="E137" s="2141"/>
      <c r="F137" s="2141"/>
      <c r="G137" s="2142"/>
      <c r="H137" s="2143"/>
      <c r="I137" s="2144" t="s">
        <v>2292</v>
      </c>
      <c r="J137" s="2141"/>
      <c r="K137" s="2145"/>
    </row>
    <row r="138" spans="1:17" ht="15.6">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6">
      <c r="B140" s="2159">
        <v>5</v>
      </c>
      <c r="C140" s="2160">
        <v>100</v>
      </c>
      <c r="D140" s="2161"/>
      <c r="E140" s="2162"/>
      <c r="F140" s="2163">
        <v>102</v>
      </c>
      <c r="G140" s="2161"/>
      <c r="H140" s="2164"/>
      <c r="I140" s="2165" t="s">
        <v>2301</v>
      </c>
      <c r="J140" s="646">
        <f>ROUNDUP((J139-1)/2,0)</f>
        <v>10</v>
      </c>
      <c r="K140" s="2166">
        <v>100</v>
      </c>
    </row>
    <row r="141" spans="1:17" ht="15.6">
      <c r="B141" s="2159">
        <v>4</v>
      </c>
      <c r="C141" s="2160">
        <v>102</v>
      </c>
      <c r="D141" s="2161"/>
      <c r="E141" s="2162"/>
      <c r="F141" s="2163">
        <v>101.5</v>
      </c>
      <c r="G141" s="2161"/>
      <c r="H141" s="2164"/>
      <c r="I141" s="2165" t="s">
        <v>2302</v>
      </c>
      <c r="J141" s="646">
        <v>1</v>
      </c>
      <c r="K141" s="2167">
        <f>ROUND(100+(J141-J140)*K139*100,1)</f>
        <v>96.4</v>
      </c>
    </row>
    <row r="142" spans="1:17" ht="15.6">
      <c r="B142" s="2159">
        <v>3</v>
      </c>
      <c r="C142" s="2160">
        <v>103</v>
      </c>
      <c r="D142" s="2161"/>
      <c r="E142" s="2162"/>
      <c r="F142" s="2163">
        <v>101</v>
      </c>
      <c r="G142" s="2161"/>
      <c r="H142" s="2164"/>
      <c r="I142" s="2165" t="s">
        <v>2303</v>
      </c>
      <c r="J142" s="646">
        <f>J139</f>
        <v>20</v>
      </c>
      <c r="K142" s="2168">
        <v>95</v>
      </c>
    </row>
    <row r="143" spans="1:17" ht="15.6">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6.2"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ColWidth="9" defaultRowHeight="14.4"/>
  <cols>
    <col min="1" max="1" width="10.44140625" style="91" customWidth="1"/>
    <col min="2" max="2" width="15.77734375" style="91" customWidth="1"/>
    <col min="3" max="3" width="15.10937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1367"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3" t="s">
        <v>54</v>
      </c>
      <c r="D4" s="3634"/>
      <c r="E4" s="3635" t="s">
        <v>55</v>
      </c>
      <c r="F4" s="3636"/>
      <c r="G4" s="3633" t="s">
        <v>56</v>
      </c>
      <c r="H4" s="3634"/>
      <c r="I4" s="3633" t="s">
        <v>57</v>
      </c>
      <c r="J4" s="3634"/>
      <c r="K4" s="187" t="s">
        <v>58</v>
      </c>
      <c r="L4" s="2293"/>
      <c r="M4" s="2294"/>
      <c r="N4" s="2294"/>
      <c r="O4" s="2294"/>
      <c r="P4" s="3637" t="s">
        <v>53</v>
      </c>
      <c r="Q4" s="3638"/>
      <c r="R4" s="3643" t="s">
        <v>55</v>
      </c>
      <c r="S4" s="3644"/>
      <c r="T4" s="3643" t="s">
        <v>56</v>
      </c>
      <c r="U4" s="3644"/>
      <c r="V4" s="3649" t="s">
        <v>57</v>
      </c>
      <c r="W4" s="3649"/>
      <c r="X4" s="1338"/>
      <c r="Y4" s="3643" t="s">
        <v>53</v>
      </c>
      <c r="Z4" s="3644"/>
      <c r="AA4" s="3630" t="s">
        <v>55</v>
      </c>
      <c r="AB4" s="3649" t="s">
        <v>56</v>
      </c>
      <c r="AC4" s="3630" t="s">
        <v>57</v>
      </c>
    </row>
    <row r="5" spans="1:29">
      <c r="A5" s="146"/>
      <c r="B5" s="147"/>
      <c r="C5" s="3652" t="s">
        <v>59</v>
      </c>
      <c r="D5" s="3653"/>
      <c r="E5" s="3659" t="s">
        <v>60</v>
      </c>
      <c r="F5" s="3660"/>
      <c r="G5" s="3652" t="s">
        <v>61</v>
      </c>
      <c r="H5" s="3653"/>
      <c r="I5" s="3652" t="s">
        <v>62</v>
      </c>
      <c r="J5" s="3653"/>
      <c r="K5" s="187"/>
      <c r="L5" s="2293"/>
      <c r="M5" s="2294"/>
      <c r="N5" s="2294"/>
      <c r="O5" s="2294"/>
      <c r="P5" s="3639"/>
      <c r="Q5" s="3640"/>
      <c r="R5" s="3645"/>
      <c r="S5" s="3646"/>
      <c r="T5" s="3645"/>
      <c r="U5" s="3646"/>
      <c r="V5" s="3649"/>
      <c r="W5" s="3649"/>
      <c r="X5" s="1338"/>
      <c r="Y5" s="3645"/>
      <c r="Z5" s="3646"/>
      <c r="AA5" s="3631"/>
      <c r="AB5" s="3649"/>
      <c r="AC5" s="3631"/>
    </row>
    <row r="6" spans="1:29" ht="15" thickBot="1">
      <c r="A6" s="148"/>
      <c r="B6" s="149"/>
      <c r="C6" s="3650" t="s">
        <v>63</v>
      </c>
      <c r="D6" s="3651"/>
      <c r="E6" s="3657" t="s">
        <v>63</v>
      </c>
      <c r="F6" s="3658"/>
      <c r="G6" s="3650" t="s">
        <v>63</v>
      </c>
      <c r="H6" s="3651"/>
      <c r="I6" s="3650" t="s">
        <v>63</v>
      </c>
      <c r="J6" s="3651"/>
      <c r="K6" s="187" t="s">
        <v>117</v>
      </c>
      <c r="L6" s="2293"/>
      <c r="M6" s="2294"/>
      <c r="N6" s="2294"/>
      <c r="O6" s="2294"/>
      <c r="P6" s="3641"/>
      <c r="Q6" s="3642"/>
      <c r="R6" s="3645"/>
      <c r="S6" s="3646"/>
      <c r="T6" s="3647"/>
      <c r="U6" s="3648"/>
      <c r="V6" s="3649"/>
      <c r="W6" s="3649"/>
      <c r="X6" s="1338"/>
      <c r="Y6" s="3647"/>
      <c r="Z6" s="3648"/>
      <c r="AA6" s="3632"/>
      <c r="AB6" s="3649"/>
      <c r="AC6" s="3632"/>
    </row>
    <row r="7" spans="1:29" s="40" customFormat="1" ht="15" thickBot="1">
      <c r="A7" s="1012" t="s">
        <v>64</v>
      </c>
      <c r="B7" s="1013"/>
      <c r="C7" s="1014">
        <f>'数据-取费表'!B2</f>
        <v>43385</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54" t="s">
        <v>64</v>
      </c>
      <c r="Q7" s="3656"/>
      <c r="R7" s="1340" t="s">
        <v>65</v>
      </c>
      <c r="S7" s="1341">
        <f t="shared" ref="S7:S15" si="0">F7</f>
        <v>0</v>
      </c>
      <c r="T7" s="1340" t="s">
        <v>65</v>
      </c>
      <c r="U7" s="1341">
        <f t="shared" ref="U7:U15" si="1">H7</f>
        <v>0</v>
      </c>
      <c r="V7" s="1340" t="s">
        <v>65</v>
      </c>
      <c r="W7" s="1341">
        <f t="shared" ref="W7:W15" si="2">J7</f>
        <v>0</v>
      </c>
      <c r="X7" s="286"/>
      <c r="Y7" s="3654" t="s">
        <v>64</v>
      </c>
      <c r="Z7" s="3655"/>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54" t="s">
        <v>1017</v>
      </c>
      <c r="Q8" s="3655"/>
      <c r="R8" s="1340" t="s">
        <v>65</v>
      </c>
      <c r="S8" s="1341">
        <f t="shared" si="0"/>
        <v>0</v>
      </c>
      <c r="T8" s="1340" t="s">
        <v>65</v>
      </c>
      <c r="U8" s="1341">
        <f t="shared" si="1"/>
        <v>0</v>
      </c>
      <c r="V8" s="1340" t="s">
        <v>65</v>
      </c>
      <c r="W8" s="1341">
        <f t="shared" si="2"/>
        <v>0</v>
      </c>
      <c r="X8" s="286"/>
      <c r="Y8" s="3654" t="s">
        <v>1017</v>
      </c>
      <c r="Z8" s="3655"/>
      <c r="AA8" s="1342" t="e">
        <f t="shared" ref="AA8:AA46" si="3">D8/F8</f>
        <v>#DIV/0!</v>
      </c>
      <c r="AB8" s="1342" t="e">
        <f t="shared" ref="AB8:AB46" si="4">D8/H8</f>
        <v>#DIV/0!</v>
      </c>
      <c r="AC8" s="1342" t="e">
        <f t="shared" ref="AC8:AC46" si="5">D8/J8</f>
        <v>#DIV/0!</v>
      </c>
    </row>
    <row r="9" spans="1:29" s="40" customFormat="1">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29" t="s">
        <v>67</v>
      </c>
      <c r="Q9" s="7" t="str">
        <f t="shared" ref="Q9:Q15" si="6">B9</f>
        <v>用途</v>
      </c>
      <c r="R9" s="1340" t="s">
        <v>65</v>
      </c>
      <c r="S9" s="1341">
        <f t="shared" si="0"/>
        <v>100</v>
      </c>
      <c r="T9" s="1340" t="s">
        <v>65</v>
      </c>
      <c r="U9" s="1341">
        <f t="shared" si="1"/>
        <v>100</v>
      </c>
      <c r="V9" s="1340" t="s">
        <v>65</v>
      </c>
      <c r="W9" s="1341">
        <f t="shared" si="2"/>
        <v>100</v>
      </c>
      <c r="X9" s="286"/>
      <c r="Y9" s="3434" t="s">
        <v>67</v>
      </c>
      <c r="Z9" s="287" t="str">
        <f t="shared" ref="Z9:Z15" si="7">Q9</f>
        <v>用途</v>
      </c>
      <c r="AA9" s="1342">
        <f t="shared" si="3"/>
        <v>1</v>
      </c>
      <c r="AB9" s="1342">
        <f t="shared" si="4"/>
        <v>1</v>
      </c>
      <c r="AC9" s="1342">
        <f t="shared" si="5"/>
        <v>1</v>
      </c>
    </row>
    <row r="10" spans="1:29" s="92" customFormat="1" ht="28.8">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29"/>
      <c r="Q10" s="7" t="str">
        <f t="shared" si="6"/>
        <v>土地使用年限（年）</v>
      </c>
      <c r="R10" s="1340" t="s">
        <v>65</v>
      </c>
      <c r="S10" s="1341">
        <f t="shared" si="0"/>
        <v>100</v>
      </c>
      <c r="T10" s="1340" t="s">
        <v>65</v>
      </c>
      <c r="U10" s="1341">
        <f t="shared" si="1"/>
        <v>100</v>
      </c>
      <c r="V10" s="1340" t="s">
        <v>65</v>
      </c>
      <c r="W10" s="1341">
        <f t="shared" si="2"/>
        <v>100</v>
      </c>
      <c r="X10" s="286"/>
      <c r="Y10" s="3434"/>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29"/>
      <c r="Q11" s="7" t="str">
        <f t="shared" si="6"/>
        <v>容积率</v>
      </c>
      <c r="R11" s="1340" t="s">
        <v>65</v>
      </c>
      <c r="S11" s="1341" t="e">
        <f t="shared" si="0"/>
        <v>#N/A</v>
      </c>
      <c r="T11" s="1340" t="s">
        <v>65</v>
      </c>
      <c r="U11" s="1341" t="e">
        <f t="shared" si="1"/>
        <v>#N/A</v>
      </c>
      <c r="V11" s="1340" t="s">
        <v>65</v>
      </c>
      <c r="W11" s="1341" t="e">
        <f t="shared" si="2"/>
        <v>#N/A</v>
      </c>
      <c r="X11" s="286"/>
      <c r="Y11" s="3434"/>
      <c r="Z11" s="287" t="str">
        <f t="shared" si="7"/>
        <v>容积率</v>
      </c>
      <c r="AA11" s="1342" t="e">
        <f t="shared" si="3"/>
        <v>#N/A</v>
      </c>
      <c r="AB11" s="1342" t="e">
        <f t="shared" si="4"/>
        <v>#N/A</v>
      </c>
      <c r="AC11" s="1342" t="e">
        <f t="shared" si="5"/>
        <v>#N/A</v>
      </c>
    </row>
    <row r="12" spans="1:29" s="40" customFormat="1" ht="15.6">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29"/>
      <c r="Q12" s="7">
        <f t="shared" si="6"/>
        <v>111</v>
      </c>
      <c r="R12" s="1340" t="s">
        <v>65</v>
      </c>
      <c r="S12" s="1341">
        <f t="shared" si="0"/>
        <v>100</v>
      </c>
      <c r="T12" s="1340" t="s">
        <v>65</v>
      </c>
      <c r="U12" s="1341">
        <f t="shared" si="1"/>
        <v>100</v>
      </c>
      <c r="V12" s="1340" t="s">
        <v>65</v>
      </c>
      <c r="W12" s="1341">
        <f t="shared" si="2"/>
        <v>100</v>
      </c>
      <c r="X12" s="286"/>
      <c r="Y12" s="3434"/>
      <c r="Z12" s="287">
        <f t="shared" si="7"/>
        <v>111</v>
      </c>
      <c r="AA12" s="1342">
        <f>D12/F12</f>
        <v>1</v>
      </c>
      <c r="AB12" s="1342">
        <f>D12/H12</f>
        <v>1</v>
      </c>
      <c r="AC12" s="1342">
        <f>D12/J12</f>
        <v>1</v>
      </c>
    </row>
    <row r="13" spans="1:29" ht="15.6">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29"/>
      <c r="Q13" s="7">
        <f t="shared" si="6"/>
        <v>111</v>
      </c>
      <c r="R13" s="1340" t="s">
        <v>65</v>
      </c>
      <c r="S13" s="1341">
        <f t="shared" si="0"/>
        <v>100</v>
      </c>
      <c r="T13" s="1340" t="s">
        <v>65</v>
      </c>
      <c r="U13" s="1341">
        <f t="shared" si="1"/>
        <v>100</v>
      </c>
      <c r="V13" s="1340" t="s">
        <v>65</v>
      </c>
      <c r="W13" s="1341">
        <f t="shared" si="2"/>
        <v>100</v>
      </c>
      <c r="X13" s="286"/>
      <c r="Y13" s="3434"/>
      <c r="Z13" s="287">
        <f t="shared" si="7"/>
        <v>111</v>
      </c>
      <c r="AA13" s="1342">
        <f t="shared" si="3"/>
        <v>1</v>
      </c>
      <c r="AB13" s="1342">
        <f t="shared" si="4"/>
        <v>1</v>
      </c>
      <c r="AC13" s="1342">
        <f t="shared" si="5"/>
        <v>1</v>
      </c>
    </row>
    <row r="14" spans="1:29" ht="16.2"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29"/>
      <c r="Q14" s="7">
        <f t="shared" si="6"/>
        <v>111</v>
      </c>
      <c r="R14" s="1340" t="s">
        <v>65</v>
      </c>
      <c r="S14" s="1341">
        <f t="shared" si="0"/>
        <v>100</v>
      </c>
      <c r="T14" s="1340" t="s">
        <v>65</v>
      </c>
      <c r="U14" s="1341">
        <f t="shared" si="1"/>
        <v>100</v>
      </c>
      <c r="V14" s="1340" t="s">
        <v>65</v>
      </c>
      <c r="W14" s="1341">
        <f t="shared" si="2"/>
        <v>100</v>
      </c>
      <c r="X14" s="286"/>
      <c r="Y14" s="3434"/>
      <c r="Z14" s="287">
        <f t="shared" si="7"/>
        <v>111</v>
      </c>
      <c r="AA14" s="1342">
        <f t="shared" si="3"/>
        <v>1</v>
      </c>
      <c r="AB14" s="1342">
        <f t="shared" si="4"/>
        <v>1</v>
      </c>
      <c r="AC14" s="1342">
        <f t="shared" si="5"/>
        <v>1</v>
      </c>
    </row>
    <row r="15" spans="1:29" ht="72">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27" t="s">
        <v>69</v>
      </c>
      <c r="Q15" s="1349" t="str">
        <f t="shared" si="6"/>
        <v>商业繁华度</v>
      </c>
      <c r="R15" s="1350" t="s">
        <v>65</v>
      </c>
      <c r="S15" s="1351">
        <f t="shared" si="0"/>
        <v>100</v>
      </c>
      <c r="T15" s="1350" t="s">
        <v>65</v>
      </c>
      <c r="U15" s="1351">
        <f t="shared" si="1"/>
        <v>100</v>
      </c>
      <c r="V15" s="1350" t="s">
        <v>65</v>
      </c>
      <c r="W15" s="1351">
        <f t="shared" si="2"/>
        <v>100</v>
      </c>
      <c r="X15" s="1338"/>
      <c r="Y15" s="3620" t="s">
        <v>69</v>
      </c>
      <c r="Z15" s="1352" t="str">
        <f t="shared" si="7"/>
        <v>商业繁华度</v>
      </c>
      <c r="AA15" s="1353">
        <f t="shared" si="3"/>
        <v>1</v>
      </c>
      <c r="AB15" s="1353">
        <f t="shared" si="4"/>
        <v>1</v>
      </c>
      <c r="AC15" s="1353">
        <f t="shared" si="5"/>
        <v>1</v>
      </c>
    </row>
    <row r="16" spans="1:29" ht="15.6">
      <c r="A16" s="151"/>
      <c r="B16" s="156"/>
      <c r="C16" s="97"/>
      <c r="D16" s="789"/>
      <c r="E16" s="97"/>
      <c r="F16" s="790"/>
      <c r="G16" s="97"/>
      <c r="H16" s="791"/>
      <c r="I16" s="97"/>
      <c r="J16" s="789"/>
      <c r="K16" s="189"/>
      <c r="L16" s="2299"/>
      <c r="M16" s="2294"/>
      <c r="N16" s="2294"/>
      <c r="O16" s="2294"/>
      <c r="P16" s="3628"/>
      <c r="Q16" s="1349"/>
      <c r="R16" s="1350"/>
      <c r="S16" s="1351"/>
      <c r="T16" s="1350"/>
      <c r="U16" s="1351"/>
      <c r="V16" s="1350"/>
      <c r="W16" s="1351"/>
      <c r="X16" s="1338"/>
      <c r="Y16" s="3621"/>
      <c r="Z16" s="1352"/>
      <c r="AA16" s="1353">
        <v>1</v>
      </c>
      <c r="AB16" s="1353">
        <v>1</v>
      </c>
      <c r="AC16" s="1353">
        <v>1</v>
      </c>
    </row>
    <row r="17" spans="1:29" ht="86.4">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28"/>
      <c r="Q17" s="1349" t="str">
        <f>B17</f>
        <v>交通便捷度</v>
      </c>
      <c r="R17" s="1350" t="s">
        <v>65</v>
      </c>
      <c r="S17" s="1351">
        <f>F17</f>
        <v>100</v>
      </c>
      <c r="T17" s="1350" t="s">
        <v>65</v>
      </c>
      <c r="U17" s="1351">
        <f>H17</f>
        <v>100</v>
      </c>
      <c r="V17" s="1350" t="s">
        <v>65</v>
      </c>
      <c r="W17" s="1351">
        <f>J17</f>
        <v>100</v>
      </c>
      <c r="X17" s="1338"/>
      <c r="Y17" s="3621"/>
      <c r="Z17" s="1352" t="str">
        <f>Q17</f>
        <v>交通便捷度</v>
      </c>
      <c r="AA17" s="1353">
        <f t="shared" si="3"/>
        <v>1</v>
      </c>
      <c r="AB17" s="1353">
        <f t="shared" si="4"/>
        <v>1</v>
      </c>
      <c r="AC17" s="1353">
        <f t="shared" si="5"/>
        <v>1</v>
      </c>
    </row>
    <row r="18" spans="1:29" ht="15.6">
      <c r="A18" s="151"/>
      <c r="B18" s="1038"/>
      <c r="C18" s="102"/>
      <c r="D18" s="791"/>
      <c r="E18" s="103"/>
      <c r="F18" s="794"/>
      <c r="G18" s="104"/>
      <c r="H18" s="789"/>
      <c r="I18" s="103"/>
      <c r="J18" s="789"/>
      <c r="K18" s="189"/>
      <c r="L18" s="2299"/>
      <c r="M18" s="2294"/>
      <c r="N18" s="2294"/>
      <c r="O18" s="2294"/>
      <c r="P18" s="3628"/>
      <c r="Q18" s="1349"/>
      <c r="R18" s="1350"/>
      <c r="S18" s="1351"/>
      <c r="T18" s="1350"/>
      <c r="U18" s="1351"/>
      <c r="V18" s="1350"/>
      <c r="W18" s="1351"/>
      <c r="X18" s="1338"/>
      <c r="Y18" s="3621"/>
      <c r="Z18" s="1352"/>
      <c r="AA18" s="1353">
        <v>1</v>
      </c>
      <c r="AB18" s="1353">
        <v>1</v>
      </c>
      <c r="AC18" s="1353">
        <v>1</v>
      </c>
    </row>
    <row r="19" spans="1:29" ht="43.2">
      <c r="A19" s="151"/>
      <c r="B19" s="1354" t="s">
        <v>2645</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28"/>
      <c r="Q19" s="1349" t="str">
        <f>B19</f>
        <v>公共配套设施</v>
      </c>
      <c r="R19" s="1350" t="s">
        <v>65</v>
      </c>
      <c r="S19" s="1351">
        <f>F19</f>
        <v>100</v>
      </c>
      <c r="T19" s="1350" t="s">
        <v>65</v>
      </c>
      <c r="U19" s="1351">
        <f>H19</f>
        <v>100</v>
      </c>
      <c r="V19" s="1350" t="s">
        <v>65</v>
      </c>
      <c r="W19" s="1351">
        <f>J19</f>
        <v>100</v>
      </c>
      <c r="X19" s="1338"/>
      <c r="Y19" s="3621"/>
      <c r="Z19" s="1352" t="str">
        <f>Q19</f>
        <v>公共配套设施</v>
      </c>
      <c r="AA19" s="1353">
        <f t="shared" si="3"/>
        <v>1</v>
      </c>
      <c r="AB19" s="1353">
        <f t="shared" si="4"/>
        <v>1</v>
      </c>
      <c r="AC19" s="1353">
        <f t="shared" si="5"/>
        <v>1</v>
      </c>
    </row>
    <row r="20" spans="1:29" ht="15.6">
      <c r="A20" s="151"/>
      <c r="B20" s="1038"/>
      <c r="C20" s="97"/>
      <c r="D20" s="789"/>
      <c r="E20" s="98"/>
      <c r="F20" s="790"/>
      <c r="G20" s="99"/>
      <c r="H20" s="789"/>
      <c r="I20" s="98"/>
      <c r="J20" s="789"/>
      <c r="K20" s="189"/>
      <c r="L20" s="2299"/>
      <c r="M20" s="2294"/>
      <c r="N20" s="2294"/>
      <c r="O20" s="2294"/>
      <c r="P20" s="3628"/>
      <c r="Q20" s="1349"/>
      <c r="R20" s="1350"/>
      <c r="S20" s="1351"/>
      <c r="T20" s="1350"/>
      <c r="U20" s="1351"/>
      <c r="V20" s="1350"/>
      <c r="W20" s="1351"/>
      <c r="X20" s="1338"/>
      <c r="Y20" s="3621"/>
      <c r="Z20" s="1352"/>
      <c r="AA20" s="1353">
        <v>1</v>
      </c>
      <c r="AB20" s="1353">
        <v>1</v>
      </c>
      <c r="AC20" s="1353">
        <v>1</v>
      </c>
    </row>
    <row r="21" spans="1:29" ht="28.8">
      <c r="A21" s="151"/>
      <c r="B21" s="1410" t="s">
        <v>2646</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28"/>
      <c r="Q21" s="2744" t="str">
        <f>B21</f>
        <v>基础设施水平</v>
      </c>
      <c r="R21" s="1350" t="s">
        <v>65</v>
      </c>
      <c r="S21" s="1351">
        <f>F21</f>
        <v>100</v>
      </c>
      <c r="T21" s="1350" t="s">
        <v>65</v>
      </c>
      <c r="U21" s="1351">
        <f>H21</f>
        <v>100</v>
      </c>
      <c r="V21" s="1350" t="s">
        <v>65</v>
      </c>
      <c r="W21" s="1351">
        <f>J21</f>
        <v>100</v>
      </c>
      <c r="X21" s="2746"/>
      <c r="Y21" s="3621"/>
      <c r="Z21" s="2745" t="str">
        <f>Q21</f>
        <v>基础设施水平</v>
      </c>
      <c r="AA21" s="1353">
        <f t="shared" ref="AA21" si="8">D21/F21</f>
        <v>1</v>
      </c>
      <c r="AB21" s="1353">
        <f t="shared" ref="AB21" si="9">D21/H21</f>
        <v>1</v>
      </c>
      <c r="AC21" s="1353">
        <f t="shared" ref="AC21" si="10">D21/J21</f>
        <v>1</v>
      </c>
    </row>
    <row r="22" spans="1:29" ht="15.6">
      <c r="A22" s="151"/>
      <c r="B22" s="1410"/>
      <c r="C22" s="102"/>
      <c r="D22" s="789"/>
      <c r="E22" s="97"/>
      <c r="F22" s="790"/>
      <c r="G22" s="97"/>
      <c r="H22" s="789"/>
      <c r="I22" s="97"/>
      <c r="J22" s="789"/>
      <c r="K22" s="2764"/>
      <c r="L22" s="2299"/>
      <c r="M22" s="2294"/>
      <c r="N22" s="2294"/>
      <c r="O22" s="2294"/>
      <c r="P22" s="3628"/>
      <c r="Q22" s="2744"/>
      <c r="R22" s="1350"/>
      <c r="S22" s="1351"/>
      <c r="T22" s="1350"/>
      <c r="U22" s="1351"/>
      <c r="V22" s="1350"/>
      <c r="W22" s="1351"/>
      <c r="X22" s="2746"/>
      <c r="Y22" s="3621"/>
      <c r="Z22" s="2745"/>
      <c r="AA22" s="1353">
        <v>1</v>
      </c>
      <c r="AB22" s="1353">
        <v>1</v>
      </c>
      <c r="AC22" s="1353">
        <v>1</v>
      </c>
    </row>
    <row r="23" spans="1:29" ht="57.6">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28"/>
      <c r="Q23" s="1349" t="str">
        <f>B23</f>
        <v>自然及人文环境</v>
      </c>
      <c r="R23" s="1350" t="s">
        <v>65</v>
      </c>
      <c r="S23" s="1351">
        <f>F23</f>
        <v>100</v>
      </c>
      <c r="T23" s="1350" t="s">
        <v>65</v>
      </c>
      <c r="U23" s="1351">
        <f>H23</f>
        <v>100</v>
      </c>
      <c r="V23" s="1350" t="s">
        <v>65</v>
      </c>
      <c r="W23" s="1351">
        <f>J23</f>
        <v>100</v>
      </c>
      <c r="X23" s="1338"/>
      <c r="Y23" s="3621"/>
      <c r="Z23" s="1352" t="str">
        <f>Q23</f>
        <v>自然及人文环境</v>
      </c>
      <c r="AA23" s="1353">
        <f t="shared" si="3"/>
        <v>1</v>
      </c>
      <c r="AB23" s="1353">
        <f t="shared" si="4"/>
        <v>1</v>
      </c>
      <c r="AC23" s="1353">
        <f t="shared" si="5"/>
        <v>1</v>
      </c>
    </row>
    <row r="24" spans="1:29" ht="15.6">
      <c r="A24" s="151"/>
      <c r="B24" s="1038"/>
      <c r="C24" s="97"/>
      <c r="D24" s="789"/>
      <c r="E24" s="98"/>
      <c r="F24" s="790"/>
      <c r="G24" s="99"/>
      <c r="H24" s="789"/>
      <c r="I24" s="98"/>
      <c r="J24" s="789"/>
      <c r="K24" s="189"/>
      <c r="L24" s="2299"/>
      <c r="M24" s="2294"/>
      <c r="N24" s="2294"/>
      <c r="O24" s="2294"/>
      <c r="P24" s="3628"/>
      <c r="Q24" s="1349"/>
      <c r="R24" s="1350"/>
      <c r="S24" s="1351"/>
      <c r="T24" s="1350"/>
      <c r="U24" s="1351"/>
      <c r="V24" s="1350"/>
      <c r="W24" s="1351"/>
      <c r="X24" s="1338"/>
      <c r="Y24" s="3621"/>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28"/>
      <c r="Q25" s="1349" t="str">
        <f t="shared" ref="Q25:Q46" si="11">B25</f>
        <v>临街状况</v>
      </c>
      <c r="R25" s="1350" t="s">
        <v>65</v>
      </c>
      <c r="S25" s="1351">
        <f>F25</f>
        <v>100</v>
      </c>
      <c r="T25" s="1350" t="s">
        <v>65</v>
      </c>
      <c r="U25" s="1351">
        <f>H25</f>
        <v>100</v>
      </c>
      <c r="V25" s="1350" t="s">
        <v>65</v>
      </c>
      <c r="W25" s="1351">
        <f>J25</f>
        <v>100</v>
      </c>
      <c r="X25" s="1338"/>
      <c r="Y25" s="3621"/>
      <c r="Z25" s="1352" t="str">
        <f>Q25</f>
        <v>临街状况</v>
      </c>
      <c r="AA25" s="1353">
        <f t="shared" si="3"/>
        <v>1</v>
      </c>
      <c r="AB25" s="1353">
        <f t="shared" si="4"/>
        <v>1</v>
      </c>
      <c r="AC25" s="1353">
        <f t="shared" si="5"/>
        <v>1</v>
      </c>
    </row>
    <row r="26" spans="1:29" ht="15.6">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28"/>
      <c r="Q26" s="1349" t="str">
        <f t="shared" si="11"/>
        <v>平面位置/可视性</v>
      </c>
      <c r="R26" s="1350" t="s">
        <v>65</v>
      </c>
      <c r="S26" s="1351">
        <f>F26</f>
        <v>100</v>
      </c>
      <c r="T26" s="1350" t="s">
        <v>65</v>
      </c>
      <c r="U26" s="1351">
        <f>H26</f>
        <v>100</v>
      </c>
      <c r="V26" s="1350" t="s">
        <v>65</v>
      </c>
      <c r="W26" s="1351">
        <f>J26</f>
        <v>100</v>
      </c>
      <c r="X26" s="1338"/>
      <c r="Y26" s="3621"/>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28"/>
      <c r="Q27" s="7" t="str">
        <f t="shared" si="11"/>
        <v>人流量</v>
      </c>
      <c r="R27" s="1340" t="s">
        <v>65</v>
      </c>
      <c r="S27" s="1341">
        <f>F27</f>
        <v>100</v>
      </c>
      <c r="T27" s="1340" t="s">
        <v>65</v>
      </c>
      <c r="U27" s="1341">
        <f>H27</f>
        <v>100</v>
      </c>
      <c r="V27" s="1340" t="s">
        <v>65</v>
      </c>
      <c r="W27" s="1341">
        <f>J27</f>
        <v>100</v>
      </c>
      <c r="X27" s="286"/>
      <c r="Y27" s="3621"/>
      <c r="Z27" s="287" t="str">
        <f>Q27</f>
        <v>人流量</v>
      </c>
      <c r="AA27" s="1353">
        <f>D27/F27</f>
        <v>1</v>
      </c>
      <c r="AB27" s="1353">
        <f>D27/H27</f>
        <v>1</v>
      </c>
      <c r="AC27" s="1353">
        <f>D27/J27</f>
        <v>1</v>
      </c>
    </row>
    <row r="28" spans="1:29" ht="15.6">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28"/>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21"/>
      <c r="Z28" s="1352" t="str">
        <f t="shared" ref="Z28:Z46" si="15">Q28</f>
        <v>楼层</v>
      </c>
      <c r="AA28" s="1353">
        <f t="shared" si="3"/>
        <v>1</v>
      </c>
      <c r="AB28" s="1353">
        <f t="shared" si="4"/>
        <v>1</v>
      </c>
      <c r="AC28" s="1353">
        <f t="shared" si="5"/>
        <v>1</v>
      </c>
    </row>
    <row r="29" spans="1:29" ht="15.6">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28"/>
      <c r="Q29" s="1349">
        <f t="shared" si="11"/>
        <v>111</v>
      </c>
      <c r="R29" s="1350" t="s">
        <v>65</v>
      </c>
      <c r="S29" s="1351">
        <f t="shared" si="12"/>
        <v>100</v>
      </c>
      <c r="T29" s="1350" t="s">
        <v>65</v>
      </c>
      <c r="U29" s="1351">
        <f t="shared" si="13"/>
        <v>100</v>
      </c>
      <c r="V29" s="1350" t="s">
        <v>65</v>
      </c>
      <c r="W29" s="1351">
        <f t="shared" si="14"/>
        <v>100</v>
      </c>
      <c r="X29" s="1338"/>
      <c r="Y29" s="3621"/>
      <c r="Z29" s="1352">
        <f t="shared" si="15"/>
        <v>111</v>
      </c>
      <c r="AA29" s="1353">
        <f t="shared" si="3"/>
        <v>1</v>
      </c>
      <c r="AB29" s="1353">
        <f t="shared" si="4"/>
        <v>1</v>
      </c>
      <c r="AC29" s="1353">
        <f t="shared" si="5"/>
        <v>1</v>
      </c>
    </row>
    <row r="30" spans="1:29" ht="15.6">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28"/>
      <c r="Q30" s="1349">
        <f t="shared" si="11"/>
        <v>111</v>
      </c>
      <c r="R30" s="1350" t="s">
        <v>65</v>
      </c>
      <c r="S30" s="1351">
        <f t="shared" si="12"/>
        <v>100</v>
      </c>
      <c r="T30" s="1350" t="s">
        <v>65</v>
      </c>
      <c r="U30" s="1351">
        <f t="shared" si="13"/>
        <v>100</v>
      </c>
      <c r="V30" s="1350" t="s">
        <v>65</v>
      </c>
      <c r="W30" s="1351">
        <f t="shared" si="14"/>
        <v>100</v>
      </c>
      <c r="X30" s="1338"/>
      <c r="Y30" s="3621"/>
      <c r="Z30" s="1352">
        <f t="shared" si="15"/>
        <v>111</v>
      </c>
      <c r="AA30" s="1353">
        <f t="shared" si="3"/>
        <v>1</v>
      </c>
      <c r="AB30" s="1353">
        <f t="shared" si="4"/>
        <v>1</v>
      </c>
      <c r="AC30" s="1353">
        <f t="shared" si="5"/>
        <v>1</v>
      </c>
    </row>
    <row r="31" spans="1:29" ht="16.2"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28"/>
      <c r="Q31" s="1349">
        <f t="shared" si="11"/>
        <v>111</v>
      </c>
      <c r="R31" s="1350" t="s">
        <v>65</v>
      </c>
      <c r="S31" s="1351">
        <f t="shared" si="12"/>
        <v>100</v>
      </c>
      <c r="T31" s="1350" t="s">
        <v>65</v>
      </c>
      <c r="U31" s="1351">
        <f t="shared" si="13"/>
        <v>100</v>
      </c>
      <c r="V31" s="1350" t="s">
        <v>65</v>
      </c>
      <c r="W31" s="1351">
        <f t="shared" si="14"/>
        <v>100</v>
      </c>
      <c r="X31" s="1338"/>
      <c r="Y31" s="3621"/>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22" t="s">
        <v>1024</v>
      </c>
      <c r="Q32" s="1349" t="str">
        <f t="shared" si="11"/>
        <v>商业类型</v>
      </c>
      <c r="R32" s="1350" t="s">
        <v>65</v>
      </c>
      <c r="S32" s="1351">
        <f t="shared" si="12"/>
        <v>100</v>
      </c>
      <c r="T32" s="1350" t="s">
        <v>65</v>
      </c>
      <c r="U32" s="1351">
        <f t="shared" si="13"/>
        <v>100</v>
      </c>
      <c r="V32" s="1350" t="s">
        <v>65</v>
      </c>
      <c r="W32" s="1351">
        <f t="shared" si="14"/>
        <v>100</v>
      </c>
      <c r="X32" s="1338"/>
      <c r="Y32" s="3625" t="s">
        <v>1024</v>
      </c>
      <c r="Z32" s="1352" t="str">
        <f t="shared" si="15"/>
        <v>商业类型</v>
      </c>
      <c r="AA32" s="1353">
        <f t="shared" si="3"/>
        <v>1</v>
      </c>
      <c r="AB32" s="1353">
        <f t="shared" si="4"/>
        <v>1</v>
      </c>
      <c r="AC32" s="1353">
        <f t="shared" si="5"/>
        <v>1</v>
      </c>
    </row>
    <row r="33" spans="1:29" s="1037" customFormat="1" ht="15.6">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23"/>
      <c r="Q33" s="1357" t="str">
        <f t="shared" si="11"/>
        <v>项目建筑规模</v>
      </c>
      <c r="R33" s="1358" t="s">
        <v>65</v>
      </c>
      <c r="S33" s="1359" t="e">
        <f t="shared" si="12"/>
        <v>#N/A</v>
      </c>
      <c r="T33" s="1358" t="s">
        <v>65</v>
      </c>
      <c r="U33" s="1359" t="e">
        <f t="shared" si="13"/>
        <v>#N/A</v>
      </c>
      <c r="V33" s="1358" t="s">
        <v>65</v>
      </c>
      <c r="W33" s="1359" t="e">
        <f t="shared" si="14"/>
        <v>#N/A</v>
      </c>
      <c r="X33" s="1360"/>
      <c r="Y33" s="3625"/>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23"/>
      <c r="Q34" s="1349" t="str">
        <f t="shared" si="11"/>
        <v>建筑结构</v>
      </c>
      <c r="R34" s="1350" t="s">
        <v>65</v>
      </c>
      <c r="S34" s="1351">
        <f t="shared" si="12"/>
        <v>100</v>
      </c>
      <c r="T34" s="1350" t="s">
        <v>65</v>
      </c>
      <c r="U34" s="1351">
        <f t="shared" si="13"/>
        <v>100</v>
      </c>
      <c r="V34" s="1350" t="s">
        <v>65</v>
      </c>
      <c r="W34" s="1351">
        <f t="shared" si="14"/>
        <v>100</v>
      </c>
      <c r="X34" s="1338"/>
      <c r="Y34" s="3625"/>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23"/>
      <c r="Q35" s="1349" t="str">
        <f t="shared" si="11"/>
        <v>公共部分装修</v>
      </c>
      <c r="R35" s="1350" t="s">
        <v>65</v>
      </c>
      <c r="S35" s="1351">
        <f t="shared" si="12"/>
        <v>100</v>
      </c>
      <c r="T35" s="1350" t="s">
        <v>65</v>
      </c>
      <c r="U35" s="1351">
        <f t="shared" si="13"/>
        <v>100</v>
      </c>
      <c r="V35" s="1350" t="s">
        <v>65</v>
      </c>
      <c r="W35" s="1351">
        <f t="shared" si="14"/>
        <v>100</v>
      </c>
      <c r="X35" s="1338"/>
      <c r="Y35" s="3625"/>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23"/>
      <c r="Q36" s="1349" t="str">
        <f t="shared" si="11"/>
        <v>成新度</v>
      </c>
      <c r="R36" s="1350" t="s">
        <v>65</v>
      </c>
      <c r="S36" s="1351" t="e">
        <f t="shared" si="12"/>
        <v>#N/A</v>
      </c>
      <c r="T36" s="1350" t="s">
        <v>65</v>
      </c>
      <c r="U36" s="1351" t="e">
        <f t="shared" si="13"/>
        <v>#N/A</v>
      </c>
      <c r="V36" s="1350" t="s">
        <v>65</v>
      </c>
      <c r="W36" s="1351" t="e">
        <f t="shared" si="14"/>
        <v>#N/A</v>
      </c>
      <c r="X36" s="1338"/>
      <c r="Y36" s="3625"/>
      <c r="Z36" s="1352" t="str">
        <f t="shared" si="15"/>
        <v>成新度</v>
      </c>
      <c r="AA36" s="1353" t="e">
        <f t="shared" si="3"/>
        <v>#N/A</v>
      </c>
      <c r="AB36" s="1353" t="e">
        <f t="shared" si="4"/>
        <v>#N/A</v>
      </c>
      <c r="AC36" s="1353" t="e">
        <f t="shared" si="5"/>
        <v>#N/A</v>
      </c>
    </row>
    <row r="37" spans="1:29" s="40" customFormat="1" ht="15">
      <c r="A37" s="1039"/>
      <c r="B37" s="12" t="s">
        <v>2647</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23"/>
      <c r="Q37" s="7" t="str">
        <f t="shared" si="11"/>
        <v>市政基础设施</v>
      </c>
      <c r="R37" s="1340" t="s">
        <v>65</v>
      </c>
      <c r="S37" s="1341">
        <f t="shared" si="12"/>
        <v>100</v>
      </c>
      <c r="T37" s="1340" t="s">
        <v>65</v>
      </c>
      <c r="U37" s="1341">
        <f t="shared" si="13"/>
        <v>100</v>
      </c>
      <c r="V37" s="1340" t="s">
        <v>65</v>
      </c>
      <c r="W37" s="1341">
        <f t="shared" si="14"/>
        <v>100</v>
      </c>
      <c r="X37" s="286"/>
      <c r="Y37" s="3625"/>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23" t="s">
        <v>1027</v>
      </c>
      <c r="Q38" s="1349" t="str">
        <f t="shared" si="11"/>
        <v>业态</v>
      </c>
      <c r="R38" s="1350" t="s">
        <v>65</v>
      </c>
      <c r="S38" s="1351">
        <f t="shared" si="12"/>
        <v>100</v>
      </c>
      <c r="T38" s="1350" t="s">
        <v>65</v>
      </c>
      <c r="U38" s="1351">
        <f t="shared" si="13"/>
        <v>100</v>
      </c>
      <c r="V38" s="1350" t="s">
        <v>65</v>
      </c>
      <c r="W38" s="1351">
        <f t="shared" si="14"/>
        <v>100</v>
      </c>
      <c r="X38" s="1338"/>
      <c r="Y38" s="3625"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23"/>
      <c r="Q39" s="1349" t="str">
        <f t="shared" si="11"/>
        <v>层高</v>
      </c>
      <c r="R39" s="1350" t="s">
        <v>65</v>
      </c>
      <c r="S39" s="1351">
        <f t="shared" si="12"/>
        <v>100</v>
      </c>
      <c r="T39" s="1350" t="s">
        <v>65</v>
      </c>
      <c r="U39" s="1351">
        <f t="shared" si="13"/>
        <v>100</v>
      </c>
      <c r="V39" s="1350" t="s">
        <v>65</v>
      </c>
      <c r="W39" s="1351">
        <f t="shared" si="14"/>
        <v>100</v>
      </c>
      <c r="X39" s="1338"/>
      <c r="Y39" s="3625"/>
      <c r="Z39" s="1352" t="str">
        <f t="shared" si="15"/>
        <v>层高</v>
      </c>
      <c r="AA39" s="1353">
        <f t="shared" si="3"/>
        <v>1</v>
      </c>
      <c r="AB39" s="1353">
        <f t="shared" si="4"/>
        <v>1</v>
      </c>
      <c r="AC39" s="1353">
        <f t="shared" si="5"/>
        <v>1</v>
      </c>
    </row>
    <row r="40" spans="1:29" ht="15.6">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23"/>
      <c r="Q40" s="1349" t="str">
        <f t="shared" si="11"/>
        <v>单套建筑面积</v>
      </c>
      <c r="R40" s="1350" t="s">
        <v>65</v>
      </c>
      <c r="S40" s="1351">
        <f t="shared" si="12"/>
        <v>100</v>
      </c>
      <c r="T40" s="1350" t="s">
        <v>65</v>
      </c>
      <c r="U40" s="1351">
        <f t="shared" si="13"/>
        <v>100</v>
      </c>
      <c r="V40" s="1350" t="s">
        <v>65</v>
      </c>
      <c r="W40" s="1351">
        <f t="shared" si="14"/>
        <v>100</v>
      </c>
      <c r="X40" s="1338"/>
      <c r="Y40" s="3625"/>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23"/>
      <c r="Q41" s="1357" t="str">
        <f t="shared" si="11"/>
        <v>进深比</v>
      </c>
      <c r="R41" s="1358" t="s">
        <v>65</v>
      </c>
      <c r="S41" s="1359">
        <f t="shared" si="12"/>
        <v>100</v>
      </c>
      <c r="T41" s="1358" t="s">
        <v>65</v>
      </c>
      <c r="U41" s="1359">
        <f t="shared" si="13"/>
        <v>100</v>
      </c>
      <c r="V41" s="1358" t="s">
        <v>65</v>
      </c>
      <c r="W41" s="1359">
        <f t="shared" si="14"/>
        <v>100</v>
      </c>
      <c r="X41" s="1360"/>
      <c r="Y41" s="3625"/>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23"/>
      <c r="Q42" s="1349" t="str">
        <f t="shared" si="11"/>
        <v>内部装修</v>
      </c>
      <c r="R42" s="1350" t="s">
        <v>65</v>
      </c>
      <c r="S42" s="1351">
        <f t="shared" si="12"/>
        <v>100</v>
      </c>
      <c r="T42" s="1350" t="s">
        <v>65</v>
      </c>
      <c r="U42" s="1351">
        <f t="shared" si="13"/>
        <v>100</v>
      </c>
      <c r="V42" s="1350" t="s">
        <v>65</v>
      </c>
      <c r="W42" s="1351">
        <f t="shared" si="14"/>
        <v>100</v>
      </c>
      <c r="X42" s="1338"/>
      <c r="Y42" s="3625"/>
      <c r="Z42" s="1352" t="str">
        <f t="shared" si="15"/>
        <v>内部装修</v>
      </c>
      <c r="AA42" s="1353">
        <f t="shared" si="3"/>
        <v>1</v>
      </c>
      <c r="AB42" s="1353">
        <f t="shared" si="4"/>
        <v>1</v>
      </c>
      <c r="AC42" s="1353">
        <f t="shared" si="5"/>
        <v>1</v>
      </c>
    </row>
    <row r="43" spans="1:29" ht="28.8">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23"/>
      <c r="Q43" s="1349" t="str">
        <f t="shared" si="11"/>
        <v>内部装修维护情况</v>
      </c>
      <c r="R43" s="1350" t="s">
        <v>65</v>
      </c>
      <c r="S43" s="1351">
        <f t="shared" si="12"/>
        <v>100</v>
      </c>
      <c r="T43" s="1350" t="s">
        <v>65</v>
      </c>
      <c r="U43" s="1351">
        <f t="shared" si="13"/>
        <v>100</v>
      </c>
      <c r="V43" s="1350" t="s">
        <v>65</v>
      </c>
      <c r="W43" s="1351">
        <f t="shared" si="14"/>
        <v>100</v>
      </c>
      <c r="X43" s="1338"/>
      <c r="Y43" s="3625"/>
      <c r="Z43" s="1352" t="str">
        <f t="shared" si="15"/>
        <v>内部装修维护情况</v>
      </c>
      <c r="AA43" s="1353">
        <f t="shared" si="3"/>
        <v>1</v>
      </c>
      <c r="AB43" s="1353">
        <f t="shared" si="4"/>
        <v>1</v>
      </c>
      <c r="AC43" s="1353">
        <f t="shared" si="5"/>
        <v>1</v>
      </c>
    </row>
    <row r="44" spans="1:29" s="40" customFormat="1" ht="15.6">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23"/>
      <c r="Q44" s="7">
        <f t="shared" si="11"/>
        <v>111</v>
      </c>
      <c r="R44" s="1340" t="s">
        <v>65</v>
      </c>
      <c r="S44" s="1341">
        <f t="shared" si="12"/>
        <v>100</v>
      </c>
      <c r="T44" s="1340" t="s">
        <v>65</v>
      </c>
      <c r="U44" s="1341">
        <f t="shared" si="13"/>
        <v>100</v>
      </c>
      <c r="V44" s="1340" t="s">
        <v>65</v>
      </c>
      <c r="W44" s="1341">
        <f t="shared" si="14"/>
        <v>100</v>
      </c>
      <c r="X44" s="286"/>
      <c r="Y44" s="3625"/>
      <c r="Z44" s="287">
        <f t="shared" si="15"/>
        <v>111</v>
      </c>
      <c r="AA44" s="1342">
        <f t="shared" si="3"/>
        <v>1</v>
      </c>
      <c r="AB44" s="1342">
        <f t="shared" si="4"/>
        <v>1</v>
      </c>
      <c r="AC44" s="1342">
        <f t="shared" si="5"/>
        <v>1</v>
      </c>
    </row>
    <row r="45" spans="1:29" ht="15.6">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23"/>
      <c r="Q45" s="1349">
        <f t="shared" si="11"/>
        <v>111</v>
      </c>
      <c r="R45" s="1350" t="s">
        <v>65</v>
      </c>
      <c r="S45" s="1351">
        <f t="shared" si="12"/>
        <v>100</v>
      </c>
      <c r="T45" s="1350" t="s">
        <v>65</v>
      </c>
      <c r="U45" s="1351">
        <f t="shared" si="13"/>
        <v>100</v>
      </c>
      <c r="V45" s="1350" t="s">
        <v>65</v>
      </c>
      <c r="W45" s="1351">
        <f t="shared" si="14"/>
        <v>100</v>
      </c>
      <c r="X45" s="1338"/>
      <c r="Y45" s="3625"/>
      <c r="Z45" s="1352">
        <f t="shared" si="15"/>
        <v>111</v>
      </c>
      <c r="AA45" s="1353">
        <f t="shared" si="3"/>
        <v>1</v>
      </c>
      <c r="AB45" s="1353">
        <f t="shared" si="4"/>
        <v>1</v>
      </c>
      <c r="AC45" s="1353">
        <f t="shared" si="5"/>
        <v>1</v>
      </c>
    </row>
    <row r="46" spans="1:29" ht="16.2"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24"/>
      <c r="Q46" s="1349">
        <f t="shared" si="11"/>
        <v>111</v>
      </c>
      <c r="R46" s="1350" t="s">
        <v>65</v>
      </c>
      <c r="S46" s="1351">
        <f t="shared" si="12"/>
        <v>100</v>
      </c>
      <c r="T46" s="1350" t="s">
        <v>65</v>
      </c>
      <c r="U46" s="1351">
        <f t="shared" si="13"/>
        <v>100</v>
      </c>
      <c r="V46" s="1350" t="s">
        <v>65</v>
      </c>
      <c r="W46" s="1351">
        <f t="shared" si="14"/>
        <v>100</v>
      </c>
      <c r="X46" s="1338"/>
      <c r="Y46" s="3626"/>
      <c r="Z46" s="1352">
        <f t="shared" si="15"/>
        <v>111</v>
      </c>
      <c r="AA46" s="1353">
        <f t="shared" si="3"/>
        <v>1</v>
      </c>
      <c r="AB46" s="1353">
        <f t="shared" si="4"/>
        <v>1</v>
      </c>
      <c r="AC46" s="1353">
        <f t="shared" si="5"/>
        <v>1</v>
      </c>
    </row>
    <row r="47" spans="1:29">
      <c r="A47" s="163" t="s">
        <v>1032</v>
      </c>
      <c r="B47" s="164"/>
      <c r="C47" s="2831" t="s">
        <v>23</v>
      </c>
      <c r="D47" s="2832"/>
      <c r="E47" s="2833"/>
      <c r="F47" s="2834"/>
      <c r="G47" s="2835"/>
      <c r="H47" s="2836"/>
      <c r="I47" s="2833"/>
      <c r="J47" s="2836"/>
      <c r="K47" s="1391"/>
      <c r="L47" s="2301"/>
      <c r="M47" s="2302"/>
      <c r="N47" s="2294"/>
      <c r="O47" s="2302"/>
      <c r="P47" s="3618" t="str">
        <f>A47</f>
        <v>成交单价（元/平方米）</v>
      </c>
      <c r="Q47" s="3618"/>
      <c r="R47" s="3649">
        <f>E47</f>
        <v>0</v>
      </c>
      <c r="S47" s="3649"/>
      <c r="T47" s="3649">
        <f>G47</f>
        <v>0</v>
      </c>
      <c r="U47" s="3649"/>
      <c r="V47" s="3649">
        <f>I47</f>
        <v>0</v>
      </c>
      <c r="W47" s="3649"/>
      <c r="X47" s="1363"/>
      <c r="Y47" s="1364"/>
      <c r="Z47" s="1363"/>
      <c r="AA47" s="1363"/>
      <c r="AB47" s="1363"/>
      <c r="AC47" s="1363"/>
    </row>
    <row r="48" spans="1:29" ht="1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3"/>
      <c r="Y48" s="1363"/>
      <c r="Z48" s="1363"/>
      <c r="AA48" s="1363"/>
      <c r="AB48" s="1363"/>
      <c r="AC48" s="1363"/>
    </row>
    <row r="49" spans="1:29" ht="15" thickBot="1">
      <c r="A49" s="115" t="s">
        <v>3005</v>
      </c>
      <c r="B49" s="116"/>
      <c r="C49" s="2841" t="e">
        <f>R49</f>
        <v>#DIV/0!</v>
      </c>
      <c r="D49" s="2841"/>
      <c r="E49" s="2841"/>
      <c r="F49" s="2841"/>
      <c r="G49" s="2841"/>
      <c r="H49" s="2841"/>
      <c r="I49" s="2841"/>
      <c r="J49" s="2841"/>
      <c r="K49" s="1393"/>
      <c r="L49" s="2301"/>
      <c r="M49" s="2302"/>
      <c r="N49" s="2294"/>
      <c r="O49" s="2302"/>
      <c r="P49" s="3615" t="str">
        <f>A49</f>
        <v>估价对象XX用房的比较价值（楼面单价，元/平方米）</v>
      </c>
      <c r="Q49" s="3616"/>
      <c r="R49" s="3617" t="e">
        <f>IF(F1="售价",ROUND(AVERAGE(R48:V48),0),ROUND(AVERAGE(R48:V48),1))</f>
        <v>#DIV/0!</v>
      </c>
      <c r="S49" s="3617"/>
      <c r="T49" s="3617"/>
      <c r="U49" s="3617"/>
      <c r="V49" s="3617"/>
      <c r="W49" s="3617"/>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c r="A58" s="846" t="s">
        <v>2784</v>
      </c>
      <c r="B58" s="847"/>
      <c r="C58" s="3039" t="str">
        <f>YEAR(C7)&amp;"-"&amp;MONTH(C7)</f>
        <v>2018-10</v>
      </c>
      <c r="D58" s="3040">
        <f>EDATE(C58,-1)</f>
        <v>43344</v>
      </c>
      <c r="E58" s="3040">
        <f t="shared" ref="E58:N58" si="16">EDATE(D58,-1)</f>
        <v>43313</v>
      </c>
      <c r="F58" s="3040">
        <f t="shared" si="16"/>
        <v>43282</v>
      </c>
      <c r="G58" s="3040">
        <f t="shared" si="16"/>
        <v>43252</v>
      </c>
      <c r="H58" s="3040">
        <f t="shared" si="16"/>
        <v>43221</v>
      </c>
      <c r="I58" s="3040">
        <f t="shared" si="16"/>
        <v>43191</v>
      </c>
      <c r="J58" s="3040">
        <f t="shared" si="16"/>
        <v>43160</v>
      </c>
      <c r="K58" s="3040">
        <f t="shared" si="16"/>
        <v>43132</v>
      </c>
      <c r="L58" s="3040">
        <f t="shared" si="16"/>
        <v>43101</v>
      </c>
      <c r="M58" s="3040">
        <f t="shared" si="16"/>
        <v>43070</v>
      </c>
      <c r="N58" s="3040">
        <f t="shared" si="16"/>
        <v>43040</v>
      </c>
      <c r="O58" s="3040">
        <f>EDATE(N58,-1)</f>
        <v>43009</v>
      </c>
      <c r="P58" s="3033"/>
    </row>
    <row r="59" spans="1:29" s="40" customFormat="1">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9.4"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213" t="s">
        <v>2649</v>
      </c>
      <c r="D82" s="213" t="s">
        <v>2650</v>
      </c>
      <c r="E82" s="213" t="s">
        <v>2651</v>
      </c>
      <c r="F82" s="213" t="s">
        <v>2652</v>
      </c>
      <c r="G82" s="213" t="s">
        <v>2653</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5" thickTop="1">
      <c r="A112" s="1071"/>
      <c r="B112" s="1052" t="s">
        <v>2631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9.4"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ColWidth="9" defaultRowHeight="14.4"/>
  <cols>
    <col min="1" max="1" width="10.44140625" style="91" customWidth="1"/>
    <col min="2" max="2" width="15.77734375" style="91" customWidth="1"/>
    <col min="3" max="3" width="15.664062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2322"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3" t="s">
        <v>1072</v>
      </c>
      <c r="D4" s="3634"/>
      <c r="E4" s="3635" t="s">
        <v>1073</v>
      </c>
      <c r="F4" s="3636"/>
      <c r="G4" s="3633" t="s">
        <v>1074</v>
      </c>
      <c r="H4" s="3634"/>
      <c r="I4" s="3633" t="s">
        <v>1075</v>
      </c>
      <c r="J4" s="3634"/>
      <c r="K4" s="187" t="s">
        <v>1076</v>
      </c>
      <c r="L4" s="2293"/>
      <c r="M4" s="2294"/>
      <c r="N4" s="2294"/>
      <c r="O4" s="2294"/>
      <c r="P4" s="3667" t="s">
        <v>1071</v>
      </c>
      <c r="Q4" s="3668"/>
      <c r="R4" s="3671" t="s">
        <v>1073</v>
      </c>
      <c r="S4" s="3672"/>
      <c r="T4" s="3671" t="s">
        <v>1074</v>
      </c>
      <c r="U4" s="3672"/>
      <c r="V4" s="3673" t="s">
        <v>1075</v>
      </c>
      <c r="W4" s="3673"/>
      <c r="X4" s="2333"/>
      <c r="Y4" s="3671" t="s">
        <v>1071</v>
      </c>
      <c r="Z4" s="3672"/>
      <c r="AA4" s="3675" t="s">
        <v>1073</v>
      </c>
      <c r="AB4" s="3675" t="s">
        <v>1074</v>
      </c>
      <c r="AC4" s="3664" t="s">
        <v>1075</v>
      </c>
    </row>
    <row r="5" spans="1:29">
      <c r="A5" s="146"/>
      <c r="B5" s="147"/>
      <c r="C5" s="3652" t="s">
        <v>1077</v>
      </c>
      <c r="D5" s="3653"/>
      <c r="E5" s="3659" t="s">
        <v>1078</v>
      </c>
      <c r="F5" s="3660"/>
      <c r="G5" s="3652" t="s">
        <v>1079</v>
      </c>
      <c r="H5" s="3653"/>
      <c r="I5" s="3652" t="s">
        <v>1080</v>
      </c>
      <c r="J5" s="3653"/>
      <c r="K5" s="187"/>
      <c r="L5" s="2293"/>
      <c r="M5" s="2294"/>
      <c r="N5" s="2294"/>
      <c r="O5" s="2294"/>
      <c r="P5" s="3669"/>
      <c r="Q5" s="3640"/>
      <c r="R5" s="3645"/>
      <c r="S5" s="3646"/>
      <c r="T5" s="3645"/>
      <c r="U5" s="3646"/>
      <c r="V5" s="3649"/>
      <c r="W5" s="3649"/>
      <c r="X5" s="2219"/>
      <c r="Y5" s="3645"/>
      <c r="Z5" s="3646"/>
      <c r="AA5" s="3631"/>
      <c r="AB5" s="3631"/>
      <c r="AC5" s="3665"/>
    </row>
    <row r="6" spans="1:29" ht="15" thickBot="1">
      <c r="A6" s="148"/>
      <c r="B6" s="149"/>
      <c r="C6" s="3650" t="s">
        <v>1081</v>
      </c>
      <c r="D6" s="3651"/>
      <c r="E6" s="3657" t="s">
        <v>1081</v>
      </c>
      <c r="F6" s="3658"/>
      <c r="G6" s="3650" t="s">
        <v>1081</v>
      </c>
      <c r="H6" s="3651"/>
      <c r="I6" s="3650" t="s">
        <v>1081</v>
      </c>
      <c r="J6" s="3651"/>
      <c r="K6" s="187" t="s">
        <v>1082</v>
      </c>
      <c r="L6" s="2293"/>
      <c r="M6" s="2294"/>
      <c r="N6" s="2294"/>
      <c r="O6" s="2294"/>
      <c r="P6" s="3670"/>
      <c r="Q6" s="3642"/>
      <c r="R6" s="3645"/>
      <c r="S6" s="3646"/>
      <c r="T6" s="3647"/>
      <c r="U6" s="3648"/>
      <c r="V6" s="3649"/>
      <c r="W6" s="3649"/>
      <c r="X6" s="2219"/>
      <c r="Y6" s="3647"/>
      <c r="Z6" s="3648"/>
      <c r="AA6" s="3632"/>
      <c r="AB6" s="3632"/>
      <c r="AC6" s="3666"/>
    </row>
    <row r="7" spans="1:29" s="40" customFormat="1" ht="15" thickBot="1">
      <c r="A7" s="1012" t="s">
        <v>1083</v>
      </c>
      <c r="B7" s="1013"/>
      <c r="C7" s="751">
        <f>'数据-取费表'!B2</f>
        <v>43385</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4" t="s">
        <v>1083</v>
      </c>
      <c r="Q7" s="3656"/>
      <c r="R7" s="1340" t="s">
        <v>65</v>
      </c>
      <c r="S7" s="1341">
        <f t="shared" ref="S7:S15" si="0">F7</f>
        <v>0</v>
      </c>
      <c r="T7" s="1340" t="s">
        <v>65</v>
      </c>
      <c r="U7" s="1341">
        <f t="shared" ref="U7:U15" si="1">H7</f>
        <v>0</v>
      </c>
      <c r="V7" s="1340" t="s">
        <v>65</v>
      </c>
      <c r="W7" s="1341">
        <f t="shared" ref="W7:W15" si="2">J7</f>
        <v>0</v>
      </c>
      <c r="X7" s="286"/>
      <c r="Y7" s="3654" t="s">
        <v>1083</v>
      </c>
      <c r="Z7" s="3655"/>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4" t="s">
        <v>1017</v>
      </c>
      <c r="Q8" s="3655"/>
      <c r="R8" s="1340" t="s">
        <v>65</v>
      </c>
      <c r="S8" s="1341">
        <f t="shared" si="0"/>
        <v>0</v>
      </c>
      <c r="T8" s="1340" t="s">
        <v>65</v>
      </c>
      <c r="U8" s="1341">
        <f t="shared" si="1"/>
        <v>0</v>
      </c>
      <c r="V8" s="1340" t="s">
        <v>65</v>
      </c>
      <c r="W8" s="1341">
        <f t="shared" si="2"/>
        <v>0</v>
      </c>
      <c r="X8" s="286"/>
      <c r="Y8" s="3654" t="s">
        <v>1017</v>
      </c>
      <c r="Z8" s="3655"/>
      <c r="AA8" s="1342" t="e">
        <f t="shared" ref="AA8:AA47" si="3">D8/F8</f>
        <v>#DIV/0!</v>
      </c>
      <c r="AB8" s="1342" t="e">
        <f t="shared" ref="AB8:AB47" si="4">D8/H8</f>
        <v>#DIV/0!</v>
      </c>
      <c r="AC8" s="2334" t="e">
        <f t="shared" ref="AC8:AC47" si="5">D8/J8</f>
        <v>#DIV/0!</v>
      </c>
    </row>
    <row r="9" spans="1:29" s="40" customFormat="1">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29" t="s">
        <v>67</v>
      </c>
      <c r="Q9" s="2210" t="str">
        <f t="shared" ref="Q9:Q15" si="6">B9</f>
        <v>用途</v>
      </c>
      <c r="R9" s="1340" t="s">
        <v>65</v>
      </c>
      <c r="S9" s="1341">
        <f t="shared" si="0"/>
        <v>100</v>
      </c>
      <c r="T9" s="1340" t="s">
        <v>65</v>
      </c>
      <c r="U9" s="1341">
        <f t="shared" si="1"/>
        <v>100</v>
      </c>
      <c r="V9" s="1340" t="s">
        <v>65</v>
      </c>
      <c r="W9" s="1341">
        <f t="shared" si="2"/>
        <v>100</v>
      </c>
      <c r="X9" s="286"/>
      <c r="Y9" s="3434" t="s">
        <v>67</v>
      </c>
      <c r="Z9" s="2209" t="str">
        <f t="shared" ref="Z9:Z15" si="7">Q9</f>
        <v>用途</v>
      </c>
      <c r="AA9" s="1342">
        <f t="shared" si="3"/>
        <v>1</v>
      </c>
      <c r="AB9" s="1342">
        <f t="shared" si="4"/>
        <v>1</v>
      </c>
      <c r="AC9" s="2334">
        <f t="shared" si="5"/>
        <v>1</v>
      </c>
    </row>
    <row r="10" spans="1:29" s="92" customFormat="1" ht="28.8">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29"/>
      <c r="Q10" s="2210" t="str">
        <f t="shared" si="6"/>
        <v>土地使用年限（年）</v>
      </c>
      <c r="R10" s="1340" t="s">
        <v>65</v>
      </c>
      <c r="S10" s="1341">
        <f t="shared" si="0"/>
        <v>100</v>
      </c>
      <c r="T10" s="1340" t="s">
        <v>65</v>
      </c>
      <c r="U10" s="1341">
        <f t="shared" si="1"/>
        <v>100</v>
      </c>
      <c r="V10" s="1340" t="s">
        <v>65</v>
      </c>
      <c r="W10" s="1341">
        <f t="shared" si="2"/>
        <v>100</v>
      </c>
      <c r="X10" s="286"/>
      <c r="Y10" s="3434"/>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29"/>
      <c r="Q11" s="2210" t="str">
        <f t="shared" si="6"/>
        <v>容积率</v>
      </c>
      <c r="R11" s="1340" t="s">
        <v>65</v>
      </c>
      <c r="S11" s="1341" t="e">
        <f t="shared" si="0"/>
        <v>#N/A</v>
      </c>
      <c r="T11" s="1340" t="s">
        <v>65</v>
      </c>
      <c r="U11" s="1341" t="e">
        <f t="shared" si="1"/>
        <v>#N/A</v>
      </c>
      <c r="V11" s="1340" t="s">
        <v>65</v>
      </c>
      <c r="W11" s="1341" t="e">
        <f t="shared" si="2"/>
        <v>#N/A</v>
      </c>
      <c r="X11" s="286"/>
      <c r="Y11" s="3434"/>
      <c r="Z11" s="2209" t="str">
        <f t="shared" si="7"/>
        <v>容积率</v>
      </c>
      <c r="AA11" s="1342" t="e">
        <f t="shared" si="3"/>
        <v>#N/A</v>
      </c>
      <c r="AB11" s="1342" t="e">
        <f t="shared" si="4"/>
        <v>#N/A</v>
      </c>
      <c r="AC11" s="2334" t="e">
        <f t="shared" si="5"/>
        <v>#N/A</v>
      </c>
    </row>
    <row r="12" spans="1:29" s="40" customFormat="1" ht="15.6">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29"/>
      <c r="Q12" s="2210">
        <f t="shared" si="6"/>
        <v>111</v>
      </c>
      <c r="R12" s="1340" t="s">
        <v>65</v>
      </c>
      <c r="S12" s="1341">
        <f t="shared" si="0"/>
        <v>100</v>
      </c>
      <c r="T12" s="1340" t="s">
        <v>65</v>
      </c>
      <c r="U12" s="1341">
        <f t="shared" si="1"/>
        <v>100</v>
      </c>
      <c r="V12" s="1340" t="s">
        <v>65</v>
      </c>
      <c r="W12" s="1341">
        <f t="shared" si="2"/>
        <v>100</v>
      </c>
      <c r="X12" s="286"/>
      <c r="Y12" s="3434"/>
      <c r="Z12" s="2209">
        <f t="shared" si="7"/>
        <v>111</v>
      </c>
      <c r="AA12" s="1342">
        <f>D12/F12</f>
        <v>1</v>
      </c>
      <c r="AB12" s="1342">
        <f>D12/H12</f>
        <v>1</v>
      </c>
      <c r="AC12" s="2334">
        <f>D12/J12</f>
        <v>1</v>
      </c>
    </row>
    <row r="13" spans="1:29" ht="15.6">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29"/>
      <c r="Q13" s="2210">
        <f t="shared" si="6"/>
        <v>111</v>
      </c>
      <c r="R13" s="1340" t="s">
        <v>65</v>
      </c>
      <c r="S13" s="1341">
        <f t="shared" si="0"/>
        <v>100</v>
      </c>
      <c r="T13" s="1340" t="s">
        <v>65</v>
      </c>
      <c r="U13" s="1341">
        <f t="shared" si="1"/>
        <v>100</v>
      </c>
      <c r="V13" s="1340" t="s">
        <v>65</v>
      </c>
      <c r="W13" s="1341">
        <f t="shared" si="2"/>
        <v>100</v>
      </c>
      <c r="X13" s="286"/>
      <c r="Y13" s="3434"/>
      <c r="Z13" s="2209">
        <f t="shared" si="7"/>
        <v>111</v>
      </c>
      <c r="AA13" s="1342">
        <f t="shared" si="3"/>
        <v>1</v>
      </c>
      <c r="AB13" s="1342">
        <f t="shared" si="4"/>
        <v>1</v>
      </c>
      <c r="AC13" s="2334">
        <f t="shared" si="5"/>
        <v>1</v>
      </c>
    </row>
    <row r="14" spans="1:29" ht="16.2"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29"/>
      <c r="Q14" s="2210">
        <f t="shared" si="6"/>
        <v>111</v>
      </c>
      <c r="R14" s="1340" t="s">
        <v>65</v>
      </c>
      <c r="S14" s="1341">
        <f t="shared" si="0"/>
        <v>100</v>
      </c>
      <c r="T14" s="1340" t="s">
        <v>65</v>
      </c>
      <c r="U14" s="1341">
        <f t="shared" si="1"/>
        <v>100</v>
      </c>
      <c r="V14" s="1340" t="s">
        <v>65</v>
      </c>
      <c r="W14" s="1341">
        <f t="shared" si="2"/>
        <v>100</v>
      </c>
      <c r="X14" s="286"/>
      <c r="Y14" s="3434"/>
      <c r="Z14" s="2209">
        <f t="shared" si="7"/>
        <v>111</v>
      </c>
      <c r="AA14" s="1342">
        <f t="shared" si="3"/>
        <v>1</v>
      </c>
      <c r="AB14" s="1342">
        <f t="shared" si="4"/>
        <v>1</v>
      </c>
      <c r="AC14" s="2334">
        <f t="shared" si="5"/>
        <v>1</v>
      </c>
    </row>
    <row r="15" spans="1:29" ht="72">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27" t="s">
        <v>69</v>
      </c>
      <c r="Q15" s="2217" t="str">
        <f t="shared" si="6"/>
        <v>办公集聚程度</v>
      </c>
      <c r="R15" s="1350" t="s">
        <v>65</v>
      </c>
      <c r="S15" s="1351">
        <f t="shared" si="0"/>
        <v>100</v>
      </c>
      <c r="T15" s="1350" t="s">
        <v>65</v>
      </c>
      <c r="U15" s="1351">
        <f t="shared" si="1"/>
        <v>100</v>
      </c>
      <c r="V15" s="1350" t="s">
        <v>65</v>
      </c>
      <c r="W15" s="1351">
        <f t="shared" si="2"/>
        <v>100</v>
      </c>
      <c r="X15" s="2219"/>
      <c r="Y15" s="3620" t="s">
        <v>69</v>
      </c>
      <c r="Z15" s="2218" t="str">
        <f t="shared" si="7"/>
        <v>办公集聚程度</v>
      </c>
      <c r="AA15" s="1353">
        <f t="shared" si="3"/>
        <v>1</v>
      </c>
      <c r="AB15" s="1353">
        <f t="shared" si="4"/>
        <v>1</v>
      </c>
      <c r="AC15" s="2335">
        <f t="shared" si="5"/>
        <v>1</v>
      </c>
    </row>
    <row r="16" spans="1:29" ht="15.6">
      <c r="A16" s="151"/>
      <c r="B16" s="209"/>
      <c r="C16" s="192"/>
      <c r="D16" s="789"/>
      <c r="E16" s="97"/>
      <c r="F16" s="789"/>
      <c r="G16" s="192"/>
      <c r="H16" s="791"/>
      <c r="I16" s="97"/>
      <c r="J16" s="789"/>
      <c r="K16" s="189"/>
      <c r="L16" s="2299"/>
      <c r="M16" s="2294"/>
      <c r="N16" s="2294"/>
      <c r="O16" s="2294"/>
      <c r="P16" s="3628"/>
      <c r="Q16" s="2217"/>
      <c r="R16" s="1350"/>
      <c r="S16" s="1351"/>
      <c r="T16" s="1350"/>
      <c r="U16" s="1351"/>
      <c r="V16" s="1350"/>
      <c r="W16" s="1351"/>
      <c r="X16" s="2219"/>
      <c r="Y16" s="3621"/>
      <c r="Z16" s="2218"/>
      <c r="AA16" s="1353">
        <v>1</v>
      </c>
      <c r="AB16" s="1353">
        <v>1</v>
      </c>
      <c r="AC16" s="2335">
        <v>1</v>
      </c>
    </row>
    <row r="17" spans="1:29" ht="86.4">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28"/>
      <c r="Q17" s="2217" t="str">
        <f>B17</f>
        <v>交通便捷度</v>
      </c>
      <c r="R17" s="1350" t="s">
        <v>65</v>
      </c>
      <c r="S17" s="1351">
        <f>F17</f>
        <v>100</v>
      </c>
      <c r="T17" s="1350" t="s">
        <v>65</v>
      </c>
      <c r="U17" s="1351">
        <f>H17</f>
        <v>100</v>
      </c>
      <c r="V17" s="1350" t="s">
        <v>65</v>
      </c>
      <c r="W17" s="1351">
        <f>J17</f>
        <v>100</v>
      </c>
      <c r="X17" s="2219"/>
      <c r="Y17" s="3621"/>
      <c r="Z17" s="2218" t="str">
        <f>Q17</f>
        <v>交通便捷度</v>
      </c>
      <c r="AA17" s="1353">
        <f t="shared" si="3"/>
        <v>1</v>
      </c>
      <c r="AB17" s="1353">
        <f t="shared" si="4"/>
        <v>1</v>
      </c>
      <c r="AC17" s="2335">
        <f t="shared" si="5"/>
        <v>1</v>
      </c>
    </row>
    <row r="18" spans="1:29" ht="15.6">
      <c r="A18" s="151"/>
      <c r="B18" s="1033"/>
      <c r="C18" s="193"/>
      <c r="D18" s="791"/>
      <c r="E18" s="104"/>
      <c r="F18" s="791"/>
      <c r="G18" s="103"/>
      <c r="H18" s="789"/>
      <c r="I18" s="103"/>
      <c r="J18" s="789"/>
      <c r="K18" s="189"/>
      <c r="L18" s="2299"/>
      <c r="M18" s="2294"/>
      <c r="N18" s="2294"/>
      <c r="O18" s="2294"/>
      <c r="P18" s="3628"/>
      <c r="Q18" s="2217"/>
      <c r="R18" s="1350"/>
      <c r="S18" s="1351"/>
      <c r="T18" s="1350"/>
      <c r="U18" s="1351"/>
      <c r="V18" s="1350"/>
      <c r="W18" s="1351"/>
      <c r="X18" s="2219"/>
      <c r="Y18" s="3621"/>
      <c r="Z18" s="2218"/>
      <c r="AA18" s="1353">
        <v>1</v>
      </c>
      <c r="AB18" s="1353">
        <v>1</v>
      </c>
      <c r="AC18" s="2335">
        <v>1</v>
      </c>
    </row>
    <row r="19" spans="1:29" ht="43.2">
      <c r="A19" s="151"/>
      <c r="B19" s="1032" t="s">
        <v>2654</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28"/>
      <c r="Q19" s="2217" t="str">
        <f>B19</f>
        <v>公共配套设施</v>
      </c>
      <c r="R19" s="1350" t="s">
        <v>65</v>
      </c>
      <c r="S19" s="1351">
        <f>F19</f>
        <v>100</v>
      </c>
      <c r="T19" s="1350" t="s">
        <v>65</v>
      </c>
      <c r="U19" s="1351">
        <f>H19</f>
        <v>100</v>
      </c>
      <c r="V19" s="1350" t="s">
        <v>65</v>
      </c>
      <c r="W19" s="1351">
        <f>J19</f>
        <v>100</v>
      </c>
      <c r="X19" s="2219"/>
      <c r="Y19" s="3621"/>
      <c r="Z19" s="2218" t="str">
        <f>Q19</f>
        <v>公共配套设施</v>
      </c>
      <c r="AA19" s="1353">
        <f t="shared" si="3"/>
        <v>1</v>
      </c>
      <c r="AB19" s="1353">
        <f t="shared" si="4"/>
        <v>1</v>
      </c>
      <c r="AC19" s="2335">
        <f t="shared" si="5"/>
        <v>1</v>
      </c>
    </row>
    <row r="20" spans="1:29" ht="15.6">
      <c r="A20" s="151"/>
      <c r="B20" s="1033"/>
      <c r="C20" s="192"/>
      <c r="D20" s="789"/>
      <c r="E20" s="99"/>
      <c r="F20" s="789"/>
      <c r="G20" s="98"/>
      <c r="H20" s="789"/>
      <c r="I20" s="98"/>
      <c r="J20" s="789"/>
      <c r="K20" s="189"/>
      <c r="L20" s="2299"/>
      <c r="M20" s="2294"/>
      <c r="N20" s="2294"/>
      <c r="O20" s="2294"/>
      <c r="P20" s="3628"/>
      <c r="Q20" s="2217"/>
      <c r="R20" s="1350"/>
      <c r="S20" s="1351"/>
      <c r="T20" s="1350"/>
      <c r="U20" s="1351"/>
      <c r="V20" s="1350"/>
      <c r="W20" s="1351"/>
      <c r="X20" s="2219"/>
      <c r="Y20" s="3621"/>
      <c r="Z20" s="2218"/>
      <c r="AA20" s="1353">
        <v>1</v>
      </c>
      <c r="AB20" s="1353">
        <v>1</v>
      </c>
      <c r="AC20" s="2335">
        <v>1</v>
      </c>
    </row>
    <row r="21" spans="1:29" ht="28.8">
      <c r="A21" s="151"/>
      <c r="B21" s="1034" t="s">
        <v>2655</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28"/>
      <c r="Q21" s="2744" t="str">
        <f>B21</f>
        <v>基础设施水平</v>
      </c>
      <c r="R21" s="1350" t="s">
        <v>65</v>
      </c>
      <c r="S21" s="1351">
        <f>F21</f>
        <v>100</v>
      </c>
      <c r="T21" s="1350" t="s">
        <v>65</v>
      </c>
      <c r="U21" s="1351">
        <f>H21</f>
        <v>100</v>
      </c>
      <c r="V21" s="1350" t="s">
        <v>65</v>
      </c>
      <c r="W21" s="1351">
        <f>J21</f>
        <v>100</v>
      </c>
      <c r="X21" s="2746"/>
      <c r="Y21" s="3621"/>
      <c r="Z21" s="2745" t="str">
        <f>Q21</f>
        <v>基础设施水平</v>
      </c>
      <c r="AA21" s="1353">
        <f t="shared" ref="AA21" si="8">D21/F21</f>
        <v>1</v>
      </c>
      <c r="AB21" s="1353">
        <f t="shared" ref="AB21" si="9">D21/H21</f>
        <v>1</v>
      </c>
      <c r="AC21" s="2335">
        <f t="shared" ref="AC21" si="10">D21/J21</f>
        <v>1</v>
      </c>
    </row>
    <row r="22" spans="1:29" ht="15.6">
      <c r="A22" s="151"/>
      <c r="B22" s="1034"/>
      <c r="C22" s="193"/>
      <c r="D22" s="789"/>
      <c r="E22" s="97"/>
      <c r="F22" s="789"/>
      <c r="G22" s="192"/>
      <c r="H22" s="789"/>
      <c r="I22" s="192"/>
      <c r="J22" s="789"/>
      <c r="K22" s="2764"/>
      <c r="L22" s="2299"/>
      <c r="M22" s="2294"/>
      <c r="N22" s="2294"/>
      <c r="O22" s="2294"/>
      <c r="P22" s="3628"/>
      <c r="Q22" s="2744"/>
      <c r="R22" s="1350"/>
      <c r="S22" s="1351"/>
      <c r="T22" s="1350"/>
      <c r="U22" s="1351"/>
      <c r="V22" s="1350"/>
      <c r="W22" s="1351"/>
      <c r="X22" s="2746"/>
      <c r="Y22" s="3621"/>
      <c r="Z22" s="2745"/>
      <c r="AA22" s="1353">
        <v>1</v>
      </c>
      <c r="AB22" s="1353">
        <v>1</v>
      </c>
      <c r="AC22" s="2335">
        <v>1</v>
      </c>
    </row>
    <row r="23" spans="1:29" ht="57.6">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28"/>
      <c r="Q23" s="2217" t="str">
        <f>B23</f>
        <v>环境质量</v>
      </c>
      <c r="R23" s="1350" t="s">
        <v>65</v>
      </c>
      <c r="S23" s="1351">
        <f>F23</f>
        <v>100</v>
      </c>
      <c r="T23" s="1350" t="s">
        <v>65</v>
      </c>
      <c r="U23" s="1351">
        <f>H23</f>
        <v>100</v>
      </c>
      <c r="V23" s="1350" t="s">
        <v>65</v>
      </c>
      <c r="W23" s="1351">
        <f>J23</f>
        <v>100</v>
      </c>
      <c r="X23" s="2219"/>
      <c r="Y23" s="3621"/>
      <c r="Z23" s="2218" t="str">
        <f>Q23</f>
        <v>环境质量</v>
      </c>
      <c r="AA23" s="1353">
        <f t="shared" si="3"/>
        <v>1</v>
      </c>
      <c r="AB23" s="1353">
        <f t="shared" si="4"/>
        <v>1</v>
      </c>
      <c r="AC23" s="2335">
        <f t="shared" si="5"/>
        <v>1</v>
      </c>
    </row>
    <row r="24" spans="1:29" ht="15.6">
      <c r="A24" s="151"/>
      <c r="B24" s="1034"/>
      <c r="C24" s="192"/>
      <c r="D24" s="789"/>
      <c r="E24" s="99"/>
      <c r="F24" s="789"/>
      <c r="G24" s="98"/>
      <c r="H24" s="789"/>
      <c r="I24" s="98"/>
      <c r="J24" s="789"/>
      <c r="K24" s="189"/>
      <c r="L24" s="2299"/>
      <c r="M24" s="2294"/>
      <c r="N24" s="2294"/>
      <c r="O24" s="2294"/>
      <c r="P24" s="3628"/>
      <c r="Q24" s="2217"/>
      <c r="R24" s="1350"/>
      <c r="S24" s="1351"/>
      <c r="T24" s="1350"/>
      <c r="U24" s="1351"/>
      <c r="V24" s="1350"/>
      <c r="W24" s="1351"/>
      <c r="X24" s="2219"/>
      <c r="Y24" s="3621"/>
      <c r="Z24" s="2218"/>
      <c r="AA24" s="1353">
        <v>1</v>
      </c>
      <c r="AB24" s="1353">
        <v>1</v>
      </c>
      <c r="AC24" s="2335">
        <v>1</v>
      </c>
    </row>
    <row r="25" spans="1:29" ht="28.8">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28"/>
      <c r="Q25" s="2217" t="str">
        <f>B25</f>
        <v>毗邻道路的类型与等级</v>
      </c>
      <c r="R25" s="1350" t="s">
        <v>65</v>
      </c>
      <c r="S25" s="1351">
        <f>F25</f>
        <v>100</v>
      </c>
      <c r="T25" s="1350" t="s">
        <v>65</v>
      </c>
      <c r="U25" s="1351">
        <f>H25</f>
        <v>100</v>
      </c>
      <c r="V25" s="1350" t="s">
        <v>65</v>
      </c>
      <c r="W25" s="1351">
        <f>J25</f>
        <v>100</v>
      </c>
      <c r="X25" s="2219"/>
      <c r="Y25" s="3621"/>
      <c r="Z25" s="2218" t="str">
        <f>Q25</f>
        <v>毗邻道路的类型与等级</v>
      </c>
      <c r="AA25" s="1353">
        <f t="shared" si="3"/>
        <v>1</v>
      </c>
      <c r="AB25" s="1353">
        <f t="shared" si="4"/>
        <v>1</v>
      </c>
      <c r="AC25" s="2335">
        <f t="shared" si="5"/>
        <v>1</v>
      </c>
    </row>
    <row r="26" spans="1:29" ht="15.6">
      <c r="A26" s="146"/>
      <c r="B26" s="1033"/>
      <c r="C26" s="195"/>
      <c r="D26" s="776"/>
      <c r="E26" s="182"/>
      <c r="F26" s="776"/>
      <c r="G26" s="195"/>
      <c r="H26" s="776"/>
      <c r="I26" s="182"/>
      <c r="J26" s="776"/>
      <c r="K26" s="189"/>
      <c r="L26" s="2299"/>
      <c r="M26" s="2294"/>
      <c r="N26" s="2294"/>
      <c r="O26" s="2294"/>
      <c r="P26" s="3628"/>
      <c r="Q26" s="2217"/>
      <c r="R26" s="1350"/>
      <c r="S26" s="1351"/>
      <c r="T26" s="1350"/>
      <c r="U26" s="1351"/>
      <c r="V26" s="1350"/>
      <c r="W26" s="1351"/>
      <c r="X26" s="2219"/>
      <c r="Y26" s="3621"/>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28"/>
      <c r="Q27" s="2217" t="str">
        <f t="shared" ref="Q27:Q47" si="11">B27</f>
        <v>楼层</v>
      </c>
      <c r="R27" s="1350" t="s">
        <v>65</v>
      </c>
      <c r="S27" s="1351">
        <f>F27</f>
        <v>100</v>
      </c>
      <c r="T27" s="1350" t="s">
        <v>65</v>
      </c>
      <c r="U27" s="1351">
        <f>H27</f>
        <v>100</v>
      </c>
      <c r="V27" s="1350" t="s">
        <v>65</v>
      </c>
      <c r="W27" s="1351">
        <f>J27</f>
        <v>100</v>
      </c>
      <c r="X27" s="2219"/>
      <c r="Y27" s="3621"/>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28"/>
      <c r="Q28" s="2210" t="str">
        <f t="shared" si="11"/>
        <v>朝向</v>
      </c>
      <c r="R28" s="1340" t="s">
        <v>65</v>
      </c>
      <c r="S28" s="1341">
        <f>F28</f>
        <v>100</v>
      </c>
      <c r="T28" s="1340" t="s">
        <v>65</v>
      </c>
      <c r="U28" s="1341">
        <f>H28</f>
        <v>100</v>
      </c>
      <c r="V28" s="1340" t="s">
        <v>65</v>
      </c>
      <c r="W28" s="1341">
        <f>J28</f>
        <v>100</v>
      </c>
      <c r="X28" s="286"/>
      <c r="Y28" s="3621"/>
      <c r="Z28" s="2209" t="str">
        <f>Q28</f>
        <v>朝向</v>
      </c>
      <c r="AA28" s="1353">
        <f>D28/F28</f>
        <v>1</v>
      </c>
      <c r="AB28" s="1353">
        <f>D28/H28</f>
        <v>1</v>
      </c>
      <c r="AC28" s="2335">
        <f>D28/J28</f>
        <v>1</v>
      </c>
    </row>
    <row r="29" spans="1:29" ht="15.6">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28"/>
      <c r="Q29" s="2217">
        <f t="shared" si="11"/>
        <v>111</v>
      </c>
      <c r="R29" s="1350" t="s">
        <v>65</v>
      </c>
      <c r="S29" s="1351">
        <f t="shared" ref="S29:S47" si="12">F29</f>
        <v>100</v>
      </c>
      <c r="T29" s="1350" t="s">
        <v>65</v>
      </c>
      <c r="U29" s="1351">
        <f t="shared" ref="U29:U47" si="13">H29</f>
        <v>100</v>
      </c>
      <c r="V29" s="1350" t="s">
        <v>65</v>
      </c>
      <c r="W29" s="1351">
        <f t="shared" ref="W29:W47" si="14">J29</f>
        <v>100</v>
      </c>
      <c r="X29" s="2219"/>
      <c r="Y29" s="3621"/>
      <c r="Z29" s="2218">
        <f t="shared" ref="Z29:Z47" si="15">Q29</f>
        <v>111</v>
      </c>
      <c r="AA29" s="1353">
        <f t="shared" si="3"/>
        <v>1</v>
      </c>
      <c r="AB29" s="1353">
        <f t="shared" si="4"/>
        <v>1</v>
      </c>
      <c r="AC29" s="2335">
        <f t="shared" si="5"/>
        <v>1</v>
      </c>
    </row>
    <row r="30" spans="1:29" ht="15.6">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28"/>
      <c r="Q30" s="2217">
        <f t="shared" si="11"/>
        <v>111</v>
      </c>
      <c r="R30" s="1350" t="s">
        <v>65</v>
      </c>
      <c r="S30" s="1351">
        <f t="shared" si="12"/>
        <v>100</v>
      </c>
      <c r="T30" s="1350" t="s">
        <v>65</v>
      </c>
      <c r="U30" s="1351">
        <f t="shared" si="13"/>
        <v>100</v>
      </c>
      <c r="V30" s="1350" t="s">
        <v>65</v>
      </c>
      <c r="W30" s="1351">
        <f t="shared" si="14"/>
        <v>100</v>
      </c>
      <c r="X30" s="2219"/>
      <c r="Y30" s="3621"/>
      <c r="Z30" s="2218">
        <f t="shared" si="15"/>
        <v>111</v>
      </c>
      <c r="AA30" s="1353">
        <f t="shared" si="3"/>
        <v>1</v>
      </c>
      <c r="AB30" s="1353">
        <f t="shared" si="4"/>
        <v>1</v>
      </c>
      <c r="AC30" s="2335">
        <f t="shared" si="5"/>
        <v>1</v>
      </c>
    </row>
    <row r="31" spans="1:29" ht="15.6">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28"/>
      <c r="Q31" s="2217">
        <f t="shared" si="11"/>
        <v>111</v>
      </c>
      <c r="R31" s="1350" t="s">
        <v>65</v>
      </c>
      <c r="S31" s="1351">
        <f t="shared" si="12"/>
        <v>100</v>
      </c>
      <c r="T31" s="1350" t="s">
        <v>65</v>
      </c>
      <c r="U31" s="1351">
        <f t="shared" si="13"/>
        <v>100</v>
      </c>
      <c r="V31" s="1350" t="s">
        <v>65</v>
      </c>
      <c r="W31" s="1351">
        <f t="shared" si="14"/>
        <v>100</v>
      </c>
      <c r="X31" s="2219"/>
      <c r="Y31" s="3621"/>
      <c r="Z31" s="2218">
        <f t="shared" si="15"/>
        <v>111</v>
      </c>
      <c r="AA31" s="1353">
        <f t="shared" si="3"/>
        <v>1</v>
      </c>
      <c r="AB31" s="1353">
        <f t="shared" si="4"/>
        <v>1</v>
      </c>
      <c r="AC31" s="2335">
        <f t="shared" si="5"/>
        <v>1</v>
      </c>
    </row>
    <row r="32" spans="1:29" ht="16.2"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28"/>
      <c r="Q32" s="2217">
        <f t="shared" si="11"/>
        <v>111</v>
      </c>
      <c r="R32" s="1350" t="s">
        <v>65</v>
      </c>
      <c r="S32" s="1351">
        <f t="shared" si="12"/>
        <v>100</v>
      </c>
      <c r="T32" s="1350" t="s">
        <v>65</v>
      </c>
      <c r="U32" s="1351">
        <f t="shared" si="13"/>
        <v>100</v>
      </c>
      <c r="V32" s="1350" t="s">
        <v>65</v>
      </c>
      <c r="W32" s="1351">
        <f t="shared" si="14"/>
        <v>100</v>
      </c>
      <c r="X32" s="2219"/>
      <c r="Y32" s="3621"/>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22" t="s">
        <v>1089</v>
      </c>
      <c r="Q33" s="2217" t="str">
        <f t="shared" si="11"/>
        <v>建筑类型</v>
      </c>
      <c r="R33" s="1350" t="s">
        <v>65</v>
      </c>
      <c r="S33" s="1351">
        <f t="shared" si="12"/>
        <v>100</v>
      </c>
      <c r="T33" s="1350" t="s">
        <v>65</v>
      </c>
      <c r="U33" s="1351">
        <f t="shared" si="13"/>
        <v>100</v>
      </c>
      <c r="V33" s="1350" t="s">
        <v>65</v>
      </c>
      <c r="W33" s="1351">
        <f t="shared" si="14"/>
        <v>100</v>
      </c>
      <c r="X33" s="2219"/>
      <c r="Y33" s="3625" t="s">
        <v>1089</v>
      </c>
      <c r="Z33" s="2218" t="str">
        <f t="shared" si="15"/>
        <v>建筑类型</v>
      </c>
      <c r="AA33" s="1353">
        <f t="shared" si="3"/>
        <v>1</v>
      </c>
      <c r="AB33" s="1353">
        <f t="shared" si="4"/>
        <v>1</v>
      </c>
      <c r="AC33" s="2335">
        <f t="shared" si="5"/>
        <v>1</v>
      </c>
    </row>
    <row r="34" spans="1:29" s="1037" customFormat="1" ht="15.6">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23"/>
      <c r="Q34" s="1357" t="str">
        <f t="shared" si="11"/>
        <v>项目建筑规模</v>
      </c>
      <c r="R34" s="1358" t="s">
        <v>65</v>
      </c>
      <c r="S34" s="1359" t="e">
        <f t="shared" si="12"/>
        <v>#N/A</v>
      </c>
      <c r="T34" s="1358" t="s">
        <v>65</v>
      </c>
      <c r="U34" s="1359" t="e">
        <f t="shared" si="13"/>
        <v>#N/A</v>
      </c>
      <c r="V34" s="1358" t="s">
        <v>65</v>
      </c>
      <c r="W34" s="1359" t="e">
        <f t="shared" si="14"/>
        <v>#N/A</v>
      </c>
      <c r="X34" s="1360"/>
      <c r="Y34" s="3625"/>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23"/>
      <c r="Q35" s="2217" t="str">
        <f t="shared" si="11"/>
        <v>建筑结构</v>
      </c>
      <c r="R35" s="1350" t="s">
        <v>65</v>
      </c>
      <c r="S35" s="1351">
        <f t="shared" si="12"/>
        <v>100</v>
      </c>
      <c r="T35" s="1350" t="s">
        <v>65</v>
      </c>
      <c r="U35" s="1351">
        <f t="shared" si="13"/>
        <v>100</v>
      </c>
      <c r="V35" s="1350" t="s">
        <v>65</v>
      </c>
      <c r="W35" s="1351">
        <f t="shared" si="14"/>
        <v>100</v>
      </c>
      <c r="X35" s="2219"/>
      <c r="Y35" s="3625"/>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23"/>
      <c r="Q36" s="2217" t="str">
        <f t="shared" si="11"/>
        <v>公共部分装修</v>
      </c>
      <c r="R36" s="1350" t="s">
        <v>65</v>
      </c>
      <c r="S36" s="1351">
        <f t="shared" si="12"/>
        <v>100</v>
      </c>
      <c r="T36" s="1350" t="s">
        <v>65</v>
      </c>
      <c r="U36" s="1351">
        <f t="shared" si="13"/>
        <v>100</v>
      </c>
      <c r="V36" s="1350" t="s">
        <v>65</v>
      </c>
      <c r="W36" s="1351">
        <f t="shared" si="14"/>
        <v>100</v>
      </c>
      <c r="X36" s="2219"/>
      <c r="Y36" s="3625"/>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23"/>
      <c r="Q37" s="2217" t="str">
        <f t="shared" si="11"/>
        <v>成新度</v>
      </c>
      <c r="R37" s="1350" t="s">
        <v>65</v>
      </c>
      <c r="S37" s="1351" t="e">
        <f t="shared" si="12"/>
        <v>#N/A</v>
      </c>
      <c r="T37" s="1350" t="s">
        <v>65</v>
      </c>
      <c r="U37" s="1351" t="e">
        <f t="shared" si="13"/>
        <v>#N/A</v>
      </c>
      <c r="V37" s="1350" t="s">
        <v>65</v>
      </c>
      <c r="W37" s="1351" t="e">
        <f t="shared" si="14"/>
        <v>#N/A</v>
      </c>
      <c r="X37" s="2219"/>
      <c r="Y37" s="3625"/>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23"/>
      <c r="Q38" s="2210" t="str">
        <f t="shared" si="11"/>
        <v>写字楼等级</v>
      </c>
      <c r="R38" s="1340" t="s">
        <v>65</v>
      </c>
      <c r="S38" s="1341">
        <f t="shared" si="12"/>
        <v>100</v>
      </c>
      <c r="T38" s="1340" t="s">
        <v>65</v>
      </c>
      <c r="U38" s="1341">
        <f t="shared" si="13"/>
        <v>100</v>
      </c>
      <c r="V38" s="1340" t="s">
        <v>65</v>
      </c>
      <c r="W38" s="1341">
        <f t="shared" si="14"/>
        <v>100</v>
      </c>
      <c r="X38" s="286"/>
      <c r="Y38" s="3625"/>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23" t="s">
        <v>70</v>
      </c>
      <c r="Q39" s="2217" t="str">
        <f t="shared" si="11"/>
        <v>物业管理</v>
      </c>
      <c r="R39" s="1350" t="s">
        <v>65</v>
      </c>
      <c r="S39" s="1351">
        <f t="shared" si="12"/>
        <v>100</v>
      </c>
      <c r="T39" s="1350" t="s">
        <v>65</v>
      </c>
      <c r="U39" s="1351">
        <f t="shared" si="13"/>
        <v>100</v>
      </c>
      <c r="V39" s="1350" t="s">
        <v>65</v>
      </c>
      <c r="W39" s="1351">
        <f t="shared" si="14"/>
        <v>100</v>
      </c>
      <c r="X39" s="2219"/>
      <c r="Y39" s="3625" t="s">
        <v>70</v>
      </c>
      <c r="Z39" s="2218" t="str">
        <f t="shared" si="15"/>
        <v>物业管理</v>
      </c>
      <c r="AA39" s="1353">
        <f t="shared" si="3"/>
        <v>1</v>
      </c>
      <c r="AB39" s="1353">
        <f t="shared" si="4"/>
        <v>1</v>
      </c>
      <c r="AC39" s="2335">
        <f t="shared" si="5"/>
        <v>1</v>
      </c>
    </row>
    <row r="40" spans="1:29" ht="15">
      <c r="A40" s="161"/>
      <c r="B40" s="12" t="s">
        <v>2647</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23"/>
      <c r="Q40" s="2217" t="str">
        <f t="shared" si="11"/>
        <v>市政基础设施</v>
      </c>
      <c r="R40" s="1350" t="s">
        <v>65</v>
      </c>
      <c r="S40" s="1351">
        <f t="shared" si="12"/>
        <v>100</v>
      </c>
      <c r="T40" s="1350" t="s">
        <v>65</v>
      </c>
      <c r="U40" s="1351">
        <f t="shared" si="13"/>
        <v>100</v>
      </c>
      <c r="V40" s="1350" t="s">
        <v>65</v>
      </c>
      <c r="W40" s="1351">
        <f t="shared" si="14"/>
        <v>100</v>
      </c>
      <c r="X40" s="2219"/>
      <c r="Y40" s="3625"/>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23"/>
      <c r="Q41" s="2217" t="str">
        <f t="shared" si="11"/>
        <v>层高</v>
      </c>
      <c r="R41" s="1350" t="s">
        <v>65</v>
      </c>
      <c r="S41" s="1351">
        <f t="shared" si="12"/>
        <v>100</v>
      </c>
      <c r="T41" s="1350" t="s">
        <v>65</v>
      </c>
      <c r="U41" s="1351">
        <f t="shared" si="13"/>
        <v>100</v>
      </c>
      <c r="V41" s="1350" t="s">
        <v>65</v>
      </c>
      <c r="W41" s="1351">
        <f t="shared" si="14"/>
        <v>100</v>
      </c>
      <c r="X41" s="2219"/>
      <c r="Y41" s="3625"/>
      <c r="Z41" s="2218" t="str">
        <f t="shared" si="15"/>
        <v>层高</v>
      </c>
      <c r="AA41" s="1353">
        <f t="shared" si="3"/>
        <v>1</v>
      </c>
      <c r="AB41" s="1353">
        <f t="shared" si="4"/>
        <v>1</v>
      </c>
      <c r="AC41" s="2335">
        <f t="shared" si="5"/>
        <v>1</v>
      </c>
    </row>
    <row r="42" spans="1:29" s="1037" customFormat="1" ht="15.6">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23"/>
      <c r="Q42" s="1357" t="str">
        <f t="shared" si="11"/>
        <v>单套建筑面积</v>
      </c>
      <c r="R42" s="1358" t="s">
        <v>65</v>
      </c>
      <c r="S42" s="1359">
        <f t="shared" si="12"/>
        <v>100</v>
      </c>
      <c r="T42" s="1358" t="s">
        <v>65</v>
      </c>
      <c r="U42" s="1359">
        <f t="shared" si="13"/>
        <v>100</v>
      </c>
      <c r="V42" s="1358" t="s">
        <v>65</v>
      </c>
      <c r="W42" s="1359">
        <f t="shared" si="14"/>
        <v>100</v>
      </c>
      <c r="X42" s="1360"/>
      <c r="Y42" s="3625"/>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23"/>
      <c r="Q43" s="2217" t="str">
        <f t="shared" si="11"/>
        <v>内部装修</v>
      </c>
      <c r="R43" s="1350" t="s">
        <v>65</v>
      </c>
      <c r="S43" s="1351">
        <f t="shared" si="12"/>
        <v>100</v>
      </c>
      <c r="T43" s="1350" t="s">
        <v>65</v>
      </c>
      <c r="U43" s="1351">
        <f t="shared" si="13"/>
        <v>100</v>
      </c>
      <c r="V43" s="1350" t="s">
        <v>65</v>
      </c>
      <c r="W43" s="1351">
        <f t="shared" si="14"/>
        <v>100</v>
      </c>
      <c r="X43" s="2219"/>
      <c r="Y43" s="3625"/>
      <c r="Z43" s="2218" t="str">
        <f t="shared" si="15"/>
        <v>内部装修</v>
      </c>
      <c r="AA43" s="1353">
        <f t="shared" si="3"/>
        <v>1</v>
      </c>
      <c r="AB43" s="1353">
        <f t="shared" si="4"/>
        <v>1</v>
      </c>
      <c r="AC43" s="2335">
        <f t="shared" si="5"/>
        <v>1</v>
      </c>
    </row>
    <row r="44" spans="1:29" ht="28.8">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23"/>
      <c r="Q44" s="2217" t="str">
        <f t="shared" si="11"/>
        <v>内部装修维护情况</v>
      </c>
      <c r="R44" s="1350" t="s">
        <v>65</v>
      </c>
      <c r="S44" s="1351">
        <f t="shared" si="12"/>
        <v>100</v>
      </c>
      <c r="T44" s="1350" t="s">
        <v>65</v>
      </c>
      <c r="U44" s="1351">
        <f t="shared" si="13"/>
        <v>100</v>
      </c>
      <c r="V44" s="1350" t="s">
        <v>65</v>
      </c>
      <c r="W44" s="1351">
        <f t="shared" si="14"/>
        <v>100</v>
      </c>
      <c r="X44" s="2219"/>
      <c r="Y44" s="3625"/>
      <c r="Z44" s="2218" t="str">
        <f t="shared" si="15"/>
        <v>内部装修维护情况</v>
      </c>
      <c r="AA44" s="1353">
        <f t="shared" si="3"/>
        <v>1</v>
      </c>
      <c r="AB44" s="1353">
        <f t="shared" si="4"/>
        <v>1</v>
      </c>
      <c r="AC44" s="2335">
        <f t="shared" si="5"/>
        <v>1</v>
      </c>
    </row>
    <row r="45" spans="1:29" s="40" customFormat="1" ht="15.6">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23"/>
      <c r="Q45" s="2210">
        <f t="shared" si="11"/>
        <v>111</v>
      </c>
      <c r="R45" s="1340" t="s">
        <v>65</v>
      </c>
      <c r="S45" s="1341">
        <f t="shared" si="12"/>
        <v>100</v>
      </c>
      <c r="T45" s="1340" t="s">
        <v>65</v>
      </c>
      <c r="U45" s="1341">
        <f t="shared" si="13"/>
        <v>100</v>
      </c>
      <c r="V45" s="1340" t="s">
        <v>65</v>
      </c>
      <c r="W45" s="1341">
        <f t="shared" si="14"/>
        <v>100</v>
      </c>
      <c r="X45" s="286"/>
      <c r="Y45" s="3625"/>
      <c r="Z45" s="2209">
        <f t="shared" si="15"/>
        <v>111</v>
      </c>
      <c r="AA45" s="1342">
        <f t="shared" si="3"/>
        <v>1</v>
      </c>
      <c r="AB45" s="1342">
        <f t="shared" si="4"/>
        <v>1</v>
      </c>
      <c r="AC45" s="2334">
        <f t="shared" si="5"/>
        <v>1</v>
      </c>
    </row>
    <row r="46" spans="1:29" ht="15.6">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23"/>
      <c r="Q46" s="2217">
        <f t="shared" si="11"/>
        <v>111</v>
      </c>
      <c r="R46" s="1350" t="s">
        <v>65</v>
      </c>
      <c r="S46" s="1351">
        <f t="shared" si="12"/>
        <v>100</v>
      </c>
      <c r="T46" s="1350" t="s">
        <v>65</v>
      </c>
      <c r="U46" s="1351">
        <f t="shared" si="13"/>
        <v>100</v>
      </c>
      <c r="V46" s="1350" t="s">
        <v>65</v>
      </c>
      <c r="W46" s="1351">
        <f t="shared" si="14"/>
        <v>100</v>
      </c>
      <c r="X46" s="2219"/>
      <c r="Y46" s="3625"/>
      <c r="Z46" s="2218">
        <f t="shared" si="15"/>
        <v>111</v>
      </c>
      <c r="AA46" s="1353">
        <f t="shared" si="3"/>
        <v>1</v>
      </c>
      <c r="AB46" s="1353">
        <f t="shared" si="4"/>
        <v>1</v>
      </c>
      <c r="AC46" s="2335">
        <f t="shared" si="5"/>
        <v>1</v>
      </c>
    </row>
    <row r="47" spans="1:29" ht="16.2"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24"/>
      <c r="Q47" s="2217">
        <f t="shared" si="11"/>
        <v>111</v>
      </c>
      <c r="R47" s="1350" t="s">
        <v>65</v>
      </c>
      <c r="S47" s="1351">
        <f t="shared" si="12"/>
        <v>100</v>
      </c>
      <c r="T47" s="1350" t="s">
        <v>65</v>
      </c>
      <c r="U47" s="1351">
        <f t="shared" si="13"/>
        <v>100</v>
      </c>
      <c r="V47" s="1350" t="s">
        <v>65</v>
      </c>
      <c r="W47" s="1351">
        <f t="shared" si="14"/>
        <v>100</v>
      </c>
      <c r="X47" s="2219"/>
      <c r="Y47" s="3626"/>
      <c r="Z47" s="2218">
        <f t="shared" si="15"/>
        <v>111</v>
      </c>
      <c r="AA47" s="1353">
        <f t="shared" si="3"/>
        <v>1</v>
      </c>
      <c r="AB47" s="1353">
        <f t="shared" si="4"/>
        <v>1</v>
      </c>
      <c r="AC47" s="2335">
        <f t="shared" si="5"/>
        <v>1</v>
      </c>
    </row>
    <row r="48" spans="1:29">
      <c r="A48" s="163" t="s">
        <v>1032</v>
      </c>
      <c r="B48" s="164"/>
      <c r="C48" s="2831" t="s">
        <v>23</v>
      </c>
      <c r="D48" s="2832"/>
      <c r="E48" s="2833"/>
      <c r="F48" s="2834"/>
      <c r="G48" s="2835"/>
      <c r="H48" s="2836"/>
      <c r="I48" s="2833"/>
      <c r="J48" s="826"/>
      <c r="K48" s="1391"/>
      <c r="L48" s="2301"/>
      <c r="M48" s="2294"/>
      <c r="N48" s="2294"/>
      <c r="O48" s="2294"/>
      <c r="P48" s="3629" t="str">
        <f>A48</f>
        <v>成交单价（元/平方米）</v>
      </c>
      <c r="Q48" s="3618"/>
      <c r="R48" s="3619">
        <f>E48</f>
        <v>0</v>
      </c>
      <c r="S48" s="3619"/>
      <c r="T48" s="3619">
        <f>G48</f>
        <v>0</v>
      </c>
      <c r="U48" s="3619"/>
      <c r="V48" s="3619">
        <f>I48</f>
        <v>0</v>
      </c>
      <c r="W48" s="3619"/>
      <c r="X48" s="156"/>
      <c r="Y48" s="1364"/>
      <c r="Z48" s="156"/>
      <c r="AA48" s="156"/>
      <c r="AB48" s="156"/>
      <c r="AC48" s="209"/>
    </row>
    <row r="49" spans="1:29" ht="1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29" t="str">
        <f>A49</f>
        <v>比较价值（元/平方米）</v>
      </c>
      <c r="Q49" s="3618"/>
      <c r="R49" s="3619" t="e">
        <f>IF(F1="售价",ROUND(PRODUCT(R48,AA7:AA47),0),ROUND(PRODUCT(R48,AA7:AA47),1))</f>
        <v>#DIV/0!</v>
      </c>
      <c r="S49" s="3619"/>
      <c r="T49" s="3619" t="e">
        <f>IF(F1="售价",ROUND(PRODUCT(T48,AB7:AB47),0),ROUND(PRODUCT(T48,AB7:AB47),1))</f>
        <v>#DIV/0!</v>
      </c>
      <c r="U49" s="3619"/>
      <c r="V49" s="3619" t="e">
        <f>IF(F1="售价",ROUND(PRODUCT(V48,AC7:AC47),0),ROUND(PRODUCT(V48,AC7:AC47),1))</f>
        <v>#DIV/0!</v>
      </c>
      <c r="W49" s="3619"/>
      <c r="X49" s="156"/>
      <c r="Y49" s="156"/>
      <c r="Z49" s="156"/>
      <c r="AA49" s="156"/>
      <c r="AB49" s="156"/>
      <c r="AC49" s="209"/>
    </row>
    <row r="50" spans="1:29" ht="15" thickBot="1">
      <c r="A50" s="115" t="s">
        <v>3005</v>
      </c>
      <c r="B50" s="116"/>
      <c r="C50" s="2841" t="e">
        <f>R50</f>
        <v>#DIV/0!</v>
      </c>
      <c r="D50" s="2841"/>
      <c r="E50" s="2841"/>
      <c r="F50" s="2841"/>
      <c r="G50" s="2841"/>
      <c r="H50" s="2841"/>
      <c r="I50" s="2841"/>
      <c r="J50" s="835"/>
      <c r="K50" s="1393"/>
      <c r="L50" s="2301"/>
      <c r="M50" s="2294"/>
      <c r="N50" s="2294"/>
      <c r="O50" s="2294"/>
      <c r="P50" s="3661" t="str">
        <f>A50</f>
        <v>估价对象XX用房的比较价值（楼面单价，元/平方米）</v>
      </c>
      <c r="Q50" s="3662"/>
      <c r="R50" s="3663" t="e">
        <f>IF(F1="售价",ROUND(AVERAGE(R49:V49),0),ROUND(AVERAGE(R49:V49),1))</f>
        <v>#DIV/0!</v>
      </c>
      <c r="S50" s="3663"/>
      <c r="T50" s="3663"/>
      <c r="U50" s="3663"/>
      <c r="V50" s="3663"/>
      <c r="W50" s="3663"/>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c r="A59" s="846" t="s">
        <v>2785</v>
      </c>
      <c r="B59" s="847"/>
      <c r="C59" s="3039" t="str">
        <f>YEAR(C7)&amp;"-"&amp;MONTH(C7)</f>
        <v>2018-10</v>
      </c>
      <c r="D59" s="3040">
        <f>EDATE(C59,-1)</f>
        <v>43344</v>
      </c>
      <c r="E59" s="3040">
        <f>EDATE(D59,-1)</f>
        <v>43313</v>
      </c>
      <c r="F59" s="3040">
        <f t="shared" ref="F59:O59" si="16">EDATE(E59,-1)</f>
        <v>43282</v>
      </c>
      <c r="G59" s="3040">
        <f t="shared" si="16"/>
        <v>43252</v>
      </c>
      <c r="H59" s="3040">
        <f t="shared" si="16"/>
        <v>43221</v>
      </c>
      <c r="I59" s="3040">
        <f t="shared" si="16"/>
        <v>43191</v>
      </c>
      <c r="J59" s="3040">
        <f t="shared" si="16"/>
        <v>43160</v>
      </c>
      <c r="K59" s="3040">
        <f t="shared" si="16"/>
        <v>43132</v>
      </c>
      <c r="L59" s="3040">
        <f t="shared" si="16"/>
        <v>43101</v>
      </c>
      <c r="M59" s="3040">
        <f t="shared" si="16"/>
        <v>43070</v>
      </c>
      <c r="N59" s="3040">
        <f t="shared" si="16"/>
        <v>43040</v>
      </c>
      <c r="O59" s="3040">
        <f t="shared" si="16"/>
        <v>43009</v>
      </c>
      <c r="P59" s="3034"/>
    </row>
    <row r="60" spans="1:29" s="40" customFormat="1">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9.4"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2656</v>
      </c>
      <c r="C83" s="213" t="s">
        <v>2649</v>
      </c>
      <c r="D83" s="213" t="s">
        <v>2650</v>
      </c>
      <c r="E83" s="213" t="s">
        <v>2651</v>
      </c>
      <c r="F83" s="213" t="s">
        <v>2652</v>
      </c>
      <c r="G83" s="213" t="s">
        <v>2653</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9.4"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5" thickTop="1">
      <c r="A117" s="175"/>
      <c r="B117" s="1052" t="s">
        <v>2631</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9.4"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ColWidth="9" defaultRowHeight="14.4"/>
  <cols>
    <col min="1" max="1" width="10.44140625" style="91" customWidth="1"/>
    <col min="2" max="2" width="15.77734375" style="91" customWidth="1"/>
    <col min="3" max="3" width="14.3320312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91"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3" t="s">
        <v>1110</v>
      </c>
      <c r="D4" s="3634"/>
      <c r="E4" s="3635" t="s">
        <v>1111</v>
      </c>
      <c r="F4" s="3636"/>
      <c r="G4" s="3633" t="s">
        <v>1112</v>
      </c>
      <c r="H4" s="3634"/>
      <c r="I4" s="3633" t="s">
        <v>1113</v>
      </c>
      <c r="J4" s="3634"/>
      <c r="K4" s="187" t="s">
        <v>1114</v>
      </c>
      <c r="L4" s="2293"/>
      <c r="M4" s="2294"/>
      <c r="N4" s="2294"/>
      <c r="O4" s="2294"/>
      <c r="P4" s="3637" t="s">
        <v>1109</v>
      </c>
      <c r="Q4" s="3638"/>
      <c r="R4" s="3643" t="s">
        <v>1111</v>
      </c>
      <c r="S4" s="3644"/>
      <c r="T4" s="3643" t="s">
        <v>1112</v>
      </c>
      <c r="U4" s="3644"/>
      <c r="V4" s="3649" t="s">
        <v>1113</v>
      </c>
      <c r="W4" s="3649"/>
      <c r="X4" s="1338"/>
      <c r="Y4" s="3643" t="s">
        <v>1109</v>
      </c>
      <c r="Z4" s="3644"/>
      <c r="AA4" s="3630" t="s">
        <v>1111</v>
      </c>
      <c r="AB4" s="3631" t="s">
        <v>1112</v>
      </c>
      <c r="AC4" s="3630" t="s">
        <v>1113</v>
      </c>
    </row>
    <row r="5" spans="1:29">
      <c r="A5" s="146"/>
      <c r="B5" s="147"/>
      <c r="C5" s="3652" t="s">
        <v>1115</v>
      </c>
      <c r="D5" s="3653"/>
      <c r="E5" s="3659" t="s">
        <v>1116</v>
      </c>
      <c r="F5" s="3660"/>
      <c r="G5" s="3652" t="s">
        <v>1117</v>
      </c>
      <c r="H5" s="3653"/>
      <c r="I5" s="3652" t="s">
        <v>1118</v>
      </c>
      <c r="J5" s="3653"/>
      <c r="K5" s="187"/>
      <c r="L5" s="2293"/>
      <c r="M5" s="2294"/>
      <c r="N5" s="2294"/>
      <c r="O5" s="2294"/>
      <c r="P5" s="3639"/>
      <c r="Q5" s="3640"/>
      <c r="R5" s="3645"/>
      <c r="S5" s="3646"/>
      <c r="T5" s="3645"/>
      <c r="U5" s="3646"/>
      <c r="V5" s="3649"/>
      <c r="W5" s="3649"/>
      <c r="X5" s="1338"/>
      <c r="Y5" s="3645"/>
      <c r="Z5" s="3646"/>
      <c r="AA5" s="3631"/>
      <c r="AB5" s="3631"/>
      <c r="AC5" s="3631"/>
    </row>
    <row r="6" spans="1:29" ht="15" thickBot="1">
      <c r="A6" s="148"/>
      <c r="B6" s="149"/>
      <c r="C6" s="3650" t="s">
        <v>1119</v>
      </c>
      <c r="D6" s="3651"/>
      <c r="E6" s="3657" t="s">
        <v>1119</v>
      </c>
      <c r="F6" s="3658"/>
      <c r="G6" s="3650" t="s">
        <v>1119</v>
      </c>
      <c r="H6" s="3651"/>
      <c r="I6" s="3650" t="s">
        <v>1119</v>
      </c>
      <c r="J6" s="3651"/>
      <c r="K6" s="187" t="s">
        <v>1120</v>
      </c>
      <c r="L6" s="2293"/>
      <c r="M6" s="2294"/>
      <c r="N6" s="2294"/>
      <c r="O6" s="2294"/>
      <c r="P6" s="3641"/>
      <c r="Q6" s="3642"/>
      <c r="R6" s="3645"/>
      <c r="S6" s="3646"/>
      <c r="T6" s="3647"/>
      <c r="U6" s="3648"/>
      <c r="V6" s="3649"/>
      <c r="W6" s="3649"/>
      <c r="X6" s="1338"/>
      <c r="Y6" s="3647"/>
      <c r="Z6" s="3648"/>
      <c r="AA6" s="3632"/>
      <c r="AB6" s="3632"/>
      <c r="AC6" s="3632"/>
    </row>
    <row r="7" spans="1:29" s="40" customFormat="1" ht="15" thickBot="1">
      <c r="A7" s="1012" t="s">
        <v>1121</v>
      </c>
      <c r="B7" s="1013"/>
      <c r="C7" s="751">
        <f>'数据-取费表'!B2</f>
        <v>43385</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54" t="s">
        <v>1121</v>
      </c>
      <c r="Q7" s="3656"/>
      <c r="R7" s="1340" t="s">
        <v>65</v>
      </c>
      <c r="S7" s="1341">
        <f t="shared" ref="S7:S15" si="0">F7</f>
        <v>0</v>
      </c>
      <c r="T7" s="1340" t="s">
        <v>65</v>
      </c>
      <c r="U7" s="1341">
        <f t="shared" ref="U7:U15" si="1">H7</f>
        <v>0</v>
      </c>
      <c r="V7" s="1340" t="s">
        <v>65</v>
      </c>
      <c r="W7" s="1341">
        <f t="shared" ref="W7:W15" si="2">J7</f>
        <v>0</v>
      </c>
      <c r="X7" s="286"/>
      <c r="Y7" s="3654" t="s">
        <v>1121</v>
      </c>
      <c r="Z7" s="3655"/>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54" t="s">
        <v>1017</v>
      </c>
      <c r="Q8" s="3655"/>
      <c r="R8" s="1340" t="s">
        <v>65</v>
      </c>
      <c r="S8" s="1341">
        <f t="shared" si="0"/>
        <v>0</v>
      </c>
      <c r="T8" s="1340" t="s">
        <v>65</v>
      </c>
      <c r="U8" s="1341">
        <f t="shared" si="1"/>
        <v>0</v>
      </c>
      <c r="V8" s="1340" t="s">
        <v>65</v>
      </c>
      <c r="W8" s="1341">
        <f t="shared" si="2"/>
        <v>0</v>
      </c>
      <c r="X8" s="286"/>
      <c r="Y8" s="3654" t="s">
        <v>1017</v>
      </c>
      <c r="Z8" s="3655"/>
      <c r="AA8" s="1342" t="e">
        <f t="shared" ref="AA8:AA40" si="3">D8/F8</f>
        <v>#DIV/0!</v>
      </c>
      <c r="AB8" s="1342" t="e">
        <f t="shared" ref="AB8:AB40" si="4">D8/H8</f>
        <v>#DIV/0!</v>
      </c>
      <c r="AC8" s="1342" t="e">
        <f t="shared" ref="AC8:AC40" si="5">D8/J8</f>
        <v>#DIV/0!</v>
      </c>
    </row>
    <row r="9" spans="1:29" s="40" customFormat="1">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18" t="s">
        <v>67</v>
      </c>
      <c r="Q9" s="7" t="str">
        <f t="shared" ref="Q9:Q15" si="6">B9</f>
        <v>用途</v>
      </c>
      <c r="R9" s="1340" t="s">
        <v>65</v>
      </c>
      <c r="S9" s="1341">
        <f t="shared" si="0"/>
        <v>100</v>
      </c>
      <c r="T9" s="1340" t="s">
        <v>65</v>
      </c>
      <c r="U9" s="1341">
        <f t="shared" si="1"/>
        <v>100</v>
      </c>
      <c r="V9" s="1340" t="s">
        <v>65</v>
      </c>
      <c r="W9" s="1341">
        <f t="shared" si="2"/>
        <v>100</v>
      </c>
      <c r="X9" s="286"/>
      <c r="Y9" s="3434" t="s">
        <v>67</v>
      </c>
      <c r="Z9" s="287" t="str">
        <f t="shared" ref="Z9:Z15" si="7">Q9</f>
        <v>用途</v>
      </c>
      <c r="AA9" s="1342">
        <f t="shared" si="3"/>
        <v>1</v>
      </c>
      <c r="AB9" s="1342">
        <f t="shared" si="4"/>
        <v>1</v>
      </c>
      <c r="AC9" s="1342">
        <f t="shared" si="5"/>
        <v>1</v>
      </c>
    </row>
    <row r="10" spans="1:29" s="92" customFormat="1" ht="28.8">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18"/>
      <c r="Q10" s="7" t="str">
        <f t="shared" si="6"/>
        <v>土地使用年限（年）</v>
      </c>
      <c r="R10" s="1340" t="s">
        <v>65</v>
      </c>
      <c r="S10" s="1341">
        <f t="shared" si="0"/>
        <v>100</v>
      </c>
      <c r="T10" s="1340" t="s">
        <v>65</v>
      </c>
      <c r="U10" s="1341">
        <f t="shared" si="1"/>
        <v>100</v>
      </c>
      <c r="V10" s="1340" t="s">
        <v>65</v>
      </c>
      <c r="W10" s="1341">
        <f t="shared" si="2"/>
        <v>100</v>
      </c>
      <c r="X10" s="286"/>
      <c r="Y10" s="3434"/>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18"/>
      <c r="Q11" s="7" t="str">
        <f t="shared" si="6"/>
        <v>容积率</v>
      </c>
      <c r="R11" s="1340" t="s">
        <v>65</v>
      </c>
      <c r="S11" s="1341" t="e">
        <f t="shared" si="0"/>
        <v>#N/A</v>
      </c>
      <c r="T11" s="1340" t="s">
        <v>65</v>
      </c>
      <c r="U11" s="1341" t="e">
        <f t="shared" si="1"/>
        <v>#N/A</v>
      </c>
      <c r="V11" s="1340" t="s">
        <v>65</v>
      </c>
      <c r="W11" s="1341" t="e">
        <f t="shared" si="2"/>
        <v>#N/A</v>
      </c>
      <c r="X11" s="286"/>
      <c r="Y11" s="3434"/>
      <c r="Z11" s="287" t="str">
        <f t="shared" si="7"/>
        <v>容积率</v>
      </c>
      <c r="AA11" s="1342" t="e">
        <f t="shared" si="3"/>
        <v>#N/A</v>
      </c>
      <c r="AB11" s="1342" t="e">
        <f t="shared" si="4"/>
        <v>#N/A</v>
      </c>
      <c r="AC11" s="1342" t="e">
        <f t="shared" si="5"/>
        <v>#N/A</v>
      </c>
    </row>
    <row r="12" spans="1:29" s="40" customFormat="1" ht="15.6">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18"/>
      <c r="Q12" s="7">
        <f t="shared" si="6"/>
        <v>111</v>
      </c>
      <c r="R12" s="1340" t="s">
        <v>65</v>
      </c>
      <c r="S12" s="1341">
        <f t="shared" si="0"/>
        <v>100</v>
      </c>
      <c r="T12" s="1340" t="s">
        <v>65</v>
      </c>
      <c r="U12" s="1341">
        <f t="shared" si="1"/>
        <v>100</v>
      </c>
      <c r="V12" s="1340" t="s">
        <v>65</v>
      </c>
      <c r="W12" s="1341">
        <f t="shared" si="2"/>
        <v>100</v>
      </c>
      <c r="X12" s="286"/>
      <c r="Y12" s="3434"/>
      <c r="Z12" s="287">
        <f t="shared" si="7"/>
        <v>111</v>
      </c>
      <c r="AA12" s="1342">
        <f>D12/F12</f>
        <v>1</v>
      </c>
      <c r="AB12" s="1342">
        <f>D12/H12</f>
        <v>1</v>
      </c>
      <c r="AC12" s="1342">
        <f>D12/J12</f>
        <v>1</v>
      </c>
    </row>
    <row r="13" spans="1:29" ht="15.6">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18"/>
      <c r="Q13" s="7">
        <f t="shared" si="6"/>
        <v>111</v>
      </c>
      <c r="R13" s="1340" t="s">
        <v>65</v>
      </c>
      <c r="S13" s="1341">
        <f t="shared" si="0"/>
        <v>100</v>
      </c>
      <c r="T13" s="1340" t="s">
        <v>65</v>
      </c>
      <c r="U13" s="1341">
        <f t="shared" si="1"/>
        <v>100</v>
      </c>
      <c r="V13" s="1340" t="s">
        <v>65</v>
      </c>
      <c r="W13" s="1341">
        <f t="shared" si="2"/>
        <v>100</v>
      </c>
      <c r="X13" s="286"/>
      <c r="Y13" s="3434"/>
      <c r="Z13" s="287">
        <f t="shared" si="7"/>
        <v>111</v>
      </c>
      <c r="AA13" s="1342">
        <f t="shared" si="3"/>
        <v>1</v>
      </c>
      <c r="AB13" s="1342">
        <f t="shared" si="4"/>
        <v>1</v>
      </c>
      <c r="AC13" s="1342">
        <f t="shared" si="5"/>
        <v>1</v>
      </c>
    </row>
    <row r="14" spans="1:29" ht="16.2"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18"/>
      <c r="Q14" s="7">
        <f t="shared" si="6"/>
        <v>111</v>
      </c>
      <c r="R14" s="1340" t="s">
        <v>65</v>
      </c>
      <c r="S14" s="1341">
        <f t="shared" si="0"/>
        <v>100</v>
      </c>
      <c r="T14" s="1340" t="s">
        <v>65</v>
      </c>
      <c r="U14" s="1341">
        <f t="shared" si="1"/>
        <v>100</v>
      </c>
      <c r="V14" s="1340" t="s">
        <v>65</v>
      </c>
      <c r="W14" s="1341">
        <f t="shared" si="2"/>
        <v>100</v>
      </c>
      <c r="X14" s="286"/>
      <c r="Y14" s="3434"/>
      <c r="Z14" s="287">
        <f t="shared" si="7"/>
        <v>111</v>
      </c>
      <c r="AA14" s="1342">
        <f t="shared" si="3"/>
        <v>1</v>
      </c>
      <c r="AB14" s="1342">
        <f t="shared" si="4"/>
        <v>1</v>
      </c>
      <c r="AC14" s="1342">
        <f t="shared" si="5"/>
        <v>1</v>
      </c>
    </row>
    <row r="15" spans="1:29" ht="129.6">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20" t="s">
        <v>69</v>
      </c>
      <c r="Q15" s="1349" t="str">
        <f t="shared" si="6"/>
        <v>产业集聚程度</v>
      </c>
      <c r="R15" s="1350" t="s">
        <v>65</v>
      </c>
      <c r="S15" s="1351">
        <f t="shared" si="0"/>
        <v>100</v>
      </c>
      <c r="T15" s="1350" t="s">
        <v>65</v>
      </c>
      <c r="U15" s="1351">
        <f t="shared" si="1"/>
        <v>100</v>
      </c>
      <c r="V15" s="1350" t="s">
        <v>65</v>
      </c>
      <c r="W15" s="1351">
        <f t="shared" si="2"/>
        <v>100</v>
      </c>
      <c r="X15" s="1338"/>
      <c r="Y15" s="3620" t="s">
        <v>69</v>
      </c>
      <c r="Z15" s="1352" t="str">
        <f t="shared" si="7"/>
        <v>产业集聚程度</v>
      </c>
      <c r="AA15" s="1353">
        <f t="shared" si="3"/>
        <v>1</v>
      </c>
      <c r="AB15" s="1353">
        <f t="shared" si="4"/>
        <v>1</v>
      </c>
      <c r="AC15" s="1353">
        <f t="shared" si="5"/>
        <v>1</v>
      </c>
    </row>
    <row r="16" spans="1:29" ht="15.6">
      <c r="A16" s="151"/>
      <c r="B16" s="156"/>
      <c r="C16" s="97"/>
      <c r="D16" s="789"/>
      <c r="E16" s="97"/>
      <c r="F16" s="790"/>
      <c r="G16" s="97"/>
      <c r="H16" s="791"/>
      <c r="I16" s="97"/>
      <c r="J16" s="789"/>
      <c r="K16" s="189"/>
      <c r="L16" s="2299"/>
      <c r="M16" s="2294"/>
      <c r="N16" s="2294"/>
      <c r="O16" s="2338"/>
      <c r="P16" s="3621"/>
      <c r="Q16" s="1349"/>
      <c r="R16" s="1350"/>
      <c r="S16" s="1351"/>
      <c r="T16" s="1350"/>
      <c r="U16" s="1351"/>
      <c r="V16" s="1350"/>
      <c r="W16" s="1351"/>
      <c r="X16" s="1338"/>
      <c r="Y16" s="3621"/>
      <c r="Z16" s="1352"/>
      <c r="AA16" s="1353">
        <v>1</v>
      </c>
      <c r="AB16" s="1353">
        <v>1</v>
      </c>
      <c r="AC16" s="1353">
        <v>1</v>
      </c>
    </row>
    <row r="17" spans="1:29" ht="115.2">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21"/>
      <c r="Q17" s="1349" t="str">
        <f>B17</f>
        <v>交通便捷度</v>
      </c>
      <c r="R17" s="1350" t="s">
        <v>65</v>
      </c>
      <c r="S17" s="1351">
        <f>F17</f>
        <v>100</v>
      </c>
      <c r="T17" s="1350" t="s">
        <v>65</v>
      </c>
      <c r="U17" s="1351">
        <f>H17</f>
        <v>100</v>
      </c>
      <c r="V17" s="1350" t="s">
        <v>65</v>
      </c>
      <c r="W17" s="1351">
        <f>J17</f>
        <v>100</v>
      </c>
      <c r="X17" s="1338"/>
      <c r="Y17" s="3621"/>
      <c r="Z17" s="1352" t="str">
        <f>Q17</f>
        <v>交通便捷度</v>
      </c>
      <c r="AA17" s="1353">
        <f t="shared" si="3"/>
        <v>1</v>
      </c>
      <c r="AB17" s="1353">
        <f t="shared" si="4"/>
        <v>1</v>
      </c>
      <c r="AC17" s="1353">
        <f t="shared" si="5"/>
        <v>1</v>
      </c>
    </row>
    <row r="18" spans="1:29" ht="15.6">
      <c r="A18" s="151"/>
      <c r="B18" s="1038"/>
      <c r="C18" s="102"/>
      <c r="D18" s="791"/>
      <c r="E18" s="103"/>
      <c r="F18" s="794"/>
      <c r="G18" s="104"/>
      <c r="H18" s="789"/>
      <c r="I18" s="103"/>
      <c r="J18" s="789"/>
      <c r="K18" s="189"/>
      <c r="L18" s="2299"/>
      <c r="M18" s="2294"/>
      <c r="N18" s="2294"/>
      <c r="O18" s="2338"/>
      <c r="P18" s="3621"/>
      <c r="Q18" s="1349"/>
      <c r="R18" s="1350"/>
      <c r="S18" s="1351"/>
      <c r="T18" s="1350"/>
      <c r="U18" s="1351"/>
      <c r="V18" s="1350"/>
      <c r="W18" s="1351"/>
      <c r="X18" s="1338"/>
      <c r="Y18" s="3621"/>
      <c r="Z18" s="1352"/>
      <c r="AA18" s="1353">
        <v>1</v>
      </c>
      <c r="AB18" s="1353">
        <v>1</v>
      </c>
      <c r="AC18" s="1353">
        <v>1</v>
      </c>
    </row>
    <row r="19" spans="1:29" ht="115.2">
      <c r="A19" s="151"/>
      <c r="B19" s="1354" t="s">
        <v>2654</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21"/>
      <c r="Q19" s="1349" t="str">
        <f>B19</f>
        <v>公共配套设施</v>
      </c>
      <c r="R19" s="1350" t="s">
        <v>65</v>
      </c>
      <c r="S19" s="1351">
        <f>F19</f>
        <v>100</v>
      </c>
      <c r="T19" s="1350" t="s">
        <v>65</v>
      </c>
      <c r="U19" s="1351">
        <f>H19</f>
        <v>100</v>
      </c>
      <c r="V19" s="1350" t="s">
        <v>65</v>
      </c>
      <c r="W19" s="1351">
        <f>J19</f>
        <v>100</v>
      </c>
      <c r="X19" s="1338"/>
      <c r="Y19" s="3621"/>
      <c r="Z19" s="1352" t="str">
        <f>Q19</f>
        <v>公共配套设施</v>
      </c>
      <c r="AA19" s="1353">
        <f t="shared" si="3"/>
        <v>1</v>
      </c>
      <c r="AB19" s="1353">
        <f t="shared" si="4"/>
        <v>1</v>
      </c>
      <c r="AC19" s="1353">
        <f t="shared" si="5"/>
        <v>1</v>
      </c>
    </row>
    <row r="20" spans="1:29" ht="15.6">
      <c r="A20" s="151"/>
      <c r="B20" s="1038"/>
      <c r="C20" s="97"/>
      <c r="D20" s="789"/>
      <c r="E20" s="98"/>
      <c r="F20" s="790"/>
      <c r="G20" s="99"/>
      <c r="H20" s="789"/>
      <c r="I20" s="98"/>
      <c r="J20" s="789"/>
      <c r="K20" s="189"/>
      <c r="L20" s="2299"/>
      <c r="M20" s="2294"/>
      <c r="N20" s="2294"/>
      <c r="O20" s="2338"/>
      <c r="P20" s="3621"/>
      <c r="Q20" s="1349"/>
      <c r="R20" s="1350"/>
      <c r="S20" s="1351"/>
      <c r="T20" s="1350"/>
      <c r="U20" s="1351"/>
      <c r="V20" s="1350"/>
      <c r="W20" s="1351"/>
      <c r="X20" s="1338"/>
      <c r="Y20" s="3621"/>
      <c r="Z20" s="1352"/>
      <c r="AA20" s="1353">
        <v>1</v>
      </c>
      <c r="AB20" s="1353">
        <v>1</v>
      </c>
      <c r="AC20" s="1353">
        <v>1</v>
      </c>
    </row>
    <row r="21" spans="1:29" ht="28.8">
      <c r="A21" s="151"/>
      <c r="B21" s="1410" t="s">
        <v>2657</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21"/>
      <c r="Q21" s="2744" t="str">
        <f>B21</f>
        <v>基础设施水平</v>
      </c>
      <c r="R21" s="1350" t="s">
        <v>65</v>
      </c>
      <c r="S21" s="1351">
        <f>F21</f>
        <v>100</v>
      </c>
      <c r="T21" s="1350" t="s">
        <v>65</v>
      </c>
      <c r="U21" s="1351">
        <f>H21</f>
        <v>100</v>
      </c>
      <c r="V21" s="1350" t="s">
        <v>65</v>
      </c>
      <c r="W21" s="1351">
        <f>J21</f>
        <v>100</v>
      </c>
      <c r="X21" s="2746"/>
      <c r="Y21" s="3621"/>
      <c r="Z21" s="2745" t="str">
        <f>Q21</f>
        <v>基础设施水平</v>
      </c>
      <c r="AA21" s="1353">
        <f t="shared" ref="AA21" si="8">D21/F21</f>
        <v>1</v>
      </c>
      <c r="AB21" s="1353">
        <f t="shared" ref="AB21" si="9">D21/H21</f>
        <v>1</v>
      </c>
      <c r="AC21" s="1353">
        <f t="shared" ref="AC21" si="10">D21/J21</f>
        <v>1</v>
      </c>
    </row>
    <row r="22" spans="1:29" ht="15.6">
      <c r="A22" s="151"/>
      <c r="B22" s="1410"/>
      <c r="C22" s="102"/>
      <c r="D22" s="789"/>
      <c r="E22" s="97"/>
      <c r="F22" s="790"/>
      <c r="G22" s="97"/>
      <c r="H22" s="789"/>
      <c r="I22" s="97"/>
      <c r="J22" s="789"/>
      <c r="K22" s="2764"/>
      <c r="L22" s="2299"/>
      <c r="M22" s="2294"/>
      <c r="N22" s="2294"/>
      <c r="O22" s="2338"/>
      <c r="P22" s="3621"/>
      <c r="Q22" s="2744"/>
      <c r="R22" s="1350"/>
      <c r="S22" s="1351"/>
      <c r="T22" s="1350"/>
      <c r="U22" s="1351"/>
      <c r="V22" s="1350"/>
      <c r="W22" s="1351"/>
      <c r="X22" s="2746"/>
      <c r="Y22" s="3621"/>
      <c r="Z22" s="2745"/>
      <c r="AA22" s="1353">
        <v>1</v>
      </c>
      <c r="AB22" s="1353">
        <v>1</v>
      </c>
      <c r="AC22" s="1353">
        <v>1</v>
      </c>
    </row>
    <row r="23" spans="1:29" ht="115.2">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21"/>
      <c r="Q23" s="1349" t="str">
        <f>B23</f>
        <v>环境质量</v>
      </c>
      <c r="R23" s="1350" t="s">
        <v>65</v>
      </c>
      <c r="S23" s="1351">
        <f>F23</f>
        <v>100</v>
      </c>
      <c r="T23" s="1350" t="s">
        <v>65</v>
      </c>
      <c r="U23" s="1351">
        <f>H23</f>
        <v>100</v>
      </c>
      <c r="V23" s="1350" t="s">
        <v>65</v>
      </c>
      <c r="W23" s="1351">
        <f>J23</f>
        <v>100</v>
      </c>
      <c r="X23" s="1338"/>
      <c r="Y23" s="3621"/>
      <c r="Z23" s="1352" t="str">
        <f>Q23</f>
        <v>环境质量</v>
      </c>
      <c r="AA23" s="1353">
        <f t="shared" si="3"/>
        <v>1</v>
      </c>
      <c r="AB23" s="1353">
        <f t="shared" si="4"/>
        <v>1</v>
      </c>
      <c r="AC23" s="1353">
        <f t="shared" si="5"/>
        <v>1</v>
      </c>
    </row>
    <row r="24" spans="1:29" ht="15.6">
      <c r="A24" s="151"/>
      <c r="B24" s="1410"/>
      <c r="C24" s="97"/>
      <c r="D24" s="789"/>
      <c r="E24" s="98"/>
      <c r="F24" s="790"/>
      <c r="G24" s="99"/>
      <c r="H24" s="789"/>
      <c r="I24" s="98"/>
      <c r="J24" s="789"/>
      <c r="K24" s="189"/>
      <c r="L24" s="2299"/>
      <c r="M24" s="2294"/>
      <c r="N24" s="2294"/>
      <c r="O24" s="2338"/>
      <c r="P24" s="3621"/>
      <c r="Q24" s="1349"/>
      <c r="R24" s="1350"/>
      <c r="S24" s="1351"/>
      <c r="T24" s="1350"/>
      <c r="U24" s="1351"/>
      <c r="V24" s="1350"/>
      <c r="W24" s="1351"/>
      <c r="X24" s="1338"/>
      <c r="Y24" s="3621"/>
      <c r="Z24" s="1352"/>
      <c r="AA24" s="1353">
        <v>1</v>
      </c>
      <c r="AB24" s="1353">
        <v>1</v>
      </c>
      <c r="AC24" s="1353">
        <v>1</v>
      </c>
    </row>
    <row r="25" spans="1:29" ht="15.6">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21"/>
      <c r="Q25" s="1349">
        <f>B25</f>
        <v>111</v>
      </c>
      <c r="R25" s="1350" t="s">
        <v>65</v>
      </c>
      <c r="S25" s="1351">
        <f>F25</f>
        <v>100</v>
      </c>
      <c r="T25" s="1350" t="s">
        <v>65</v>
      </c>
      <c r="U25" s="1351">
        <f>H25</f>
        <v>100</v>
      </c>
      <c r="V25" s="1350" t="s">
        <v>65</v>
      </c>
      <c r="W25" s="1351">
        <f>J25</f>
        <v>100</v>
      </c>
      <c r="X25" s="1338"/>
      <c r="Y25" s="3621"/>
      <c r="Z25" s="1352">
        <f>Q25</f>
        <v>111</v>
      </c>
      <c r="AA25" s="1353">
        <f t="shared" si="3"/>
        <v>1</v>
      </c>
      <c r="AB25" s="1353">
        <f t="shared" si="4"/>
        <v>1</v>
      </c>
      <c r="AC25" s="1353">
        <f t="shared" si="5"/>
        <v>1</v>
      </c>
    </row>
    <row r="26" spans="1:29" ht="15.6">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21"/>
      <c r="Q26" s="1349">
        <f t="shared" ref="Q26:Q40" si="11">B26</f>
        <v>111</v>
      </c>
      <c r="R26" s="1350" t="s">
        <v>65</v>
      </c>
      <c r="S26" s="1351">
        <f>F26</f>
        <v>100</v>
      </c>
      <c r="T26" s="1350" t="s">
        <v>65</v>
      </c>
      <c r="U26" s="1351">
        <f>H26</f>
        <v>100</v>
      </c>
      <c r="V26" s="1350" t="s">
        <v>65</v>
      </c>
      <c r="W26" s="1351">
        <f>J26</f>
        <v>100</v>
      </c>
      <c r="X26" s="1338"/>
      <c r="Y26" s="3621"/>
      <c r="Z26" s="1352">
        <f>Q26</f>
        <v>111</v>
      </c>
      <c r="AA26" s="1353">
        <f t="shared" si="3"/>
        <v>1</v>
      </c>
      <c r="AB26" s="1353">
        <f t="shared" si="4"/>
        <v>1</v>
      </c>
      <c r="AC26" s="1353">
        <f t="shared" si="5"/>
        <v>1</v>
      </c>
    </row>
    <row r="27" spans="1:29" s="40" customFormat="1" ht="15.6">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21"/>
      <c r="Q27" s="7">
        <f t="shared" si="11"/>
        <v>111</v>
      </c>
      <c r="R27" s="1340" t="s">
        <v>65</v>
      </c>
      <c r="S27" s="1341">
        <f>F27</f>
        <v>100</v>
      </c>
      <c r="T27" s="1340" t="s">
        <v>65</v>
      </c>
      <c r="U27" s="1341">
        <f>H27</f>
        <v>100</v>
      </c>
      <c r="V27" s="1340" t="s">
        <v>65</v>
      </c>
      <c r="W27" s="1341">
        <f>J27</f>
        <v>100</v>
      </c>
      <c r="X27" s="286"/>
      <c r="Y27" s="3621"/>
      <c r="Z27" s="287">
        <f>Q27</f>
        <v>111</v>
      </c>
      <c r="AA27" s="1353">
        <f>D27/F27</f>
        <v>1</v>
      </c>
      <c r="AB27" s="1353">
        <f>D27/H27</f>
        <v>1</v>
      </c>
      <c r="AC27" s="1353">
        <f>D27/J27</f>
        <v>1</v>
      </c>
    </row>
    <row r="28" spans="1:29" ht="16.2"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21"/>
      <c r="Q28" s="1349">
        <f t="shared" si="11"/>
        <v>111</v>
      </c>
      <c r="R28" s="1350" t="s">
        <v>65</v>
      </c>
      <c r="S28" s="1351">
        <f t="shared" ref="S28:S40" si="12">F28</f>
        <v>100</v>
      </c>
      <c r="T28" s="1350" t="s">
        <v>65</v>
      </c>
      <c r="U28" s="1351">
        <f t="shared" ref="U28:U40" si="13">H28</f>
        <v>100</v>
      </c>
      <c r="V28" s="1350" t="s">
        <v>65</v>
      </c>
      <c r="W28" s="1351">
        <f t="shared" ref="W28:W40" si="14">J28</f>
        <v>100</v>
      </c>
      <c r="X28" s="1338"/>
      <c r="Y28" s="3621"/>
      <c r="Z28" s="1352">
        <f t="shared" ref="Z28:Z40" si="15">Q28</f>
        <v>111</v>
      </c>
      <c r="AA28" s="1353">
        <f t="shared" si="3"/>
        <v>1</v>
      </c>
      <c r="AB28" s="1353">
        <f t="shared" si="4"/>
        <v>1</v>
      </c>
      <c r="AC28" s="1353">
        <f t="shared" si="5"/>
        <v>1</v>
      </c>
    </row>
    <row r="29" spans="1:29" ht="30">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6" t="s">
        <v>1123</v>
      </c>
      <c r="Q29" s="1349" t="str">
        <f t="shared" si="11"/>
        <v>建筑类型</v>
      </c>
      <c r="R29" s="1350" t="s">
        <v>65</v>
      </c>
      <c r="S29" s="1351">
        <f t="shared" si="12"/>
        <v>100</v>
      </c>
      <c r="T29" s="1350" t="s">
        <v>65</v>
      </c>
      <c r="U29" s="1351">
        <f t="shared" si="13"/>
        <v>100</v>
      </c>
      <c r="V29" s="1350" t="s">
        <v>65</v>
      </c>
      <c r="W29" s="1351">
        <f t="shared" si="14"/>
        <v>100</v>
      </c>
      <c r="X29" s="1338"/>
      <c r="Y29" s="3625" t="s">
        <v>1123</v>
      </c>
      <c r="Z29" s="1352" t="str">
        <f t="shared" si="15"/>
        <v>建筑类型</v>
      </c>
      <c r="AA29" s="1353">
        <f t="shared" si="3"/>
        <v>1</v>
      </c>
      <c r="AB29" s="1353">
        <f t="shared" si="4"/>
        <v>1</v>
      </c>
      <c r="AC29" s="1353">
        <f t="shared" si="5"/>
        <v>1</v>
      </c>
    </row>
    <row r="30" spans="1:29" s="1037" customFormat="1" ht="15.6">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25"/>
      <c r="Q30" s="1357" t="str">
        <f t="shared" si="11"/>
        <v>项目建筑规模</v>
      </c>
      <c r="R30" s="1358" t="s">
        <v>65</v>
      </c>
      <c r="S30" s="1359" t="e">
        <f t="shared" si="12"/>
        <v>#N/A</v>
      </c>
      <c r="T30" s="1358" t="s">
        <v>65</v>
      </c>
      <c r="U30" s="1359" t="e">
        <f t="shared" si="13"/>
        <v>#N/A</v>
      </c>
      <c r="V30" s="1358" t="s">
        <v>65</v>
      </c>
      <c r="W30" s="1359" t="e">
        <f t="shared" si="14"/>
        <v>#N/A</v>
      </c>
      <c r="X30" s="1360"/>
      <c r="Y30" s="3625"/>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25"/>
      <c r="Q31" s="1349" t="str">
        <f t="shared" si="11"/>
        <v>建筑结构</v>
      </c>
      <c r="R31" s="1350" t="s">
        <v>65</v>
      </c>
      <c r="S31" s="1351">
        <f t="shared" si="12"/>
        <v>100</v>
      </c>
      <c r="T31" s="1350" t="s">
        <v>65</v>
      </c>
      <c r="U31" s="1351">
        <f t="shared" si="13"/>
        <v>100</v>
      </c>
      <c r="V31" s="1350" t="s">
        <v>65</v>
      </c>
      <c r="W31" s="1351">
        <f t="shared" si="14"/>
        <v>100</v>
      </c>
      <c r="X31" s="1338"/>
      <c r="Y31" s="3625"/>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25"/>
      <c r="Q32" s="1349" t="str">
        <f t="shared" si="11"/>
        <v>公共部分装修</v>
      </c>
      <c r="R32" s="1350" t="s">
        <v>65</v>
      </c>
      <c r="S32" s="1351">
        <f t="shared" si="12"/>
        <v>100</v>
      </c>
      <c r="T32" s="1350" t="s">
        <v>65</v>
      </c>
      <c r="U32" s="1351">
        <f t="shared" si="13"/>
        <v>100</v>
      </c>
      <c r="V32" s="1350" t="s">
        <v>65</v>
      </c>
      <c r="W32" s="1351">
        <f t="shared" si="14"/>
        <v>100</v>
      </c>
      <c r="X32" s="1338"/>
      <c r="Y32" s="3625"/>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25"/>
      <c r="Q33" s="1349" t="str">
        <f t="shared" si="11"/>
        <v>成新度</v>
      </c>
      <c r="R33" s="1350" t="s">
        <v>65</v>
      </c>
      <c r="S33" s="1351" t="e">
        <f t="shared" si="12"/>
        <v>#N/A</v>
      </c>
      <c r="T33" s="1350" t="s">
        <v>65</v>
      </c>
      <c r="U33" s="1351" t="e">
        <f t="shared" si="13"/>
        <v>#N/A</v>
      </c>
      <c r="V33" s="1350" t="s">
        <v>65</v>
      </c>
      <c r="W33" s="1351" t="e">
        <f t="shared" si="14"/>
        <v>#N/A</v>
      </c>
      <c r="X33" s="1338"/>
      <c r="Y33" s="3625"/>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25"/>
      <c r="Q34" s="7" t="str">
        <f t="shared" si="11"/>
        <v>物业管理</v>
      </c>
      <c r="R34" s="1340" t="s">
        <v>65</v>
      </c>
      <c r="S34" s="1341">
        <f t="shared" si="12"/>
        <v>100</v>
      </c>
      <c r="T34" s="1340" t="s">
        <v>65</v>
      </c>
      <c r="U34" s="1341">
        <f t="shared" si="13"/>
        <v>100</v>
      </c>
      <c r="V34" s="1340" t="s">
        <v>65</v>
      </c>
      <c r="W34" s="1341">
        <f t="shared" si="14"/>
        <v>100</v>
      </c>
      <c r="X34" s="286"/>
      <c r="Y34" s="3625"/>
      <c r="Z34" s="287" t="str">
        <f t="shared" si="15"/>
        <v>物业管理</v>
      </c>
      <c r="AA34" s="1342">
        <f t="shared" si="3"/>
        <v>1</v>
      </c>
      <c r="AB34" s="1342">
        <f t="shared" si="4"/>
        <v>1</v>
      </c>
      <c r="AC34" s="1342">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25" t="s">
        <v>70</v>
      </c>
      <c r="Q35" s="1349" t="str">
        <f t="shared" si="11"/>
        <v>市政基础设施</v>
      </c>
      <c r="R35" s="1350" t="s">
        <v>65</v>
      </c>
      <c r="S35" s="1351">
        <f t="shared" si="12"/>
        <v>100</v>
      </c>
      <c r="T35" s="1350" t="s">
        <v>65</v>
      </c>
      <c r="U35" s="1351">
        <f t="shared" si="13"/>
        <v>100</v>
      </c>
      <c r="V35" s="1350" t="s">
        <v>65</v>
      </c>
      <c r="W35" s="1351">
        <f t="shared" si="14"/>
        <v>100</v>
      </c>
      <c r="X35" s="1338"/>
      <c r="Y35" s="3625"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25"/>
      <c r="Q36" s="1349" t="str">
        <f t="shared" si="11"/>
        <v>内部装修</v>
      </c>
      <c r="R36" s="1350" t="s">
        <v>65</v>
      </c>
      <c r="S36" s="1351">
        <f t="shared" si="12"/>
        <v>100</v>
      </c>
      <c r="T36" s="1350" t="s">
        <v>65</v>
      </c>
      <c r="U36" s="1351">
        <f t="shared" si="13"/>
        <v>100</v>
      </c>
      <c r="V36" s="1350" t="s">
        <v>65</v>
      </c>
      <c r="W36" s="1351">
        <f t="shared" si="14"/>
        <v>100</v>
      </c>
      <c r="X36" s="1338"/>
      <c r="Y36" s="3625"/>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25"/>
      <c r="Q37" s="1349" t="str">
        <f t="shared" si="11"/>
        <v>内部装修状况</v>
      </c>
      <c r="R37" s="1350" t="s">
        <v>65</v>
      </c>
      <c r="S37" s="1351">
        <f t="shared" si="12"/>
        <v>100</v>
      </c>
      <c r="T37" s="1350" t="s">
        <v>65</v>
      </c>
      <c r="U37" s="1351">
        <f t="shared" si="13"/>
        <v>100</v>
      </c>
      <c r="V37" s="1350" t="s">
        <v>65</v>
      </c>
      <c r="W37" s="1351">
        <f t="shared" si="14"/>
        <v>100</v>
      </c>
      <c r="X37" s="1338"/>
      <c r="Y37" s="3625"/>
      <c r="Z37" s="1352" t="str">
        <f t="shared" si="15"/>
        <v>内部装修状况</v>
      </c>
      <c r="AA37" s="1353">
        <f t="shared" si="3"/>
        <v>1</v>
      </c>
      <c r="AB37" s="1353">
        <f t="shared" si="4"/>
        <v>1</v>
      </c>
      <c r="AC37" s="1353">
        <f t="shared" si="5"/>
        <v>1</v>
      </c>
    </row>
    <row r="38" spans="1:29" s="1037" customFormat="1" ht="15.6">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25"/>
      <c r="Q38" s="1357">
        <f t="shared" si="11"/>
        <v>111</v>
      </c>
      <c r="R38" s="1358" t="s">
        <v>65</v>
      </c>
      <c r="S38" s="1359">
        <f t="shared" si="12"/>
        <v>100</v>
      </c>
      <c r="T38" s="1358" t="s">
        <v>65</v>
      </c>
      <c r="U38" s="1359">
        <f t="shared" si="13"/>
        <v>100</v>
      </c>
      <c r="V38" s="1358" t="s">
        <v>65</v>
      </c>
      <c r="W38" s="1359">
        <f t="shared" si="14"/>
        <v>100</v>
      </c>
      <c r="X38" s="1360"/>
      <c r="Y38" s="3625"/>
      <c r="Z38" s="1361">
        <f t="shared" si="15"/>
        <v>111</v>
      </c>
      <c r="AA38" s="1353">
        <f t="shared" si="3"/>
        <v>1</v>
      </c>
      <c r="AB38" s="1353">
        <f t="shared" si="4"/>
        <v>1</v>
      </c>
      <c r="AC38" s="1353">
        <f t="shared" si="5"/>
        <v>1</v>
      </c>
    </row>
    <row r="39" spans="1:29" ht="15.6">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25"/>
      <c r="Q39" s="1349">
        <f t="shared" si="11"/>
        <v>111</v>
      </c>
      <c r="R39" s="1350" t="s">
        <v>65</v>
      </c>
      <c r="S39" s="1351">
        <f t="shared" si="12"/>
        <v>100</v>
      </c>
      <c r="T39" s="1350" t="s">
        <v>65</v>
      </c>
      <c r="U39" s="1351">
        <f t="shared" si="13"/>
        <v>100</v>
      </c>
      <c r="V39" s="1350" t="s">
        <v>65</v>
      </c>
      <c r="W39" s="1351">
        <f t="shared" si="14"/>
        <v>100</v>
      </c>
      <c r="X39" s="1338"/>
      <c r="Y39" s="3625"/>
      <c r="Z39" s="1352">
        <f t="shared" si="15"/>
        <v>111</v>
      </c>
      <c r="AA39" s="1353">
        <f t="shared" si="3"/>
        <v>1</v>
      </c>
      <c r="AB39" s="1353">
        <f t="shared" si="4"/>
        <v>1</v>
      </c>
      <c r="AC39" s="1353">
        <f t="shared" si="5"/>
        <v>1</v>
      </c>
    </row>
    <row r="40" spans="1:29" ht="16.2"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26"/>
      <c r="Q40" s="1349">
        <f t="shared" si="11"/>
        <v>111</v>
      </c>
      <c r="R40" s="1350" t="s">
        <v>65</v>
      </c>
      <c r="S40" s="1351">
        <f t="shared" si="12"/>
        <v>100</v>
      </c>
      <c r="T40" s="1350" t="s">
        <v>65</v>
      </c>
      <c r="U40" s="1351">
        <f t="shared" si="13"/>
        <v>100</v>
      </c>
      <c r="V40" s="1350" t="s">
        <v>65</v>
      </c>
      <c r="W40" s="1351">
        <f t="shared" si="14"/>
        <v>100</v>
      </c>
      <c r="X40" s="1338"/>
      <c r="Y40" s="3626"/>
      <c r="Z40" s="1352">
        <f t="shared" si="15"/>
        <v>111</v>
      </c>
      <c r="AA40" s="1353">
        <f t="shared" si="3"/>
        <v>1</v>
      </c>
      <c r="AB40" s="1353">
        <f t="shared" si="4"/>
        <v>1</v>
      </c>
      <c r="AC40" s="1353">
        <f t="shared" si="5"/>
        <v>1</v>
      </c>
    </row>
    <row r="41" spans="1:29">
      <c r="A41" s="163" t="s">
        <v>102</v>
      </c>
      <c r="B41" s="164"/>
      <c r="C41" s="2831" t="s">
        <v>23</v>
      </c>
      <c r="D41" s="2832"/>
      <c r="E41" s="2833"/>
      <c r="F41" s="2834"/>
      <c r="G41" s="2835"/>
      <c r="H41" s="2836"/>
      <c r="I41" s="2833"/>
      <c r="J41" s="2836"/>
      <c r="K41" s="1391"/>
      <c r="L41" s="2301"/>
      <c r="M41" s="2302"/>
      <c r="N41" s="2294"/>
      <c r="O41" s="2302"/>
      <c r="P41" s="3618" t="str">
        <f>A41</f>
        <v>成交单价（元/平方米）</v>
      </c>
      <c r="Q41" s="3618"/>
      <c r="R41" s="3619">
        <f>E41</f>
        <v>0</v>
      </c>
      <c r="S41" s="3619"/>
      <c r="T41" s="3619">
        <f>G41</f>
        <v>0</v>
      </c>
      <c r="U41" s="3619"/>
      <c r="V41" s="3619">
        <f>I41</f>
        <v>0</v>
      </c>
      <c r="W41" s="3619"/>
      <c r="X41" s="1363"/>
      <c r="Y41" s="1364"/>
      <c r="Z41" s="1363"/>
      <c r="AA41" s="1363"/>
      <c r="AB41" s="1363"/>
      <c r="AC41" s="1363"/>
    </row>
    <row r="42" spans="1:29" ht="1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18" t="str">
        <f>A42</f>
        <v>比较价值（元/平方米）</v>
      </c>
      <c r="Q42" s="3618"/>
      <c r="R42" s="3619" t="e">
        <f>IF(F1="售价",ROUND(PRODUCT(R41,AA7:AA40),0),ROUND(PRODUCT(R41,AA7:AA40),1))</f>
        <v>#DIV/0!</v>
      </c>
      <c r="S42" s="3619"/>
      <c r="T42" s="3619" t="e">
        <f>IF(F1="售价",ROUND(PRODUCT(T41,AB7:AB40),0),ROUND(PRODUCT(T41,AB7:AB40),1))</f>
        <v>#DIV/0!</v>
      </c>
      <c r="U42" s="3619"/>
      <c r="V42" s="3619" t="e">
        <f>IF(F1="售价",ROUND(PRODUCT(V41,AC7:AC40),0),ROUND(PRODUCT(V41,AC7:AC40),1))</f>
        <v>#DIV/0!</v>
      </c>
      <c r="W42" s="3619"/>
      <c r="X42" s="1363"/>
      <c r="Y42" s="1363"/>
      <c r="Z42" s="1363"/>
      <c r="AA42" s="1363"/>
      <c r="AB42" s="1363"/>
      <c r="AC42" s="1363"/>
    </row>
    <row r="43" spans="1:29" ht="15" thickBot="1">
      <c r="A43" s="115" t="s">
        <v>3005</v>
      </c>
      <c r="B43" s="116"/>
      <c r="C43" s="2841" t="e">
        <f>R43</f>
        <v>#DIV/0!</v>
      </c>
      <c r="D43" s="2841"/>
      <c r="E43" s="2841"/>
      <c r="F43" s="2841"/>
      <c r="G43" s="2841"/>
      <c r="H43" s="2841"/>
      <c r="I43" s="2841"/>
      <c r="J43" s="2841"/>
      <c r="K43" s="1393"/>
      <c r="L43" s="2301"/>
      <c r="M43" s="2302"/>
      <c r="N43" s="2302"/>
      <c r="O43" s="2302"/>
      <c r="P43" s="3615" t="str">
        <f>A43</f>
        <v>估价对象XX用房的比较价值（楼面单价，元/平方米）</v>
      </c>
      <c r="Q43" s="3616"/>
      <c r="R43" s="3617" t="e">
        <f>IF(F1="售价",ROUND(AVERAGE(R42:V42),0),ROUND(AVERAGE(R42:V42),1))</f>
        <v>#DIV/0!</v>
      </c>
      <c r="S43" s="3617"/>
      <c r="T43" s="3617"/>
      <c r="U43" s="3617"/>
      <c r="V43" s="3617"/>
      <c r="W43" s="3617"/>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c r="A52" s="846" t="s">
        <v>2785</v>
      </c>
      <c r="B52" s="847"/>
      <c r="C52" s="3039" t="str">
        <f>YEAR(C7)&amp;"-"&amp;MONTH(C7)</f>
        <v>2018-10</v>
      </c>
      <c r="D52" s="3040">
        <f>EDATE(C52,-1)</f>
        <v>43344</v>
      </c>
      <c r="E52" s="3040">
        <f t="shared" ref="E52:O52" si="16">EDATE(D52,-1)</f>
        <v>43313</v>
      </c>
      <c r="F52" s="3040">
        <f t="shared" si="16"/>
        <v>43282</v>
      </c>
      <c r="G52" s="3040">
        <f t="shared" si="16"/>
        <v>43252</v>
      </c>
      <c r="H52" s="3040">
        <f t="shared" si="16"/>
        <v>43221</v>
      </c>
      <c r="I52" s="3040">
        <f t="shared" si="16"/>
        <v>43191</v>
      </c>
      <c r="J52" s="3040">
        <f t="shared" si="16"/>
        <v>43160</v>
      </c>
      <c r="K52" s="3040">
        <f t="shared" si="16"/>
        <v>43132</v>
      </c>
      <c r="L52" s="3040">
        <f t="shared" si="16"/>
        <v>43101</v>
      </c>
      <c r="M52" s="3040">
        <f t="shared" si="16"/>
        <v>43070</v>
      </c>
      <c r="N52" s="3040">
        <f t="shared" si="16"/>
        <v>43040</v>
      </c>
      <c r="O52" s="3040">
        <f t="shared" si="16"/>
        <v>43009</v>
      </c>
      <c r="P52" s="848"/>
    </row>
    <row r="53" spans="1:17" s="40" customFormat="1">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9.4"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2629</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2657</v>
      </c>
      <c r="C76" s="213" t="s">
        <v>2649</v>
      </c>
      <c r="D76" s="213" t="s">
        <v>2650</v>
      </c>
      <c r="E76" s="213" t="s">
        <v>2651</v>
      </c>
      <c r="F76" s="213" t="s">
        <v>2652</v>
      </c>
      <c r="G76" s="213" t="s">
        <v>2653</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5" thickTop="1">
      <c r="A102" s="175"/>
      <c r="B102" s="1052" t="s">
        <v>2631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9.4"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4.4"/>
  <cols>
    <col min="1" max="1" width="84" customWidth="1"/>
  </cols>
  <sheetData>
    <row r="1" spans="1:1" ht="22.2">
      <c r="A1" s="1943" t="s">
        <v>2005</v>
      </c>
    </row>
    <row r="2" spans="1:1">
      <c r="A2" s="1944"/>
    </row>
    <row r="3" spans="1:1" ht="17.399999999999999">
      <c r="A3" s="2884" t="str">
        <f>项目基本情况!B5&amp;"："</f>
        <v>北京小米电子产品有限公司：</v>
      </c>
    </row>
    <row r="4" spans="1:1" ht="34.799999999999997">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7.399999999999999">
      <c r="A5" s="1946" t="s">
        <v>2006</v>
      </c>
    </row>
    <row r="6" spans="1:1" ht="17.399999999999999">
      <c r="A6" s="3050" t="s">
        <v>2861</v>
      </c>
    </row>
    <row r="7" spans="1:1" ht="104.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2.2">
      <c r="A8" s="1989" t="s">
        <v>2855</v>
      </c>
    </row>
    <row r="9" spans="1:1" ht="17.399999999999999">
      <c r="A9" s="3050" t="s">
        <v>2862</v>
      </c>
    </row>
    <row r="10" spans="1:1" ht="121.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69.599999999999994">
      <c r="A11" s="1989" t="s">
        <v>2896</v>
      </c>
    </row>
    <row r="12" spans="1:1" ht="17.399999999999999">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7.399999999999999">
      <c r="A14" s="1948" t="s">
        <v>2008</v>
      </c>
    </row>
    <row r="15" spans="1:1" ht="17.399999999999999">
      <c r="A15" s="1949" t="str">
        <f>TEXT(项目基本情况!D3,"yyyy年m月d日;;")&amp;IF(项目基本情况!D3=项目基本情况!B3,"（评估专业人员实地查勘之日）","")</f>
        <v>2018年10月12日（评估专业人员实地查勘之日）</v>
      </c>
    </row>
    <row r="16" spans="1:1" ht="17.399999999999999">
      <c r="A16" s="1948" t="s">
        <v>2010</v>
      </c>
    </row>
    <row r="17" spans="1:1" ht="69.599999999999994">
      <c r="A17" s="1945" t="s">
        <v>2856</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48" t="s">
        <v>2025</v>
      </c>
    </row>
    <row r="24" spans="1:1" ht="17.399999999999999">
      <c r="A24" s="1952" t="str">
        <f>"本次评估采用的主估价方法为"&amp;结果表!K4&amp;"和"&amp;结果表!L4&amp;"。"</f>
        <v>本次评估采用的主估价方法为成本法和假设开发法。</v>
      </c>
    </row>
    <row r="25" spans="1:1" ht="17.399999999999999">
      <c r="A25" s="1952"/>
    </row>
    <row r="26" spans="1:1" ht="17.399999999999999">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ColWidth="9" defaultRowHeight="13.8"/>
  <cols>
    <col min="1" max="1" width="10.44140625" style="744" customWidth="1"/>
    <col min="2" max="2" width="15.77734375" style="744" customWidth="1"/>
    <col min="3" max="3" width="14.33203125" style="744" customWidth="1"/>
    <col min="4" max="4" width="12.21875" style="744" customWidth="1"/>
    <col min="5" max="5" width="14.33203125" style="744" customWidth="1"/>
    <col min="6" max="6" width="12.21875" style="744" customWidth="1"/>
    <col min="7" max="7" width="14.44140625" style="744" customWidth="1"/>
    <col min="8" max="8" width="12.21875" style="744" customWidth="1"/>
    <col min="9" max="9" width="15.44140625" style="744" customWidth="1"/>
    <col min="10" max="10" width="12.21875" style="744" customWidth="1"/>
    <col min="11" max="11" width="12.21875" style="836" customWidth="1"/>
    <col min="12" max="12" width="12.21875" style="837" customWidth="1"/>
    <col min="13" max="15" width="12.21875" style="744" customWidth="1"/>
    <col min="16" max="16" width="4.77734375" style="2220" customWidth="1"/>
    <col min="17" max="17" width="19.44140625" style="744" customWidth="1"/>
    <col min="18" max="22" width="6.109375" style="744" customWidth="1"/>
    <col min="23" max="23" width="5.77734375" style="744" customWidth="1"/>
    <col min="24" max="24" width="4.21875" style="744" customWidth="1"/>
    <col min="25" max="25" width="3.44140625" style="744" customWidth="1"/>
    <col min="26" max="26" width="19.77734375" style="744" customWidth="1"/>
    <col min="27" max="28" width="9.3320312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4.4">
      <c r="A4" s="742" t="s">
        <v>447</v>
      </c>
      <c r="B4" s="743"/>
      <c r="C4" s="3689" t="s">
        <v>448</v>
      </c>
      <c r="D4" s="3690"/>
      <c r="E4" s="3691" t="s">
        <v>449</v>
      </c>
      <c r="F4" s="3692"/>
      <c r="G4" s="3689" t="s">
        <v>450</v>
      </c>
      <c r="H4" s="3690"/>
      <c r="I4" s="3689" t="s">
        <v>451</v>
      </c>
      <c r="J4" s="3690"/>
      <c r="K4" s="951" t="s">
        <v>452</v>
      </c>
      <c r="L4" s="2346"/>
      <c r="M4" s="2347"/>
      <c r="N4" s="2347"/>
      <c r="O4" s="2347"/>
      <c r="P4" s="3693" t="s">
        <v>453</v>
      </c>
      <c r="Q4" s="3694"/>
      <c r="R4" s="3699" t="s">
        <v>449</v>
      </c>
      <c r="S4" s="3700"/>
      <c r="T4" s="3699" t="s">
        <v>450</v>
      </c>
      <c r="U4" s="3700"/>
      <c r="V4" s="3705" t="s">
        <v>451</v>
      </c>
      <c r="W4" s="3705"/>
      <c r="X4" s="2828"/>
      <c r="Y4" s="3699" t="s">
        <v>453</v>
      </c>
      <c r="Z4" s="3700"/>
      <c r="AA4" s="3686" t="s">
        <v>449</v>
      </c>
      <c r="AB4" s="3687" t="s">
        <v>450</v>
      </c>
      <c r="AC4" s="3686" t="s">
        <v>451</v>
      </c>
    </row>
    <row r="5" spans="1:29">
      <c r="A5" s="745"/>
      <c r="B5" s="746"/>
      <c r="C5" s="3708" t="s">
        <v>3006</v>
      </c>
      <c r="D5" s="3709"/>
      <c r="E5" s="3715" t="s">
        <v>3007</v>
      </c>
      <c r="F5" s="3716"/>
      <c r="G5" s="3708" t="s">
        <v>3008</v>
      </c>
      <c r="H5" s="3709"/>
      <c r="I5" s="3708" t="s">
        <v>3009</v>
      </c>
      <c r="J5" s="3709"/>
      <c r="K5" s="951"/>
      <c r="L5" s="2346"/>
      <c r="M5" s="2347"/>
      <c r="N5" s="2347"/>
      <c r="O5" s="2347"/>
      <c r="P5" s="3695"/>
      <c r="Q5" s="3696"/>
      <c r="R5" s="3701"/>
      <c r="S5" s="3702"/>
      <c r="T5" s="3701"/>
      <c r="U5" s="3702"/>
      <c r="V5" s="3705"/>
      <c r="W5" s="3705"/>
      <c r="X5" s="2828"/>
      <c r="Y5" s="3701"/>
      <c r="Z5" s="3702"/>
      <c r="AA5" s="3687"/>
      <c r="AB5" s="3687"/>
      <c r="AC5" s="3687"/>
    </row>
    <row r="6" spans="1:29" ht="15" thickBot="1">
      <c r="A6" s="747"/>
      <c r="B6" s="748"/>
      <c r="C6" s="3706" t="s">
        <v>3010</v>
      </c>
      <c r="D6" s="3707"/>
      <c r="E6" s="3713" t="s">
        <v>3010</v>
      </c>
      <c r="F6" s="3714"/>
      <c r="G6" s="3706" t="s">
        <v>3010</v>
      </c>
      <c r="H6" s="3707"/>
      <c r="I6" s="3706" t="s">
        <v>3010</v>
      </c>
      <c r="J6" s="3707"/>
      <c r="K6" s="951" t="s">
        <v>395</v>
      </c>
      <c r="L6" s="2346"/>
      <c r="M6" s="2347"/>
      <c r="N6" s="2347"/>
      <c r="O6" s="2347"/>
      <c r="P6" s="3697"/>
      <c r="Q6" s="3698"/>
      <c r="R6" s="3701"/>
      <c r="S6" s="3702"/>
      <c r="T6" s="3703"/>
      <c r="U6" s="3704"/>
      <c r="V6" s="3705"/>
      <c r="W6" s="3705"/>
      <c r="X6" s="2828"/>
      <c r="Y6" s="3703"/>
      <c r="Z6" s="3704"/>
      <c r="AA6" s="3688"/>
      <c r="AB6" s="3688"/>
      <c r="AC6" s="3688"/>
    </row>
    <row r="7" spans="1:29" s="406" customFormat="1" ht="15" thickBot="1">
      <c r="A7" s="749" t="s">
        <v>396</v>
      </c>
      <c r="B7" s="750"/>
      <c r="C7" s="751">
        <f>'数据-取费表'!B2</f>
        <v>43385</v>
      </c>
      <c r="D7" s="752">
        <v>100</v>
      </c>
      <c r="E7" s="753"/>
      <c r="F7" s="754">
        <f>SUMIF(48:48,YEAR(E7)&amp;"-"&amp;MONTH(E7),49:49)</f>
        <v>0</v>
      </c>
      <c r="G7" s="753"/>
      <c r="H7" s="752">
        <f>SUMIF(48:48,YEAR(G7)&amp;"-"&amp;MONTH(G7),49:49)</f>
        <v>0</v>
      </c>
      <c r="I7" s="753"/>
      <c r="J7" s="752">
        <f>SUMIF(48:48,YEAR(I7)&amp;"-"&amp;MONTH(I7),49:49)</f>
        <v>0</v>
      </c>
      <c r="K7" s="952"/>
      <c r="L7" s="2348"/>
      <c r="M7" s="2349"/>
      <c r="N7" s="2349"/>
      <c r="O7" s="2349"/>
      <c r="P7" s="3710" t="s">
        <v>397</v>
      </c>
      <c r="Q7" s="3712"/>
      <c r="R7" s="1317" t="s">
        <v>65</v>
      </c>
      <c r="S7" s="1318">
        <f t="shared" ref="S7:S14" si="0">F7</f>
        <v>0</v>
      </c>
      <c r="T7" s="1317" t="s">
        <v>65</v>
      </c>
      <c r="U7" s="1318">
        <f t="shared" ref="U7:U14" si="1">H7</f>
        <v>0</v>
      </c>
      <c r="V7" s="1317" t="s">
        <v>65</v>
      </c>
      <c r="W7" s="1318">
        <f t="shared" ref="W7:W14" si="2">J7</f>
        <v>0</v>
      </c>
      <c r="X7" s="1319"/>
      <c r="Y7" s="3710" t="s">
        <v>397</v>
      </c>
      <c r="Z7" s="3711"/>
      <c r="AA7" s="1320" t="e">
        <f>D7/F7</f>
        <v>#DIV/0!</v>
      </c>
      <c r="AB7" s="1320" t="e">
        <f>D7/H7</f>
        <v>#DIV/0!</v>
      </c>
      <c r="AC7" s="1320" t="e">
        <f>D7/J7</f>
        <v>#DIV/0!</v>
      </c>
    </row>
    <row r="8" spans="1:29" s="406" customFormat="1" ht="1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710" t="s">
        <v>433</v>
      </c>
      <c r="Q8" s="3711"/>
      <c r="R8" s="1317" t="s">
        <v>65</v>
      </c>
      <c r="S8" s="1318">
        <f t="shared" si="0"/>
        <v>0</v>
      </c>
      <c r="T8" s="1317" t="s">
        <v>65</v>
      </c>
      <c r="U8" s="1318">
        <f t="shared" si="1"/>
        <v>0</v>
      </c>
      <c r="V8" s="1317" t="s">
        <v>65</v>
      </c>
      <c r="W8" s="1318">
        <f t="shared" si="2"/>
        <v>0</v>
      </c>
      <c r="X8" s="1319"/>
      <c r="Y8" s="3710" t="s">
        <v>433</v>
      </c>
      <c r="Z8" s="3711"/>
      <c r="AA8" s="1320" t="e">
        <f t="shared" ref="AA8:AA36" si="3">D8/F8</f>
        <v>#DIV/0!</v>
      </c>
      <c r="AB8" s="1320" t="e">
        <f t="shared" ref="AB8:AB36" si="4">D8/H8</f>
        <v>#DIV/0!</v>
      </c>
      <c r="AC8" s="1320" t="e">
        <f t="shared" ref="AC8:AC36" si="5">D8/J8</f>
        <v>#DIV/0!</v>
      </c>
    </row>
    <row r="9" spans="1:29" s="406" customFormat="1" ht="14.4">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77" t="s">
        <v>400</v>
      </c>
      <c r="Q9" s="2827" t="str">
        <f t="shared" ref="Q9:Q14" si="6">B9</f>
        <v>用途</v>
      </c>
      <c r="R9" s="1317" t="s">
        <v>65</v>
      </c>
      <c r="S9" s="1318">
        <f t="shared" si="0"/>
        <v>100</v>
      </c>
      <c r="T9" s="1317" t="s">
        <v>65</v>
      </c>
      <c r="U9" s="1318">
        <f t="shared" si="1"/>
        <v>100</v>
      </c>
      <c r="V9" s="1317" t="s">
        <v>65</v>
      </c>
      <c r="W9" s="1318">
        <f t="shared" si="2"/>
        <v>100</v>
      </c>
      <c r="X9" s="1319"/>
      <c r="Y9" s="3483" t="s">
        <v>401</v>
      </c>
      <c r="Z9" s="343" t="str">
        <f t="shared" ref="Z9:Z14" si="7">Q9</f>
        <v>用途</v>
      </c>
      <c r="AA9" s="1320">
        <f t="shared" si="3"/>
        <v>1</v>
      </c>
      <c r="AB9" s="1320">
        <f t="shared" si="4"/>
        <v>1</v>
      </c>
      <c r="AC9" s="1320">
        <f t="shared" si="5"/>
        <v>1</v>
      </c>
    </row>
    <row r="10" spans="1:29" s="768" customFormat="1" ht="28.8">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77"/>
      <c r="Q10" s="2827" t="str">
        <f t="shared" si="6"/>
        <v>土地使用年限（年）</v>
      </c>
      <c r="R10" s="1317" t="s">
        <v>65</v>
      </c>
      <c r="S10" s="1318">
        <f t="shared" si="0"/>
        <v>100</v>
      </c>
      <c r="T10" s="1317" t="s">
        <v>65</v>
      </c>
      <c r="U10" s="1318">
        <f t="shared" si="1"/>
        <v>100</v>
      </c>
      <c r="V10" s="1317" t="s">
        <v>65</v>
      </c>
      <c r="W10" s="1318">
        <f t="shared" si="2"/>
        <v>100</v>
      </c>
      <c r="X10" s="1319"/>
      <c r="Y10" s="3483"/>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77"/>
      <c r="Q11" s="2827">
        <f t="shared" si="6"/>
        <v>111</v>
      </c>
      <c r="R11" s="1317" t="s">
        <v>65</v>
      </c>
      <c r="S11" s="1318">
        <f t="shared" si="0"/>
        <v>100</v>
      </c>
      <c r="T11" s="1317" t="s">
        <v>65</v>
      </c>
      <c r="U11" s="1318">
        <f t="shared" si="1"/>
        <v>100</v>
      </c>
      <c r="V11" s="1317" t="s">
        <v>65</v>
      </c>
      <c r="W11" s="1318">
        <f t="shared" si="2"/>
        <v>100</v>
      </c>
      <c r="X11" s="1319"/>
      <c r="Y11" s="3483"/>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77"/>
      <c r="Q12" s="2827">
        <f t="shared" si="6"/>
        <v>111</v>
      </c>
      <c r="R12" s="1317" t="s">
        <v>65</v>
      </c>
      <c r="S12" s="1318">
        <f t="shared" si="0"/>
        <v>100</v>
      </c>
      <c r="T12" s="1317" t="s">
        <v>65</v>
      </c>
      <c r="U12" s="1318">
        <f t="shared" si="1"/>
        <v>100</v>
      </c>
      <c r="V12" s="1317" t="s">
        <v>65</v>
      </c>
      <c r="W12" s="1318">
        <f t="shared" si="2"/>
        <v>100</v>
      </c>
      <c r="X12" s="1319"/>
      <c r="Y12" s="3483"/>
      <c r="Z12" s="343">
        <f t="shared" si="7"/>
        <v>111</v>
      </c>
      <c r="AA12" s="1320">
        <f>D12/F12</f>
        <v>1</v>
      </c>
      <c r="AB12" s="1320">
        <f>D12/H12</f>
        <v>1</v>
      </c>
      <c r="AC12" s="1320">
        <f>D12/J12</f>
        <v>1</v>
      </c>
    </row>
    <row r="13" spans="1:29" ht="15.6"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77"/>
      <c r="Q13" s="2827">
        <f t="shared" si="6"/>
        <v>111</v>
      </c>
      <c r="R13" s="1317" t="s">
        <v>65</v>
      </c>
      <c r="S13" s="1318">
        <f t="shared" si="0"/>
        <v>100</v>
      </c>
      <c r="T13" s="1317" t="s">
        <v>65</v>
      </c>
      <c r="U13" s="1318">
        <f t="shared" si="1"/>
        <v>100</v>
      </c>
      <c r="V13" s="1317" t="s">
        <v>65</v>
      </c>
      <c r="W13" s="1318">
        <f t="shared" si="2"/>
        <v>100</v>
      </c>
      <c r="X13" s="1319"/>
      <c r="Y13" s="3483"/>
      <c r="Z13" s="343">
        <f t="shared" si="7"/>
        <v>111</v>
      </c>
      <c r="AA13" s="1320">
        <f t="shared" si="3"/>
        <v>1</v>
      </c>
      <c r="AB13" s="1320">
        <f t="shared" si="4"/>
        <v>1</v>
      </c>
      <c r="AC13" s="1320">
        <f t="shared" si="5"/>
        <v>1</v>
      </c>
    </row>
    <row r="14" spans="1:29" ht="100.8">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682" t="s">
        <v>405</v>
      </c>
      <c r="Q14" s="2829" t="str">
        <f t="shared" si="6"/>
        <v>交通便捷度</v>
      </c>
      <c r="R14" s="1322" t="s">
        <v>65</v>
      </c>
      <c r="S14" s="1323">
        <f t="shared" si="0"/>
        <v>100</v>
      </c>
      <c r="T14" s="1322" t="s">
        <v>65</v>
      </c>
      <c r="U14" s="1323">
        <f t="shared" si="1"/>
        <v>100</v>
      </c>
      <c r="V14" s="1322" t="s">
        <v>65</v>
      </c>
      <c r="W14" s="1323">
        <f t="shared" si="2"/>
        <v>100</v>
      </c>
      <c r="X14" s="2828"/>
      <c r="Y14" s="3682"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683"/>
      <c r="Q15" s="2829"/>
      <c r="R15" s="1322"/>
      <c r="S15" s="1323"/>
      <c r="T15" s="1322"/>
      <c r="U15" s="1323"/>
      <c r="V15" s="1322"/>
      <c r="W15" s="1323"/>
      <c r="X15" s="2828"/>
      <c r="Y15" s="3683"/>
      <c r="Z15" s="2830"/>
      <c r="AA15" s="1325">
        <v>1</v>
      </c>
      <c r="AB15" s="1325">
        <v>1</v>
      </c>
      <c r="AC15" s="1325">
        <v>1</v>
      </c>
    </row>
    <row r="16" spans="1:29" ht="43.2">
      <c r="A16" s="745"/>
      <c r="B16" s="1032" t="s">
        <v>2658</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683"/>
      <c r="Q16" s="2829" t="str">
        <f>B16</f>
        <v>公共配套设施</v>
      </c>
      <c r="R16" s="1322" t="s">
        <v>65</v>
      </c>
      <c r="S16" s="1323">
        <f>F16</f>
        <v>100</v>
      </c>
      <c r="T16" s="1322" t="s">
        <v>65</v>
      </c>
      <c r="U16" s="1323">
        <f>H16</f>
        <v>100</v>
      </c>
      <c r="V16" s="1322" t="s">
        <v>65</v>
      </c>
      <c r="W16" s="1323">
        <f>J16</f>
        <v>100</v>
      </c>
      <c r="X16" s="2828"/>
      <c r="Y16" s="3683"/>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683"/>
      <c r="Q17" s="2829"/>
      <c r="R17" s="1322"/>
      <c r="S17" s="1323"/>
      <c r="T17" s="1322"/>
      <c r="U17" s="1323"/>
      <c r="V17" s="1322"/>
      <c r="W17" s="1323"/>
      <c r="X17" s="2828"/>
      <c r="Y17" s="3683"/>
      <c r="Z17" s="2830"/>
      <c r="AA17" s="1325">
        <v>1</v>
      </c>
      <c r="AB17" s="1325">
        <v>1</v>
      </c>
      <c r="AC17" s="1325">
        <v>1</v>
      </c>
    </row>
    <row r="18" spans="1:29" ht="43.2">
      <c r="A18" s="745"/>
      <c r="B18" s="1034" t="s">
        <v>2657</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683"/>
      <c r="Q18" s="2829" t="str">
        <f>B18</f>
        <v>基础设施水平</v>
      </c>
      <c r="R18" s="1322" t="s">
        <v>65</v>
      </c>
      <c r="S18" s="1323">
        <f>F18</f>
        <v>100</v>
      </c>
      <c r="T18" s="1322" t="s">
        <v>65</v>
      </c>
      <c r="U18" s="1323">
        <f>H18</f>
        <v>100</v>
      </c>
      <c r="V18" s="1322" t="s">
        <v>65</v>
      </c>
      <c r="W18" s="1323">
        <f>J18</f>
        <v>100</v>
      </c>
      <c r="X18" s="2828"/>
      <c r="Y18" s="3683"/>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683"/>
      <c r="Q19" s="2829"/>
      <c r="R19" s="1322"/>
      <c r="S19" s="1323"/>
      <c r="T19" s="1322"/>
      <c r="U19" s="1323"/>
      <c r="V19" s="1322"/>
      <c r="W19" s="1323"/>
      <c r="X19" s="2828"/>
      <c r="Y19" s="3683"/>
      <c r="Z19" s="2830"/>
      <c r="AA19" s="1325">
        <v>1</v>
      </c>
      <c r="AB19" s="1325">
        <v>1</v>
      </c>
      <c r="AC19" s="1325">
        <v>1</v>
      </c>
    </row>
    <row r="20" spans="1:29" ht="57.6">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683"/>
      <c r="Q20" s="2829" t="str">
        <f>B20</f>
        <v>自然及人文环境</v>
      </c>
      <c r="R20" s="1322" t="s">
        <v>65</v>
      </c>
      <c r="S20" s="1323">
        <f>F20</f>
        <v>100</v>
      </c>
      <c r="T20" s="1322" t="s">
        <v>65</v>
      </c>
      <c r="U20" s="1323">
        <f>H20</f>
        <v>100</v>
      </c>
      <c r="V20" s="1322" t="s">
        <v>65</v>
      </c>
      <c r="W20" s="1323">
        <f>J20</f>
        <v>100</v>
      </c>
      <c r="X20" s="2828"/>
      <c r="Y20" s="3683"/>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683"/>
      <c r="Q21" s="2829"/>
      <c r="R21" s="1322"/>
      <c r="S21" s="1323"/>
      <c r="T21" s="1322"/>
      <c r="U21" s="1323"/>
      <c r="V21" s="1322"/>
      <c r="W21" s="1323"/>
      <c r="X21" s="2828"/>
      <c r="Y21" s="3683"/>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683"/>
      <c r="Q22" s="2829" t="str">
        <f>B22</f>
        <v>楼层</v>
      </c>
      <c r="R22" s="1322" t="s">
        <v>65</v>
      </c>
      <c r="S22" s="1323">
        <f>F22</f>
        <v>100</v>
      </c>
      <c r="T22" s="1322" t="s">
        <v>65</v>
      </c>
      <c r="U22" s="1323">
        <f>H22</f>
        <v>100</v>
      </c>
      <c r="V22" s="1322" t="s">
        <v>65</v>
      </c>
      <c r="W22" s="1323">
        <f>J22</f>
        <v>100</v>
      </c>
      <c r="X22" s="2828"/>
      <c r="Y22" s="3683"/>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683"/>
      <c r="Q23" s="2829">
        <f>B23</f>
        <v>111</v>
      </c>
      <c r="R23" s="1322" t="s">
        <v>65</v>
      </c>
      <c r="S23" s="1323">
        <f>F23</f>
        <v>100</v>
      </c>
      <c r="T23" s="1322" t="s">
        <v>65</v>
      </c>
      <c r="U23" s="1323">
        <f>H23</f>
        <v>100</v>
      </c>
      <c r="V23" s="1322" t="s">
        <v>65</v>
      </c>
      <c r="W23" s="1323">
        <f>J23</f>
        <v>100</v>
      </c>
      <c r="X23" s="2828"/>
      <c r="Y23" s="3683"/>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683"/>
      <c r="Q24" s="2829">
        <f t="shared" ref="Q24:Q36" si="11">B24</f>
        <v>111</v>
      </c>
      <c r="R24" s="1322" t="s">
        <v>65</v>
      </c>
      <c r="S24" s="1323">
        <f>F24</f>
        <v>100</v>
      </c>
      <c r="T24" s="1322" t="s">
        <v>65</v>
      </c>
      <c r="U24" s="1323">
        <f>H24</f>
        <v>100</v>
      </c>
      <c r="V24" s="1322" t="s">
        <v>65</v>
      </c>
      <c r="W24" s="1323">
        <f>J24</f>
        <v>100</v>
      </c>
      <c r="X24" s="2828"/>
      <c r="Y24" s="3683"/>
      <c r="Z24" s="2830">
        <f>Q24</f>
        <v>111</v>
      </c>
      <c r="AA24" s="1325">
        <f t="shared" si="3"/>
        <v>1</v>
      </c>
      <c r="AB24" s="1325">
        <f t="shared" si="4"/>
        <v>1</v>
      </c>
      <c r="AC24" s="1325">
        <f t="shared" si="5"/>
        <v>1</v>
      </c>
    </row>
    <row r="25" spans="1:29" s="406" customFormat="1" ht="15.6"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683"/>
      <c r="Q25" s="2827">
        <f t="shared" si="11"/>
        <v>111</v>
      </c>
      <c r="R25" s="1317" t="s">
        <v>65</v>
      </c>
      <c r="S25" s="1318">
        <f>F25</f>
        <v>100</v>
      </c>
      <c r="T25" s="1317" t="s">
        <v>65</v>
      </c>
      <c r="U25" s="1318">
        <f>H25</f>
        <v>100</v>
      </c>
      <c r="V25" s="1317" t="s">
        <v>65</v>
      </c>
      <c r="W25" s="1318">
        <f>J25</f>
        <v>100</v>
      </c>
      <c r="X25" s="1319"/>
      <c r="Y25" s="3683"/>
      <c r="Z25" s="343">
        <f>Q25</f>
        <v>111</v>
      </c>
      <c r="AA25" s="1325">
        <f>D25/F25</f>
        <v>1</v>
      </c>
      <c r="AB25" s="1325">
        <f>D25/H25</f>
        <v>1</v>
      </c>
      <c r="AC25" s="1325">
        <f>D25/J25</f>
        <v>1</v>
      </c>
    </row>
    <row r="26" spans="1:29" ht="30">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684"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685"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685"/>
      <c r="Q27" s="1326" t="str">
        <f t="shared" si="11"/>
        <v>项目停车位配比</v>
      </c>
      <c r="R27" s="1327" t="s">
        <v>65</v>
      </c>
      <c r="S27" s="1328">
        <f t="shared" si="12"/>
        <v>100</v>
      </c>
      <c r="T27" s="1327" t="s">
        <v>65</v>
      </c>
      <c r="U27" s="1328">
        <f t="shared" si="13"/>
        <v>100</v>
      </c>
      <c r="V27" s="1327" t="s">
        <v>65</v>
      </c>
      <c r="W27" s="1328">
        <f t="shared" si="14"/>
        <v>100</v>
      </c>
      <c r="X27" s="1329"/>
      <c r="Y27" s="3685"/>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685"/>
      <c r="Q28" s="2829" t="str">
        <f t="shared" si="11"/>
        <v>公共部分装修</v>
      </c>
      <c r="R28" s="1322" t="s">
        <v>65</v>
      </c>
      <c r="S28" s="1323">
        <f t="shared" si="12"/>
        <v>100</v>
      </c>
      <c r="T28" s="1322" t="s">
        <v>65</v>
      </c>
      <c r="U28" s="1323">
        <f t="shared" si="13"/>
        <v>100</v>
      </c>
      <c r="V28" s="1322" t="s">
        <v>65</v>
      </c>
      <c r="W28" s="1323">
        <f t="shared" si="14"/>
        <v>100</v>
      </c>
      <c r="X28" s="2828"/>
      <c r="Y28" s="3685"/>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685"/>
      <c r="Q29" s="2829" t="str">
        <f t="shared" si="11"/>
        <v>成新率</v>
      </c>
      <c r="R29" s="1322" t="s">
        <v>65</v>
      </c>
      <c r="S29" s="1323" t="e">
        <f t="shared" si="12"/>
        <v>#N/A</v>
      </c>
      <c r="T29" s="1322" t="s">
        <v>65</v>
      </c>
      <c r="U29" s="1323" t="e">
        <f t="shared" si="13"/>
        <v>#N/A</v>
      </c>
      <c r="V29" s="1322" t="s">
        <v>65</v>
      </c>
      <c r="W29" s="1323" t="e">
        <f t="shared" si="14"/>
        <v>#N/A</v>
      </c>
      <c r="X29" s="2828"/>
      <c r="Y29" s="3685"/>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685"/>
      <c r="Q30" s="2829" t="str">
        <f t="shared" si="11"/>
        <v>物业等级</v>
      </c>
      <c r="R30" s="1322" t="s">
        <v>65</v>
      </c>
      <c r="S30" s="1323">
        <f t="shared" si="12"/>
        <v>100</v>
      </c>
      <c r="T30" s="1322" t="s">
        <v>65</v>
      </c>
      <c r="U30" s="1323">
        <f t="shared" si="13"/>
        <v>100</v>
      </c>
      <c r="V30" s="1322" t="s">
        <v>65</v>
      </c>
      <c r="W30" s="1323">
        <f t="shared" si="14"/>
        <v>100</v>
      </c>
      <c r="X30" s="2828"/>
      <c r="Y30" s="3685"/>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685"/>
      <c r="Q31" s="2827" t="str">
        <f t="shared" si="11"/>
        <v>停车位面积</v>
      </c>
      <c r="R31" s="1317" t="s">
        <v>65</v>
      </c>
      <c r="S31" s="1318" t="e">
        <f t="shared" si="12"/>
        <v>#N/A</v>
      </c>
      <c r="T31" s="1317" t="s">
        <v>65</v>
      </c>
      <c r="U31" s="1318" t="e">
        <f t="shared" si="13"/>
        <v>#N/A</v>
      </c>
      <c r="V31" s="1317" t="s">
        <v>65</v>
      </c>
      <c r="W31" s="1318" t="e">
        <f t="shared" si="14"/>
        <v>#N/A</v>
      </c>
      <c r="X31" s="1319"/>
      <c r="Y31" s="3685"/>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685" t="s">
        <v>407</v>
      </c>
      <c r="Q32" s="2829" t="str">
        <f t="shared" si="11"/>
        <v>车位类型</v>
      </c>
      <c r="R32" s="1322" t="s">
        <v>65</v>
      </c>
      <c r="S32" s="1323">
        <f t="shared" si="12"/>
        <v>100</v>
      </c>
      <c r="T32" s="1322" t="s">
        <v>65</v>
      </c>
      <c r="U32" s="1323">
        <f t="shared" si="13"/>
        <v>100</v>
      </c>
      <c r="V32" s="1322" t="s">
        <v>65</v>
      </c>
      <c r="W32" s="1323">
        <f t="shared" si="14"/>
        <v>100</v>
      </c>
      <c r="X32" s="2828"/>
      <c r="Y32" s="3685"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685"/>
      <c r="Q33" s="2829" t="str">
        <f t="shared" si="11"/>
        <v>是否直接入户</v>
      </c>
      <c r="R33" s="1322" t="s">
        <v>65</v>
      </c>
      <c r="S33" s="1323">
        <f t="shared" si="12"/>
        <v>100</v>
      </c>
      <c r="T33" s="1322" t="s">
        <v>65</v>
      </c>
      <c r="U33" s="1323">
        <f t="shared" si="13"/>
        <v>100</v>
      </c>
      <c r="V33" s="1322" t="s">
        <v>65</v>
      </c>
      <c r="W33" s="1323">
        <f t="shared" si="14"/>
        <v>100</v>
      </c>
      <c r="X33" s="2828"/>
      <c r="Y33" s="3685"/>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85"/>
      <c r="Q34" s="2829">
        <f t="shared" si="11"/>
        <v>111</v>
      </c>
      <c r="R34" s="1322" t="s">
        <v>65</v>
      </c>
      <c r="S34" s="1323">
        <f t="shared" si="12"/>
        <v>100</v>
      </c>
      <c r="T34" s="1322" t="s">
        <v>65</v>
      </c>
      <c r="U34" s="1323">
        <f t="shared" si="13"/>
        <v>100</v>
      </c>
      <c r="V34" s="1322" t="s">
        <v>65</v>
      </c>
      <c r="W34" s="1323">
        <f t="shared" si="14"/>
        <v>100</v>
      </c>
      <c r="X34" s="2828"/>
      <c r="Y34" s="3685"/>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85"/>
      <c r="Q35" s="1326">
        <f t="shared" si="11"/>
        <v>111</v>
      </c>
      <c r="R35" s="1327" t="s">
        <v>65</v>
      </c>
      <c r="S35" s="1328">
        <f t="shared" si="12"/>
        <v>100</v>
      </c>
      <c r="T35" s="1327" t="s">
        <v>65</v>
      </c>
      <c r="U35" s="1328">
        <f t="shared" si="13"/>
        <v>100</v>
      </c>
      <c r="V35" s="1327" t="s">
        <v>65</v>
      </c>
      <c r="W35" s="1328">
        <f t="shared" si="14"/>
        <v>100</v>
      </c>
      <c r="X35" s="1329"/>
      <c r="Y35" s="3685"/>
      <c r="Z35" s="1330">
        <f t="shared" si="15"/>
        <v>111</v>
      </c>
      <c r="AA35" s="1325">
        <f t="shared" si="3"/>
        <v>1</v>
      </c>
      <c r="AB35" s="1325">
        <f t="shared" si="4"/>
        <v>1</v>
      </c>
      <c r="AC35" s="1325">
        <f t="shared" si="5"/>
        <v>1</v>
      </c>
    </row>
    <row r="36" spans="1:29" ht="15.6"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85"/>
      <c r="Q36" s="2829">
        <f t="shared" si="11"/>
        <v>111</v>
      </c>
      <c r="R36" s="1322" t="s">
        <v>65</v>
      </c>
      <c r="S36" s="1323">
        <f t="shared" si="12"/>
        <v>100</v>
      </c>
      <c r="T36" s="1322" t="s">
        <v>65</v>
      </c>
      <c r="U36" s="1323">
        <f t="shared" si="13"/>
        <v>100</v>
      </c>
      <c r="V36" s="1322" t="s">
        <v>65</v>
      </c>
      <c r="W36" s="1323">
        <f t="shared" si="14"/>
        <v>100</v>
      </c>
      <c r="X36" s="2828"/>
      <c r="Y36" s="3685"/>
      <c r="Z36" s="2830">
        <f t="shared" si="15"/>
        <v>111</v>
      </c>
      <c r="AA36" s="1325">
        <f t="shared" si="3"/>
        <v>1</v>
      </c>
      <c r="AB36" s="1325">
        <f t="shared" si="4"/>
        <v>1</v>
      </c>
      <c r="AC36" s="1325">
        <f t="shared" si="5"/>
        <v>1</v>
      </c>
    </row>
    <row r="37" spans="1:29" ht="14.4">
      <c r="A37" s="163" t="s">
        <v>2127</v>
      </c>
      <c r="B37" s="2097" t="s">
        <v>2128</v>
      </c>
      <c r="C37" s="2831" t="s">
        <v>23</v>
      </c>
      <c r="D37" s="2832"/>
      <c r="E37" s="2833"/>
      <c r="F37" s="2834"/>
      <c r="G37" s="2835"/>
      <c r="H37" s="2836"/>
      <c r="I37" s="2833"/>
      <c r="J37" s="2836"/>
      <c r="K37" s="960"/>
      <c r="L37" s="2359"/>
      <c r="M37" s="2360"/>
      <c r="N37" s="2347"/>
      <c r="O37" s="2360"/>
      <c r="P37" s="3677" t="str">
        <f>A37</f>
        <v>成交单价</v>
      </c>
      <c r="Q37" s="3677"/>
      <c r="R37" s="3678">
        <f>E37</f>
        <v>0</v>
      </c>
      <c r="S37" s="3678"/>
      <c r="T37" s="3678">
        <f>G37</f>
        <v>0</v>
      </c>
      <c r="U37" s="3678"/>
      <c r="V37" s="3678">
        <f>I37</f>
        <v>0</v>
      </c>
      <c r="W37" s="3678"/>
      <c r="X37" s="1305"/>
      <c r="Y37" s="1331"/>
      <c r="Z37" s="1305"/>
      <c r="AA37" s="1305"/>
      <c r="AB37" s="1305"/>
      <c r="AC37" s="1305"/>
    </row>
    <row r="38" spans="1:29" ht="1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305"/>
      <c r="Y38" s="1305"/>
      <c r="Z38" s="1305"/>
      <c r="AA38" s="1305"/>
      <c r="AB38" s="1305"/>
      <c r="AC38" s="1305"/>
    </row>
    <row r="39" spans="1:29" ht="15" thickBot="1">
      <c r="A39" s="833" t="s">
        <v>3011</v>
      </c>
      <c r="B39" s="834"/>
      <c r="C39" s="2841" t="e">
        <f>R39</f>
        <v>#DIV/0!</v>
      </c>
      <c r="D39" s="2841"/>
      <c r="E39" s="2841"/>
      <c r="F39" s="2841"/>
      <c r="G39" s="2841"/>
      <c r="H39" s="2841"/>
      <c r="I39" s="2841"/>
      <c r="J39" s="2841"/>
      <c r="K39" s="962"/>
      <c r="L39" s="2359"/>
      <c r="M39" s="2360"/>
      <c r="N39" s="2360"/>
      <c r="O39" s="2360"/>
      <c r="P39" s="3679" t="str">
        <f>A39</f>
        <v>估价对象XX用房的比较价值（楼面单价，元/平方米）</v>
      </c>
      <c r="Q39" s="3680"/>
      <c r="R39" s="3681" t="e">
        <f>IF(F1="售价",ROUND(AVERAGE(R38:V38),0),ROUND(AVERAGE(R38:V38),1))</f>
        <v>#DIV/0!</v>
      </c>
      <c r="S39" s="3681"/>
      <c r="T39" s="3681"/>
      <c r="U39" s="3681"/>
      <c r="V39" s="3681"/>
      <c r="W39" s="3681"/>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2.2"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4.4">
      <c r="A48" s="846" t="s">
        <v>2785</v>
      </c>
      <c r="B48" s="847"/>
      <c r="C48" s="3039" t="str">
        <f>YEAR(C7)&amp;"-"&amp;MONTH(C7)</f>
        <v>2018-10</v>
      </c>
      <c r="D48" s="3040">
        <f>EDATE(C48,-1)</f>
        <v>43344</v>
      </c>
      <c r="E48" s="3040">
        <f t="shared" ref="E48:O48" si="16">EDATE(D48,-1)</f>
        <v>43313</v>
      </c>
      <c r="F48" s="3040">
        <f t="shared" si="16"/>
        <v>43282</v>
      </c>
      <c r="G48" s="3040">
        <f t="shared" si="16"/>
        <v>43252</v>
      </c>
      <c r="H48" s="3040">
        <f t="shared" si="16"/>
        <v>43221</v>
      </c>
      <c r="I48" s="3040">
        <f t="shared" si="16"/>
        <v>43191</v>
      </c>
      <c r="J48" s="3040">
        <f t="shared" si="16"/>
        <v>43160</v>
      </c>
      <c r="K48" s="3040">
        <f t="shared" si="16"/>
        <v>43132</v>
      </c>
      <c r="L48" s="3040">
        <f t="shared" si="16"/>
        <v>43101</v>
      </c>
      <c r="M48" s="3040">
        <f t="shared" si="16"/>
        <v>43070</v>
      </c>
      <c r="N48" s="3040">
        <f t="shared" si="16"/>
        <v>43040</v>
      </c>
      <c r="O48" s="3040">
        <f t="shared" si="16"/>
        <v>43009</v>
      </c>
      <c r="P48" s="2862"/>
      <c r="Q48" s="2863"/>
      <c r="R48" s="2863"/>
      <c r="S48" s="2863"/>
      <c r="T48" s="2863"/>
      <c r="U48" s="2863"/>
      <c r="V48" s="2863"/>
      <c r="W48" s="2863"/>
      <c r="X48" s="2863"/>
      <c r="Y48" s="2863"/>
      <c r="Z48" s="2863"/>
      <c r="AA48" s="2863"/>
      <c r="AB48" s="2863"/>
      <c r="AC48" s="2863"/>
    </row>
    <row r="49" spans="1:29" s="406" customFormat="1">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4.4">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4.4"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ht="14.4">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4.4"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9.4"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4.4"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4.4"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4.4"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4.4"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4.4"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4.4"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4.4"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4.4"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 thickTop="1">
      <c r="A65" s="875"/>
      <c r="B65" s="1052" t="s">
        <v>2629</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4.4"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 thickTop="1">
      <c r="A67" s="875"/>
      <c r="B67" s="1054" t="s">
        <v>2659</v>
      </c>
      <c r="C67" s="213" t="s">
        <v>2649</v>
      </c>
      <c r="D67" s="213" t="s">
        <v>2650</v>
      </c>
      <c r="E67" s="213" t="s">
        <v>2651</v>
      </c>
      <c r="F67" s="213" t="s">
        <v>2652</v>
      </c>
      <c r="G67" s="213" t="s">
        <v>2653</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4.4"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4.4"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4.4"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4.4"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4.4"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4.4"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4.4"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4.4"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4.4"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9.4"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4.4"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4.4"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4.4"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4.4"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4.4"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4.4"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4.4"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4.4"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4.4"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4.4"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4.4"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4.4"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4.4"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4.4"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3.8"/>
  <cols>
    <col min="1" max="1" width="10.44140625" style="744" customWidth="1"/>
    <col min="2" max="2" width="15.77734375" style="744" customWidth="1"/>
    <col min="3" max="3" width="14.33203125" style="744" customWidth="1"/>
    <col min="4" max="4" width="12.21875" style="744" customWidth="1"/>
    <col min="5" max="5" width="14.33203125" style="744" customWidth="1"/>
    <col min="6" max="6" width="12.21875" style="744" customWidth="1"/>
    <col min="7" max="7" width="14.44140625" style="744" customWidth="1"/>
    <col min="8" max="8" width="12.21875" style="744" customWidth="1"/>
    <col min="9" max="9" width="14.44140625" style="744" customWidth="1"/>
    <col min="10" max="10" width="12.21875" style="744" customWidth="1"/>
    <col min="11" max="11" width="12.21875" style="836" customWidth="1"/>
    <col min="12" max="12" width="12.21875" style="837" customWidth="1"/>
    <col min="13" max="15" width="12.21875" style="744" customWidth="1"/>
    <col min="16" max="16" width="4.77734375" style="744" customWidth="1"/>
    <col min="17" max="17" width="19.44140625" style="744" customWidth="1"/>
    <col min="18" max="22" width="6.109375" style="744" customWidth="1"/>
    <col min="23" max="23" width="5.77734375" style="744" customWidth="1"/>
    <col min="24" max="24" width="4.21875" style="744" customWidth="1"/>
    <col min="25" max="25" width="3.44140625" style="744" customWidth="1"/>
    <col min="26" max="26" width="19.77734375" style="744" customWidth="1"/>
    <col min="27" max="28" width="9.3320312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4.4">
      <c r="A4" s="742" t="s">
        <v>447</v>
      </c>
      <c r="B4" s="743"/>
      <c r="C4" s="3689" t="s">
        <v>448</v>
      </c>
      <c r="D4" s="3690"/>
      <c r="E4" s="3691" t="s">
        <v>449</v>
      </c>
      <c r="F4" s="3692"/>
      <c r="G4" s="3689" t="s">
        <v>450</v>
      </c>
      <c r="H4" s="3690"/>
      <c r="I4" s="3689" t="s">
        <v>451</v>
      </c>
      <c r="J4" s="3690"/>
      <c r="K4" s="951" t="s">
        <v>452</v>
      </c>
      <c r="L4" s="2346"/>
      <c r="M4" s="2347"/>
      <c r="N4" s="2347"/>
      <c r="O4" s="2347"/>
      <c r="P4" s="3693" t="s">
        <v>453</v>
      </c>
      <c r="Q4" s="3694"/>
      <c r="R4" s="3699" t="s">
        <v>449</v>
      </c>
      <c r="S4" s="3700"/>
      <c r="T4" s="3699" t="s">
        <v>450</v>
      </c>
      <c r="U4" s="3700"/>
      <c r="V4" s="3705" t="s">
        <v>451</v>
      </c>
      <c r="W4" s="3705"/>
      <c r="X4" s="1316"/>
      <c r="Y4" s="3699" t="s">
        <v>453</v>
      </c>
      <c r="Z4" s="3700"/>
      <c r="AA4" s="3686" t="s">
        <v>449</v>
      </c>
      <c r="AB4" s="3687" t="s">
        <v>450</v>
      </c>
      <c r="AC4" s="3686" t="s">
        <v>451</v>
      </c>
    </row>
    <row r="5" spans="1:29" ht="14.4">
      <c r="A5" s="745"/>
      <c r="B5" s="746"/>
      <c r="C5" s="3652" t="s">
        <v>1126</v>
      </c>
      <c r="D5" s="3653"/>
      <c r="E5" s="3659" t="s">
        <v>1127</v>
      </c>
      <c r="F5" s="3660"/>
      <c r="G5" s="3652" t="s">
        <v>61</v>
      </c>
      <c r="H5" s="3653"/>
      <c r="I5" s="3652" t="s">
        <v>1128</v>
      </c>
      <c r="J5" s="3653"/>
      <c r="K5" s="951"/>
      <c r="L5" s="2346"/>
      <c r="M5" s="2347"/>
      <c r="N5" s="2347"/>
      <c r="O5" s="2347"/>
      <c r="P5" s="3695"/>
      <c r="Q5" s="3696"/>
      <c r="R5" s="3701"/>
      <c r="S5" s="3702"/>
      <c r="T5" s="3701"/>
      <c r="U5" s="3702"/>
      <c r="V5" s="3705"/>
      <c r="W5" s="3705"/>
      <c r="X5" s="1316"/>
      <c r="Y5" s="3701"/>
      <c r="Z5" s="3702"/>
      <c r="AA5" s="3687"/>
      <c r="AB5" s="3687"/>
      <c r="AC5" s="3687"/>
    </row>
    <row r="6" spans="1:29" ht="15" thickBot="1">
      <c r="A6" s="747"/>
      <c r="B6" s="748"/>
      <c r="C6" s="3650" t="s">
        <v>1129</v>
      </c>
      <c r="D6" s="3651"/>
      <c r="E6" s="3657" t="s">
        <v>1129</v>
      </c>
      <c r="F6" s="3658"/>
      <c r="G6" s="3650" t="s">
        <v>1129</v>
      </c>
      <c r="H6" s="3651"/>
      <c r="I6" s="3650" t="s">
        <v>1129</v>
      </c>
      <c r="J6" s="3651"/>
      <c r="K6" s="951" t="s">
        <v>395</v>
      </c>
      <c r="L6" s="2346"/>
      <c r="M6" s="2347"/>
      <c r="N6" s="2347"/>
      <c r="O6" s="2347"/>
      <c r="P6" s="3697"/>
      <c r="Q6" s="3698"/>
      <c r="R6" s="3701"/>
      <c r="S6" s="3702"/>
      <c r="T6" s="3703"/>
      <c r="U6" s="3704"/>
      <c r="V6" s="3705"/>
      <c r="W6" s="3705"/>
      <c r="X6" s="1316"/>
      <c r="Y6" s="3703"/>
      <c r="Z6" s="3704"/>
      <c r="AA6" s="3688"/>
      <c r="AB6" s="3688"/>
      <c r="AC6" s="3688"/>
    </row>
    <row r="7" spans="1:29" s="406" customFormat="1" ht="15" thickBot="1">
      <c r="A7" s="749" t="s">
        <v>396</v>
      </c>
      <c r="B7" s="750"/>
      <c r="C7" s="751">
        <f>'数据-取费表'!B2</f>
        <v>43385</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710" t="s">
        <v>397</v>
      </c>
      <c r="Q7" s="3712"/>
      <c r="R7" s="1317" t="s">
        <v>65</v>
      </c>
      <c r="S7" s="1318">
        <f t="shared" ref="S7:S14" si="0">F7</f>
        <v>0</v>
      </c>
      <c r="T7" s="1317" t="s">
        <v>65</v>
      </c>
      <c r="U7" s="1318">
        <f t="shared" ref="U7:U14" si="1">H7</f>
        <v>0</v>
      </c>
      <c r="V7" s="1317" t="s">
        <v>65</v>
      </c>
      <c r="W7" s="1318">
        <f t="shared" ref="W7:W14" si="2">J7</f>
        <v>0</v>
      </c>
      <c r="X7" s="1319"/>
      <c r="Y7" s="3710" t="s">
        <v>397</v>
      </c>
      <c r="Z7" s="3711"/>
      <c r="AA7" s="1320" t="e">
        <f>D7/F7</f>
        <v>#DIV/0!</v>
      </c>
      <c r="AB7" s="1320" t="e">
        <f>D7/H7</f>
        <v>#DIV/0!</v>
      </c>
      <c r="AC7" s="1320" t="e">
        <f>D7/J7</f>
        <v>#DIV/0!</v>
      </c>
    </row>
    <row r="8" spans="1:29" s="406" customFormat="1" ht="1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710" t="s">
        <v>433</v>
      </c>
      <c r="Q8" s="3711"/>
      <c r="R8" s="1317" t="s">
        <v>65</v>
      </c>
      <c r="S8" s="1318">
        <f t="shared" si="0"/>
        <v>0</v>
      </c>
      <c r="T8" s="1317" t="s">
        <v>65</v>
      </c>
      <c r="U8" s="1318">
        <f t="shared" si="1"/>
        <v>0</v>
      </c>
      <c r="V8" s="1317" t="s">
        <v>65</v>
      </c>
      <c r="W8" s="1318">
        <f t="shared" si="2"/>
        <v>0</v>
      </c>
      <c r="X8" s="1319"/>
      <c r="Y8" s="3710" t="s">
        <v>433</v>
      </c>
      <c r="Z8" s="3711"/>
      <c r="AA8" s="1320" t="e">
        <f t="shared" ref="AA8:AA34" si="3">D8/F8</f>
        <v>#DIV/0!</v>
      </c>
      <c r="AB8" s="1320" t="e">
        <f t="shared" ref="AB8:AB34" si="4">D8/H8</f>
        <v>#DIV/0!</v>
      </c>
      <c r="AC8" s="1320" t="e">
        <f t="shared" ref="AC8:AC34" si="5">D8/J8</f>
        <v>#DIV/0!</v>
      </c>
    </row>
    <row r="9" spans="1:29" s="406" customFormat="1" ht="14.4">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77" t="s">
        <v>400</v>
      </c>
      <c r="Q9" s="295" t="str">
        <f t="shared" ref="Q9:Q14" si="6">B9</f>
        <v>用途</v>
      </c>
      <c r="R9" s="1317" t="s">
        <v>65</v>
      </c>
      <c r="S9" s="1318">
        <f t="shared" si="0"/>
        <v>100</v>
      </c>
      <c r="T9" s="1317" t="s">
        <v>65</v>
      </c>
      <c r="U9" s="1318">
        <f t="shared" si="1"/>
        <v>100</v>
      </c>
      <c r="V9" s="1317" t="s">
        <v>65</v>
      </c>
      <c r="W9" s="1318">
        <f t="shared" si="2"/>
        <v>100</v>
      </c>
      <c r="X9" s="1319"/>
      <c r="Y9" s="3483" t="s">
        <v>401</v>
      </c>
      <c r="Z9" s="343" t="str">
        <f t="shared" ref="Z9:Z14" si="7">Q9</f>
        <v>用途</v>
      </c>
      <c r="AA9" s="1320">
        <f t="shared" si="3"/>
        <v>1</v>
      </c>
      <c r="AB9" s="1320">
        <f t="shared" si="4"/>
        <v>1</v>
      </c>
      <c r="AC9" s="1320">
        <f t="shared" si="5"/>
        <v>1</v>
      </c>
    </row>
    <row r="10" spans="1:29" s="768" customFormat="1" ht="28.8">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77"/>
      <c r="Q10" s="295" t="str">
        <f t="shared" si="6"/>
        <v>土地使用年限（年）</v>
      </c>
      <c r="R10" s="1317" t="s">
        <v>65</v>
      </c>
      <c r="S10" s="1318">
        <f t="shared" si="0"/>
        <v>100</v>
      </c>
      <c r="T10" s="1317" t="s">
        <v>65</v>
      </c>
      <c r="U10" s="1318">
        <f t="shared" si="1"/>
        <v>100</v>
      </c>
      <c r="V10" s="1317" t="s">
        <v>65</v>
      </c>
      <c r="W10" s="1318">
        <f t="shared" si="2"/>
        <v>100</v>
      </c>
      <c r="X10" s="1319"/>
      <c r="Y10" s="3483"/>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77"/>
      <c r="Q11" s="295">
        <f t="shared" si="6"/>
        <v>111</v>
      </c>
      <c r="R11" s="1317" t="s">
        <v>65</v>
      </c>
      <c r="S11" s="1318">
        <f t="shared" si="0"/>
        <v>100</v>
      </c>
      <c r="T11" s="1317" t="s">
        <v>65</v>
      </c>
      <c r="U11" s="1318">
        <f t="shared" si="1"/>
        <v>100</v>
      </c>
      <c r="V11" s="1317" t="s">
        <v>65</v>
      </c>
      <c r="W11" s="1318">
        <f t="shared" si="2"/>
        <v>100</v>
      </c>
      <c r="X11" s="1319"/>
      <c r="Y11" s="3483"/>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77"/>
      <c r="Q12" s="295">
        <f t="shared" si="6"/>
        <v>111</v>
      </c>
      <c r="R12" s="1317" t="s">
        <v>65</v>
      </c>
      <c r="S12" s="1318">
        <f t="shared" si="0"/>
        <v>100</v>
      </c>
      <c r="T12" s="1317" t="s">
        <v>65</v>
      </c>
      <c r="U12" s="1318">
        <f t="shared" si="1"/>
        <v>100</v>
      </c>
      <c r="V12" s="1317" t="s">
        <v>65</v>
      </c>
      <c r="W12" s="1318">
        <f t="shared" si="2"/>
        <v>100</v>
      </c>
      <c r="X12" s="1319"/>
      <c r="Y12" s="3483"/>
      <c r="Z12" s="343">
        <f t="shared" si="7"/>
        <v>111</v>
      </c>
      <c r="AA12" s="1320">
        <f>D12/F12</f>
        <v>1</v>
      </c>
      <c r="AB12" s="1320">
        <f>D12/H12</f>
        <v>1</v>
      </c>
      <c r="AC12" s="1320">
        <f>D12/J12</f>
        <v>1</v>
      </c>
    </row>
    <row r="13" spans="1:29" ht="15.6"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77"/>
      <c r="Q13" s="295">
        <f t="shared" si="6"/>
        <v>111</v>
      </c>
      <c r="R13" s="1317" t="s">
        <v>65</v>
      </c>
      <c r="S13" s="1318">
        <f t="shared" si="0"/>
        <v>100</v>
      </c>
      <c r="T13" s="1317" t="s">
        <v>65</v>
      </c>
      <c r="U13" s="1318">
        <f t="shared" si="1"/>
        <v>100</v>
      </c>
      <c r="V13" s="1317" t="s">
        <v>65</v>
      </c>
      <c r="W13" s="1318">
        <f t="shared" si="2"/>
        <v>100</v>
      </c>
      <c r="X13" s="1319"/>
      <c r="Y13" s="3483"/>
      <c r="Z13" s="343">
        <f t="shared" si="7"/>
        <v>111</v>
      </c>
      <c r="AA13" s="1320">
        <f t="shared" si="3"/>
        <v>1</v>
      </c>
      <c r="AB13" s="1320">
        <f t="shared" si="4"/>
        <v>1</v>
      </c>
      <c r="AC13" s="1320">
        <f t="shared" si="5"/>
        <v>1</v>
      </c>
    </row>
    <row r="14" spans="1:29" ht="100.8">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682" t="s">
        <v>405</v>
      </c>
      <c r="Q14" s="1321" t="str">
        <f t="shared" si="6"/>
        <v>交通便捷度</v>
      </c>
      <c r="R14" s="1322" t="s">
        <v>65</v>
      </c>
      <c r="S14" s="1323">
        <f t="shared" si="0"/>
        <v>100</v>
      </c>
      <c r="T14" s="1322" t="s">
        <v>65</v>
      </c>
      <c r="U14" s="1323">
        <f t="shared" si="1"/>
        <v>100</v>
      </c>
      <c r="V14" s="1322" t="s">
        <v>65</v>
      </c>
      <c r="W14" s="1323">
        <f t="shared" si="2"/>
        <v>100</v>
      </c>
      <c r="X14" s="1316"/>
      <c r="Y14" s="3682"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683"/>
      <c r="Q15" s="1321"/>
      <c r="R15" s="1322"/>
      <c r="S15" s="1323"/>
      <c r="T15" s="1322"/>
      <c r="U15" s="1323"/>
      <c r="V15" s="1322"/>
      <c r="W15" s="1323"/>
      <c r="X15" s="1316"/>
      <c r="Y15" s="3683"/>
      <c r="Z15" s="1324"/>
      <c r="AA15" s="1325">
        <v>1</v>
      </c>
      <c r="AB15" s="1325">
        <v>1</v>
      </c>
      <c r="AC15" s="1325">
        <v>1</v>
      </c>
    </row>
    <row r="16" spans="1:29" ht="43.2">
      <c r="A16" s="769"/>
      <c r="B16" s="1354" t="s">
        <v>2658</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683"/>
      <c r="Q16" s="1321" t="str">
        <f>B16</f>
        <v>公共配套设施</v>
      </c>
      <c r="R16" s="1322" t="s">
        <v>65</v>
      </c>
      <c r="S16" s="1323">
        <f>F16</f>
        <v>100</v>
      </c>
      <c r="T16" s="1322" t="s">
        <v>65</v>
      </c>
      <c r="U16" s="1323">
        <f>H16</f>
        <v>100</v>
      </c>
      <c r="V16" s="1322" t="s">
        <v>65</v>
      </c>
      <c r="W16" s="1323">
        <f>J16</f>
        <v>100</v>
      </c>
      <c r="X16" s="1316"/>
      <c r="Y16" s="3683"/>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683"/>
      <c r="Q17" s="1321"/>
      <c r="R17" s="1322"/>
      <c r="S17" s="1323"/>
      <c r="T17" s="1322"/>
      <c r="U17" s="1323"/>
      <c r="V17" s="1322"/>
      <c r="W17" s="1323"/>
      <c r="X17" s="1316"/>
      <c r="Y17" s="3683"/>
      <c r="Z17" s="1324"/>
      <c r="AA17" s="1325">
        <v>1</v>
      </c>
      <c r="AB17" s="1325">
        <v>1</v>
      </c>
      <c r="AC17" s="1325">
        <v>1</v>
      </c>
    </row>
    <row r="18" spans="1:29" ht="43.2">
      <c r="A18" s="769"/>
      <c r="B18" s="1410" t="s">
        <v>2660</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683"/>
      <c r="Q18" s="2747" t="str">
        <f>B18</f>
        <v>基础设施水平</v>
      </c>
      <c r="R18" s="1322" t="s">
        <v>65</v>
      </c>
      <c r="S18" s="1323">
        <f>F18</f>
        <v>100</v>
      </c>
      <c r="T18" s="1322" t="s">
        <v>65</v>
      </c>
      <c r="U18" s="1323">
        <f>H18</f>
        <v>100</v>
      </c>
      <c r="V18" s="1322" t="s">
        <v>65</v>
      </c>
      <c r="W18" s="1323">
        <f>J18</f>
        <v>100</v>
      </c>
      <c r="X18" s="2749"/>
      <c r="Y18" s="3683"/>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683"/>
      <c r="Q19" s="2747"/>
      <c r="R19" s="1322"/>
      <c r="S19" s="1323"/>
      <c r="T19" s="1322"/>
      <c r="U19" s="1323"/>
      <c r="V19" s="1322"/>
      <c r="W19" s="1323"/>
      <c r="X19" s="2749"/>
      <c r="Y19" s="3683"/>
      <c r="Z19" s="2748"/>
      <c r="AA19" s="1325">
        <v>1</v>
      </c>
      <c r="AB19" s="1325">
        <v>1</v>
      </c>
      <c r="AC19" s="1325">
        <v>1</v>
      </c>
    </row>
    <row r="20" spans="1:29" ht="57.6">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683"/>
      <c r="Q20" s="1321" t="str">
        <f>B20</f>
        <v>自然及人文环境</v>
      </c>
      <c r="R20" s="1322" t="s">
        <v>65</v>
      </c>
      <c r="S20" s="1323">
        <f>F20</f>
        <v>100</v>
      </c>
      <c r="T20" s="1322" t="s">
        <v>65</v>
      </c>
      <c r="U20" s="1323">
        <f>H20</f>
        <v>100</v>
      </c>
      <c r="V20" s="1322" t="s">
        <v>65</v>
      </c>
      <c r="W20" s="1323">
        <f>J20</f>
        <v>100</v>
      </c>
      <c r="X20" s="1316"/>
      <c r="Y20" s="3683"/>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683"/>
      <c r="Q21" s="1321"/>
      <c r="R21" s="1322"/>
      <c r="S21" s="1323"/>
      <c r="T21" s="1322"/>
      <c r="U21" s="1323"/>
      <c r="V21" s="1322"/>
      <c r="W21" s="1323"/>
      <c r="X21" s="1316"/>
      <c r="Y21" s="3683"/>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683"/>
      <c r="Q22" s="1321" t="str">
        <f>B22</f>
        <v>楼层</v>
      </c>
      <c r="R22" s="1322" t="s">
        <v>65</v>
      </c>
      <c r="S22" s="1323">
        <f>F22</f>
        <v>100</v>
      </c>
      <c r="T22" s="1322" t="s">
        <v>65</v>
      </c>
      <c r="U22" s="1323">
        <f>H22</f>
        <v>100</v>
      </c>
      <c r="V22" s="1322" t="s">
        <v>65</v>
      </c>
      <c r="W22" s="1323">
        <f>J22</f>
        <v>100</v>
      </c>
      <c r="X22" s="1316"/>
      <c r="Y22" s="3683"/>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683"/>
      <c r="Q23" s="1321">
        <f>B23</f>
        <v>111</v>
      </c>
      <c r="R23" s="1322" t="s">
        <v>65</v>
      </c>
      <c r="S23" s="1323">
        <f>F23</f>
        <v>100</v>
      </c>
      <c r="T23" s="1322" t="s">
        <v>65</v>
      </c>
      <c r="U23" s="1323">
        <f>H23</f>
        <v>100</v>
      </c>
      <c r="V23" s="1322" t="s">
        <v>65</v>
      </c>
      <c r="W23" s="1323">
        <f>J23</f>
        <v>100</v>
      </c>
      <c r="X23" s="1316"/>
      <c r="Y23" s="3683"/>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683"/>
      <c r="Q24" s="1321">
        <f t="shared" ref="Q24:Q34" si="11">B24</f>
        <v>111</v>
      </c>
      <c r="R24" s="1322" t="s">
        <v>65</v>
      </c>
      <c r="S24" s="1323">
        <f>F24</f>
        <v>100</v>
      </c>
      <c r="T24" s="1322" t="s">
        <v>65</v>
      </c>
      <c r="U24" s="1323">
        <f>H24</f>
        <v>100</v>
      </c>
      <c r="V24" s="1322" t="s">
        <v>65</v>
      </c>
      <c r="W24" s="1323">
        <f>J24</f>
        <v>100</v>
      </c>
      <c r="X24" s="1316"/>
      <c r="Y24" s="3683"/>
      <c r="Z24" s="1324">
        <f>Q24</f>
        <v>111</v>
      </c>
      <c r="AA24" s="1325">
        <f t="shared" si="3"/>
        <v>1</v>
      </c>
      <c r="AB24" s="1325">
        <f t="shared" si="4"/>
        <v>1</v>
      </c>
      <c r="AC24" s="1325">
        <f t="shared" si="5"/>
        <v>1</v>
      </c>
    </row>
    <row r="25" spans="1:29" s="406" customFormat="1" ht="15.6"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683"/>
      <c r="Q25" s="295">
        <f t="shared" si="11"/>
        <v>111</v>
      </c>
      <c r="R25" s="1317" t="s">
        <v>65</v>
      </c>
      <c r="S25" s="1318">
        <f>F25</f>
        <v>100</v>
      </c>
      <c r="T25" s="1317" t="s">
        <v>65</v>
      </c>
      <c r="U25" s="1318">
        <f>H25</f>
        <v>100</v>
      </c>
      <c r="V25" s="1317" t="s">
        <v>65</v>
      </c>
      <c r="W25" s="1318">
        <f>J25</f>
        <v>100</v>
      </c>
      <c r="X25" s="1319"/>
      <c r="Y25" s="3683"/>
      <c r="Z25" s="343">
        <f>Q25</f>
        <v>111</v>
      </c>
      <c r="AA25" s="1325">
        <f>D25/F25</f>
        <v>1</v>
      </c>
      <c r="AB25" s="1325">
        <f>D25/H25</f>
        <v>1</v>
      </c>
      <c r="AC25" s="1325">
        <f>D25/J25</f>
        <v>1</v>
      </c>
    </row>
    <row r="26" spans="1:29" ht="30">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684"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85"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85"/>
      <c r="Q27" s="1326" t="str">
        <f t="shared" si="11"/>
        <v>成新率</v>
      </c>
      <c r="R27" s="1327" t="s">
        <v>65</v>
      </c>
      <c r="S27" s="1328" t="e">
        <f t="shared" si="12"/>
        <v>#N/A</v>
      </c>
      <c r="T27" s="1327" t="s">
        <v>65</v>
      </c>
      <c r="U27" s="1328" t="e">
        <f t="shared" si="13"/>
        <v>#N/A</v>
      </c>
      <c r="V27" s="1327" t="s">
        <v>65</v>
      </c>
      <c r="W27" s="1328" t="e">
        <f t="shared" si="14"/>
        <v>#N/A</v>
      </c>
      <c r="X27" s="1329"/>
      <c r="Y27" s="3685"/>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85"/>
      <c r="Q28" s="1321" t="str">
        <f t="shared" si="11"/>
        <v>物业等级</v>
      </c>
      <c r="R28" s="1322" t="s">
        <v>65</v>
      </c>
      <c r="S28" s="1323">
        <f t="shared" si="12"/>
        <v>100</v>
      </c>
      <c r="T28" s="1322" t="s">
        <v>65</v>
      </c>
      <c r="U28" s="1323">
        <f t="shared" si="13"/>
        <v>100</v>
      </c>
      <c r="V28" s="1322" t="s">
        <v>65</v>
      </c>
      <c r="W28" s="1323">
        <f t="shared" si="14"/>
        <v>100</v>
      </c>
      <c r="X28" s="1316"/>
      <c r="Y28" s="3685"/>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685"/>
      <c r="Q29" s="1321" t="str">
        <f t="shared" si="11"/>
        <v>有无电梯</v>
      </c>
      <c r="R29" s="1322" t="s">
        <v>65</v>
      </c>
      <c r="S29" s="1323">
        <f t="shared" si="12"/>
        <v>100</v>
      </c>
      <c r="T29" s="1322" t="s">
        <v>65</v>
      </c>
      <c r="U29" s="1323">
        <f t="shared" si="13"/>
        <v>100</v>
      </c>
      <c r="V29" s="1322" t="s">
        <v>65</v>
      </c>
      <c r="W29" s="1323">
        <f t="shared" si="14"/>
        <v>100</v>
      </c>
      <c r="X29" s="1316"/>
      <c r="Y29" s="3685"/>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85"/>
      <c r="Q30" s="1321" t="str">
        <f t="shared" si="11"/>
        <v>建筑面积</v>
      </c>
      <c r="R30" s="1322" t="s">
        <v>65</v>
      </c>
      <c r="S30" s="1323" t="e">
        <f t="shared" si="12"/>
        <v>#N/A</v>
      </c>
      <c r="T30" s="1322" t="s">
        <v>65</v>
      </c>
      <c r="U30" s="1323" t="e">
        <f t="shared" si="13"/>
        <v>#N/A</v>
      </c>
      <c r="V30" s="1322" t="s">
        <v>65</v>
      </c>
      <c r="W30" s="1323" t="e">
        <f t="shared" si="14"/>
        <v>#N/A</v>
      </c>
      <c r="X30" s="1316"/>
      <c r="Y30" s="3685"/>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685"/>
      <c r="Q31" s="295" t="str">
        <f t="shared" si="11"/>
        <v>是否封闭</v>
      </c>
      <c r="R31" s="1317" t="s">
        <v>65</v>
      </c>
      <c r="S31" s="1318">
        <f t="shared" si="12"/>
        <v>100</v>
      </c>
      <c r="T31" s="1317" t="s">
        <v>65</v>
      </c>
      <c r="U31" s="1318">
        <f t="shared" si="13"/>
        <v>100</v>
      </c>
      <c r="V31" s="1317" t="s">
        <v>65</v>
      </c>
      <c r="W31" s="1318">
        <f t="shared" si="14"/>
        <v>100</v>
      </c>
      <c r="X31" s="1319"/>
      <c r="Y31" s="3685"/>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685" t="s">
        <v>407</v>
      </c>
      <c r="Q32" s="1321">
        <f t="shared" si="11"/>
        <v>111</v>
      </c>
      <c r="R32" s="1322" t="s">
        <v>65</v>
      </c>
      <c r="S32" s="1323">
        <f t="shared" si="12"/>
        <v>100</v>
      </c>
      <c r="T32" s="1322" t="s">
        <v>65</v>
      </c>
      <c r="U32" s="1323">
        <f t="shared" si="13"/>
        <v>100</v>
      </c>
      <c r="V32" s="1322" t="s">
        <v>65</v>
      </c>
      <c r="W32" s="1323">
        <f t="shared" si="14"/>
        <v>100</v>
      </c>
      <c r="X32" s="1316"/>
      <c r="Y32" s="3685"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685"/>
      <c r="Q33" s="1321">
        <f t="shared" si="11"/>
        <v>111</v>
      </c>
      <c r="R33" s="1322" t="s">
        <v>65</v>
      </c>
      <c r="S33" s="1323">
        <f t="shared" si="12"/>
        <v>100</v>
      </c>
      <c r="T33" s="1322" t="s">
        <v>65</v>
      </c>
      <c r="U33" s="1323">
        <f t="shared" si="13"/>
        <v>100</v>
      </c>
      <c r="V33" s="1322" t="s">
        <v>65</v>
      </c>
      <c r="W33" s="1323">
        <f t="shared" si="14"/>
        <v>100</v>
      </c>
      <c r="X33" s="1316"/>
      <c r="Y33" s="3685"/>
      <c r="Z33" s="1324">
        <f t="shared" si="15"/>
        <v>111</v>
      </c>
      <c r="AA33" s="1325">
        <f t="shared" si="3"/>
        <v>1</v>
      </c>
      <c r="AB33" s="1325">
        <f t="shared" si="4"/>
        <v>1</v>
      </c>
      <c r="AC33" s="1325">
        <f t="shared" si="5"/>
        <v>1</v>
      </c>
    </row>
    <row r="34" spans="1:29" ht="15.6"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685"/>
      <c r="Q34" s="1321">
        <f t="shared" si="11"/>
        <v>111</v>
      </c>
      <c r="R34" s="1322" t="s">
        <v>65</v>
      </c>
      <c r="S34" s="1323">
        <f t="shared" si="12"/>
        <v>100</v>
      </c>
      <c r="T34" s="1322" t="s">
        <v>65</v>
      </c>
      <c r="U34" s="1323">
        <f t="shared" si="13"/>
        <v>100</v>
      </c>
      <c r="V34" s="1322" t="s">
        <v>65</v>
      </c>
      <c r="W34" s="1323">
        <f t="shared" si="14"/>
        <v>100</v>
      </c>
      <c r="X34" s="1316"/>
      <c r="Y34" s="3685"/>
      <c r="Z34" s="1324">
        <f t="shared" si="15"/>
        <v>111</v>
      </c>
      <c r="AA34" s="1325">
        <f t="shared" si="3"/>
        <v>1</v>
      </c>
      <c r="AB34" s="1325">
        <f t="shared" si="4"/>
        <v>1</v>
      </c>
      <c r="AC34" s="1325">
        <f t="shared" si="5"/>
        <v>1</v>
      </c>
    </row>
    <row r="35" spans="1:29" ht="14.4">
      <c r="A35" s="820" t="s">
        <v>408</v>
      </c>
      <c r="B35" s="821"/>
      <c r="C35" s="2831" t="s">
        <v>23</v>
      </c>
      <c r="D35" s="2832"/>
      <c r="E35" s="2833"/>
      <c r="F35" s="2834"/>
      <c r="G35" s="2835"/>
      <c r="H35" s="2836"/>
      <c r="I35" s="2833"/>
      <c r="J35" s="2836"/>
      <c r="K35" s="1398"/>
      <c r="L35" s="2359"/>
      <c r="M35" s="2360"/>
      <c r="N35" s="2347"/>
      <c r="O35" s="2360"/>
      <c r="P35" s="3677" t="str">
        <f>A35</f>
        <v>成交单价（元/平方米）</v>
      </c>
      <c r="Q35" s="3677"/>
      <c r="R35" s="3678">
        <f>E35</f>
        <v>0</v>
      </c>
      <c r="S35" s="3678"/>
      <c r="T35" s="3678">
        <f>G35</f>
        <v>0</v>
      </c>
      <c r="U35" s="3678"/>
      <c r="V35" s="3678">
        <f>I35</f>
        <v>0</v>
      </c>
      <c r="W35" s="3678"/>
      <c r="X35" s="1305"/>
      <c r="Y35" s="1331"/>
      <c r="Z35" s="1305"/>
      <c r="AA35" s="1305"/>
      <c r="AB35" s="1305"/>
      <c r="AC35" s="1305"/>
    </row>
    <row r="36" spans="1:29" ht="1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305"/>
      <c r="Y36" s="1305"/>
      <c r="Z36" s="1305"/>
      <c r="AA36" s="1305"/>
      <c r="AB36" s="1305"/>
      <c r="AC36" s="1305"/>
    </row>
    <row r="37" spans="1:29" ht="15" thickBot="1">
      <c r="A37" s="115" t="s">
        <v>3005</v>
      </c>
      <c r="B37" s="834"/>
      <c r="C37" s="2841" t="e">
        <f>R37</f>
        <v>#DIV/0!</v>
      </c>
      <c r="D37" s="2841"/>
      <c r="E37" s="2841"/>
      <c r="F37" s="2841"/>
      <c r="G37" s="2841"/>
      <c r="H37" s="2841"/>
      <c r="I37" s="2841"/>
      <c r="J37" s="2841"/>
      <c r="K37" s="1400"/>
      <c r="L37" s="2359"/>
      <c r="M37" s="2360"/>
      <c r="N37" s="2360"/>
      <c r="O37" s="2360"/>
      <c r="P37" s="3679" t="str">
        <f>A37</f>
        <v>估价对象XX用房的比较价值（楼面单价，元/平方米）</v>
      </c>
      <c r="Q37" s="3680"/>
      <c r="R37" s="3681" t="e">
        <f>IF(F1="售价",ROUND(AVERAGE(R36:V36),0),ROUND(AVERAGE(R36:V36),1))</f>
        <v>#DIV/0!</v>
      </c>
      <c r="S37" s="3681"/>
      <c r="T37" s="3681"/>
      <c r="U37" s="3681"/>
      <c r="V37" s="3681"/>
      <c r="W37" s="3681"/>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2.2"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4.4">
      <c r="A46" s="846" t="s">
        <v>396</v>
      </c>
      <c r="B46" s="847"/>
      <c r="C46" s="3039" t="str">
        <f>YEAR(C7)&amp;"-"&amp;MONTH(C7)</f>
        <v>2018-10</v>
      </c>
      <c r="D46" s="3040">
        <f>EDATE(C46,-1)</f>
        <v>43344</v>
      </c>
      <c r="E46" s="3040">
        <f t="shared" ref="E46:O46" si="16">EDATE(D46,-1)</f>
        <v>43313</v>
      </c>
      <c r="F46" s="3040">
        <f t="shared" si="16"/>
        <v>43282</v>
      </c>
      <c r="G46" s="3040">
        <f t="shared" si="16"/>
        <v>43252</v>
      </c>
      <c r="H46" s="3040">
        <f t="shared" si="16"/>
        <v>43221</v>
      </c>
      <c r="I46" s="3040">
        <f t="shared" si="16"/>
        <v>43191</v>
      </c>
      <c r="J46" s="3040">
        <f t="shared" si="16"/>
        <v>43160</v>
      </c>
      <c r="K46" s="3040">
        <f t="shared" si="16"/>
        <v>43132</v>
      </c>
      <c r="L46" s="3040">
        <f t="shared" si="16"/>
        <v>43101</v>
      </c>
      <c r="M46" s="3040">
        <f t="shared" si="16"/>
        <v>43070</v>
      </c>
      <c r="N46" s="3040">
        <f t="shared" si="16"/>
        <v>43040</v>
      </c>
      <c r="O46" s="3040">
        <f t="shared" si="16"/>
        <v>43009</v>
      </c>
      <c r="P46" s="848"/>
    </row>
    <row r="47" spans="1:29" s="406" customFormat="1">
      <c r="A47" s="850"/>
      <c r="B47" s="851"/>
      <c r="C47" s="3037">
        <v>100</v>
      </c>
      <c r="D47" s="853"/>
      <c r="E47" s="853"/>
      <c r="F47" s="853"/>
      <c r="G47" s="853"/>
      <c r="H47" s="853"/>
      <c r="I47" s="853"/>
      <c r="J47" s="853"/>
      <c r="K47" s="853"/>
      <c r="L47" s="853"/>
      <c r="M47" s="854"/>
      <c r="N47" s="853"/>
      <c r="O47" s="855"/>
      <c r="P47" s="845"/>
    </row>
    <row r="48" spans="1:29" s="406" customFormat="1" ht="15" thickBot="1">
      <c r="A48" s="856" t="s">
        <v>414</v>
      </c>
      <c r="B48" s="857"/>
      <c r="C48" s="858"/>
      <c r="D48" s="859"/>
      <c r="E48" s="859"/>
      <c r="F48" s="859"/>
      <c r="G48" s="859"/>
      <c r="H48" s="859"/>
      <c r="I48" s="859"/>
      <c r="J48" s="859"/>
      <c r="K48" s="859"/>
      <c r="L48" s="859"/>
      <c r="M48" s="860"/>
      <c r="N48" s="859"/>
      <c r="O48" s="861"/>
      <c r="P48" s="845"/>
      <c r="Q48" s="845"/>
    </row>
    <row r="49" spans="1:17" s="406" customFormat="1" ht="14.4">
      <c r="A49" s="862" t="s">
        <v>398</v>
      </c>
      <c r="B49" s="851"/>
      <c r="C49" s="863" t="s">
        <v>415</v>
      </c>
      <c r="D49" s="140"/>
      <c r="E49" s="140"/>
      <c r="F49" s="140"/>
      <c r="G49" s="140"/>
      <c r="H49" s="140"/>
      <c r="I49" s="140"/>
      <c r="J49" s="140"/>
      <c r="K49" s="140"/>
      <c r="L49" s="141"/>
      <c r="M49" s="1049"/>
      <c r="N49" s="2367"/>
      <c r="O49" s="2367"/>
      <c r="P49" s="867"/>
      <c r="Q49" s="845"/>
    </row>
    <row r="50" spans="1:17" s="406" customFormat="1" ht="14.4" thickBot="1">
      <c r="A50" s="862"/>
      <c r="B50" s="851"/>
      <c r="C50" s="980">
        <v>100</v>
      </c>
      <c r="D50" s="853"/>
      <c r="E50" s="853"/>
      <c r="F50" s="853"/>
      <c r="G50" s="853"/>
      <c r="H50" s="853"/>
      <c r="I50" s="853"/>
      <c r="J50" s="853"/>
      <c r="K50" s="853"/>
      <c r="L50" s="853"/>
      <c r="M50" s="855"/>
      <c r="N50" s="2367"/>
      <c r="O50" s="2367"/>
      <c r="P50" s="845"/>
      <c r="Q50" s="845"/>
    </row>
    <row r="51" spans="1:17" ht="14.4">
      <c r="A51" s="868" t="s">
        <v>416</v>
      </c>
      <c r="B51" s="869" t="s">
        <v>417</v>
      </c>
      <c r="C51" s="870">
        <f>C9</f>
        <v>0</v>
      </c>
      <c r="D51" s="122"/>
      <c r="E51" s="122"/>
      <c r="F51" s="122"/>
      <c r="G51" s="122"/>
      <c r="H51" s="122"/>
      <c r="I51" s="122"/>
      <c r="J51" s="122"/>
      <c r="K51" s="123"/>
      <c r="L51" s="124"/>
      <c r="M51" s="125"/>
      <c r="N51" s="2368"/>
      <c r="O51" s="2368"/>
      <c r="P51" s="333"/>
      <c r="Q51" s="845"/>
    </row>
    <row r="52" spans="1:17" ht="14.4" thickBot="1">
      <c r="A52" s="875"/>
      <c r="B52" s="876"/>
      <c r="C52" s="877">
        <v>100</v>
      </c>
      <c r="D52" s="877"/>
      <c r="E52" s="877"/>
      <c r="F52" s="877"/>
      <c r="G52" s="877"/>
      <c r="H52" s="877"/>
      <c r="I52" s="877"/>
      <c r="J52" s="877"/>
      <c r="K52" s="877"/>
      <c r="L52" s="877"/>
      <c r="M52" s="878"/>
      <c r="N52" s="2369"/>
      <c r="O52" s="2369"/>
      <c r="P52" s="333"/>
      <c r="Q52" s="845"/>
    </row>
    <row r="53" spans="1:17" ht="29.4"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4.4"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 thickTop="1">
      <c r="A55" s="875"/>
      <c r="B55" s="213">
        <f>B11</f>
        <v>111</v>
      </c>
      <c r="C55" s="126"/>
      <c r="D55" s="126"/>
      <c r="E55" s="126"/>
      <c r="F55" s="126"/>
      <c r="G55" s="126"/>
      <c r="H55" s="126"/>
      <c r="I55" s="126"/>
      <c r="J55" s="126"/>
      <c r="K55" s="127"/>
      <c r="L55" s="128"/>
      <c r="M55" s="129"/>
      <c r="N55" s="2368"/>
      <c r="O55" s="2368"/>
      <c r="P55" s="333"/>
      <c r="Q55" s="845"/>
    </row>
    <row r="56" spans="1:17" ht="15" thickBot="1">
      <c r="A56" s="875"/>
      <c r="B56" s="1051"/>
      <c r="C56" s="901"/>
      <c r="D56" s="877"/>
      <c r="E56" s="877"/>
      <c r="F56" s="877"/>
      <c r="G56" s="877"/>
      <c r="H56" s="877"/>
      <c r="I56" s="877"/>
      <c r="J56" s="877"/>
      <c r="K56" s="877"/>
      <c r="L56" s="877"/>
      <c r="M56" s="878"/>
      <c r="N56" s="2369"/>
      <c r="O56" s="2369"/>
      <c r="P56" s="333"/>
      <c r="Q56" s="845"/>
    </row>
    <row r="57" spans="1:17" s="812" customFormat="1" ht="1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 thickBot="1">
      <c r="A58" s="894"/>
      <c r="B58" s="1053"/>
      <c r="C58" s="901"/>
      <c r="D58" s="877"/>
      <c r="E58" s="877"/>
      <c r="F58" s="877"/>
      <c r="G58" s="877"/>
      <c r="H58" s="877"/>
      <c r="I58" s="877"/>
      <c r="J58" s="877"/>
      <c r="K58" s="877"/>
      <c r="L58" s="877"/>
      <c r="M58" s="878"/>
      <c r="N58" s="2369"/>
      <c r="O58" s="2369"/>
      <c r="P58" s="899"/>
      <c r="Q58" s="900"/>
    </row>
    <row r="59" spans="1:17" s="812" customFormat="1" ht="1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4.4"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9.4"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4.4"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 thickTop="1">
      <c r="A65" s="875"/>
      <c r="B65" s="1054" t="s">
        <v>2659</v>
      </c>
      <c r="C65" s="213" t="s">
        <v>2649</v>
      </c>
      <c r="D65" s="213" t="s">
        <v>2650</v>
      </c>
      <c r="E65" s="213" t="s">
        <v>2651</v>
      </c>
      <c r="F65" s="213" t="s">
        <v>2652</v>
      </c>
      <c r="G65" s="213" t="s">
        <v>2653</v>
      </c>
      <c r="H65" s="880"/>
      <c r="I65" s="880"/>
      <c r="J65" s="880"/>
      <c r="K65" s="880"/>
      <c r="L65" s="880"/>
      <c r="M65" s="2763"/>
      <c r="N65" s="2369"/>
      <c r="O65" s="2369"/>
      <c r="P65" s="333"/>
      <c r="Q65" s="845"/>
    </row>
    <row r="66" spans="1:17" ht="14.4"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4.4"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 thickTop="1">
      <c r="A69" s="875"/>
      <c r="B69" s="879" t="s">
        <v>431</v>
      </c>
      <c r="C69" s="139"/>
      <c r="D69" s="139"/>
      <c r="E69" s="139"/>
      <c r="F69" s="139"/>
      <c r="G69" s="139"/>
      <c r="H69" s="131"/>
      <c r="I69" s="131"/>
      <c r="J69" s="131"/>
      <c r="K69" s="132"/>
      <c r="L69" s="133"/>
      <c r="M69" s="134"/>
      <c r="N69" s="2368"/>
      <c r="O69" s="2368"/>
      <c r="P69" s="333"/>
      <c r="Q69" s="845"/>
    </row>
    <row r="70" spans="1:17" ht="14.4"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 thickTop="1">
      <c r="A71" s="920"/>
      <c r="B71" s="1052">
        <f>B23</f>
        <v>111</v>
      </c>
      <c r="C71" s="126"/>
      <c r="D71" s="126"/>
      <c r="E71" s="126"/>
      <c r="F71" s="126"/>
      <c r="G71" s="139"/>
      <c r="H71" s="139"/>
      <c r="I71" s="139"/>
      <c r="J71" s="139"/>
      <c r="K71" s="139"/>
      <c r="L71" s="1382"/>
      <c r="M71" s="1383"/>
      <c r="N71" s="2367"/>
      <c r="O71" s="2367"/>
      <c r="P71" s="333"/>
      <c r="Q71" s="845"/>
    </row>
    <row r="72" spans="1:17" s="406" customFormat="1" ht="15" thickBot="1">
      <c r="A72" s="920"/>
      <c r="B72" s="1053"/>
      <c r="C72" s="901"/>
      <c r="D72" s="877"/>
      <c r="E72" s="877"/>
      <c r="F72" s="877"/>
      <c r="G72" s="877"/>
      <c r="H72" s="877"/>
      <c r="I72" s="877"/>
      <c r="J72" s="877"/>
      <c r="K72" s="877"/>
      <c r="L72" s="877"/>
      <c r="M72" s="878"/>
      <c r="N72" s="2369"/>
      <c r="O72" s="2369"/>
      <c r="P72" s="333"/>
      <c r="Q72" s="845"/>
    </row>
    <row r="73" spans="1:17" s="406" customFormat="1" ht="15" thickTop="1">
      <c r="A73" s="920"/>
      <c r="B73" s="1052">
        <f>B24</f>
        <v>111</v>
      </c>
      <c r="C73" s="126"/>
      <c r="D73" s="126"/>
      <c r="E73" s="126"/>
      <c r="F73" s="126"/>
      <c r="G73" s="139"/>
      <c r="H73" s="139"/>
      <c r="I73" s="139"/>
      <c r="J73" s="139"/>
      <c r="K73" s="139"/>
      <c r="L73" s="139"/>
      <c r="M73" s="1383"/>
      <c r="N73" s="2367"/>
      <c r="O73" s="2367"/>
      <c r="P73" s="333"/>
      <c r="Q73" s="845"/>
    </row>
    <row r="74" spans="1:17" s="406" customFormat="1" ht="15" thickBot="1">
      <c r="A74" s="920"/>
      <c r="B74" s="1053"/>
      <c r="C74" s="901"/>
      <c r="D74" s="877"/>
      <c r="E74" s="877"/>
      <c r="F74" s="877"/>
      <c r="G74" s="877"/>
      <c r="H74" s="877"/>
      <c r="I74" s="877"/>
      <c r="J74" s="877"/>
      <c r="K74" s="877"/>
      <c r="L74" s="877"/>
      <c r="M74" s="878"/>
      <c r="N74" s="2369"/>
      <c r="O74" s="2369"/>
      <c r="P74" s="333"/>
      <c r="Q74" s="845"/>
    </row>
    <row r="75" spans="1:17" s="812" customFormat="1" ht="1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4.4"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4.4"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4.4"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4.4"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4.4"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4.4"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 thickBot="1">
      <c r="A96" s="875"/>
      <c r="B96" s="1053"/>
      <c r="C96" s="901"/>
      <c r="D96" s="901"/>
      <c r="E96" s="901"/>
      <c r="F96" s="901"/>
      <c r="G96" s="901"/>
      <c r="H96" s="903"/>
      <c r="I96" s="903"/>
      <c r="J96" s="903"/>
      <c r="K96" s="903"/>
      <c r="L96" s="903"/>
      <c r="M96" s="904"/>
      <c r="N96" s="2369"/>
      <c r="O96" s="2369"/>
      <c r="P96" s="333"/>
      <c r="Q96" s="845"/>
    </row>
    <row r="97" spans="1:20" ht="14.4"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ColWidth="9" defaultRowHeight="13.8"/>
  <cols>
    <col min="1" max="1" width="14.33203125" style="744" customWidth="1"/>
    <col min="2" max="2" width="15.77734375" style="744" customWidth="1"/>
    <col min="3" max="3" width="14.33203125" style="744" customWidth="1"/>
    <col min="4" max="4" width="14.109375" style="744" customWidth="1"/>
    <col min="5" max="5" width="14.33203125" style="744" customWidth="1"/>
    <col min="6" max="6" width="12.21875" style="744" customWidth="1"/>
    <col min="7" max="7" width="14.44140625" style="744" customWidth="1"/>
    <col min="8" max="8" width="12.21875" style="744" customWidth="1"/>
    <col min="9" max="9" width="14.44140625" style="744" customWidth="1"/>
    <col min="10" max="10" width="12.21875" style="744" customWidth="1"/>
    <col min="11" max="11" width="12.21875" style="836" customWidth="1"/>
    <col min="12" max="12" width="12.21875" style="837" customWidth="1"/>
    <col min="13" max="15" width="12.21875" style="744" customWidth="1"/>
    <col min="16" max="16" width="4.77734375" style="744" customWidth="1"/>
    <col min="17" max="17" width="19.44140625" style="744" customWidth="1"/>
    <col min="18" max="22" width="6.109375" style="744" customWidth="1"/>
    <col min="23" max="23" width="5.77734375" style="744" customWidth="1"/>
    <col min="24" max="24" width="4.21875" style="744" customWidth="1"/>
    <col min="25" max="25" width="3.44140625" style="744" customWidth="1"/>
    <col min="26" max="26" width="19.77734375" style="744" customWidth="1"/>
    <col min="27" max="28" width="9.3320312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4.4">
      <c r="A4" s="742" t="s">
        <v>388</v>
      </c>
      <c r="B4" s="743"/>
      <c r="C4" s="3689" t="s">
        <v>389</v>
      </c>
      <c r="D4" s="3690"/>
      <c r="E4" s="3691" t="s">
        <v>390</v>
      </c>
      <c r="F4" s="3692"/>
      <c r="G4" s="3689" t="s">
        <v>391</v>
      </c>
      <c r="H4" s="3690"/>
      <c r="I4" s="3689" t="s">
        <v>392</v>
      </c>
      <c r="J4" s="3690"/>
      <c r="K4" s="951" t="s">
        <v>393</v>
      </c>
      <c r="L4" s="2346"/>
      <c r="M4" s="2347"/>
      <c r="N4" s="2347"/>
      <c r="O4" s="2347"/>
      <c r="P4" s="3693" t="s">
        <v>394</v>
      </c>
      <c r="Q4" s="3694"/>
      <c r="R4" s="3699" t="s">
        <v>390</v>
      </c>
      <c r="S4" s="3700"/>
      <c r="T4" s="3699" t="s">
        <v>391</v>
      </c>
      <c r="U4" s="3700"/>
      <c r="V4" s="3705" t="s">
        <v>392</v>
      </c>
      <c r="W4" s="3705"/>
      <c r="X4" s="1316"/>
      <c r="Y4" s="3699" t="s">
        <v>394</v>
      </c>
      <c r="Z4" s="3700"/>
      <c r="AA4" s="3686" t="s">
        <v>390</v>
      </c>
      <c r="AB4" s="3687" t="s">
        <v>391</v>
      </c>
      <c r="AC4" s="3686" t="s">
        <v>392</v>
      </c>
    </row>
    <row r="5" spans="1:30" ht="14.4">
      <c r="A5" s="745"/>
      <c r="B5" s="746"/>
      <c r="C5" s="3652" t="s">
        <v>1126</v>
      </c>
      <c r="D5" s="3653"/>
      <c r="E5" s="3659" t="s">
        <v>3057</v>
      </c>
      <c r="F5" s="3660"/>
      <c r="G5" s="3652" t="s">
        <v>1130</v>
      </c>
      <c r="H5" s="3653"/>
      <c r="I5" s="3652" t="s">
        <v>1128</v>
      </c>
      <c r="J5" s="3653"/>
      <c r="K5" s="951"/>
      <c r="L5" s="2346"/>
      <c r="M5" s="2347"/>
      <c r="N5" s="2347"/>
      <c r="O5" s="2347"/>
      <c r="P5" s="3695"/>
      <c r="Q5" s="3696"/>
      <c r="R5" s="3701"/>
      <c r="S5" s="3702"/>
      <c r="T5" s="3701"/>
      <c r="U5" s="3702"/>
      <c r="V5" s="3705"/>
      <c r="W5" s="3705"/>
      <c r="X5" s="1316"/>
      <c r="Y5" s="3701"/>
      <c r="Z5" s="3702"/>
      <c r="AA5" s="3687"/>
      <c r="AB5" s="3687"/>
      <c r="AC5" s="3687"/>
    </row>
    <row r="6" spans="1:30" ht="15" thickBot="1">
      <c r="A6" s="747"/>
      <c r="B6" s="748"/>
      <c r="C6" s="3650" t="s">
        <v>1129</v>
      </c>
      <c r="D6" s="3651"/>
      <c r="E6" s="3657" t="s">
        <v>3055</v>
      </c>
      <c r="F6" s="3658"/>
      <c r="G6" s="3650" t="s">
        <v>1129</v>
      </c>
      <c r="H6" s="3651"/>
      <c r="I6" s="3650" t="s">
        <v>1129</v>
      </c>
      <c r="J6" s="3651"/>
      <c r="K6" s="951" t="s">
        <v>395</v>
      </c>
      <c r="L6" s="2346"/>
      <c r="M6" s="2347"/>
      <c r="N6" s="2347"/>
      <c r="O6" s="2347"/>
      <c r="P6" s="3697"/>
      <c r="Q6" s="3698"/>
      <c r="R6" s="3701"/>
      <c r="S6" s="3702"/>
      <c r="T6" s="3703"/>
      <c r="U6" s="3704"/>
      <c r="V6" s="3705"/>
      <c r="W6" s="3705"/>
      <c r="X6" s="1316"/>
      <c r="Y6" s="3703"/>
      <c r="Z6" s="3704"/>
      <c r="AA6" s="3688"/>
      <c r="AB6" s="3688"/>
      <c r="AC6" s="3688"/>
    </row>
    <row r="7" spans="1:30" s="406" customFormat="1" ht="15" thickBot="1">
      <c r="A7" s="749" t="s">
        <v>396</v>
      </c>
      <c r="B7" s="750"/>
      <c r="C7" s="751">
        <f>'数据-取费表'!B2</f>
        <v>43385</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710" t="s">
        <v>397</v>
      </c>
      <c r="Q7" s="3712"/>
      <c r="R7" s="1317" t="s">
        <v>65</v>
      </c>
      <c r="S7" s="1318">
        <f t="shared" ref="S7:S15" si="0">F7</f>
        <v>0</v>
      </c>
      <c r="T7" s="1317" t="s">
        <v>65</v>
      </c>
      <c r="U7" s="1318">
        <f t="shared" ref="U7:U15" si="1">H7</f>
        <v>0</v>
      </c>
      <c r="V7" s="1317" t="s">
        <v>65</v>
      </c>
      <c r="W7" s="1318">
        <f t="shared" ref="W7:W15" si="2">J7</f>
        <v>0</v>
      </c>
      <c r="X7" s="1319"/>
      <c r="Y7" s="3710" t="s">
        <v>397</v>
      </c>
      <c r="Z7" s="3711"/>
      <c r="AA7" s="1320" t="e">
        <f>D7/F7</f>
        <v>#DIV/0!</v>
      </c>
      <c r="AB7" s="1320" t="e">
        <f>D7/H7</f>
        <v>#DIV/0!</v>
      </c>
      <c r="AC7" s="1320" t="e">
        <f>D7/J7</f>
        <v>#DIV/0!</v>
      </c>
    </row>
    <row r="8" spans="1:30" s="406" customFormat="1" ht="1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710" t="s">
        <v>433</v>
      </c>
      <c r="Q8" s="3711"/>
      <c r="R8" s="1317" t="s">
        <v>65</v>
      </c>
      <c r="S8" s="1318">
        <f t="shared" si="0"/>
        <v>100</v>
      </c>
      <c r="T8" s="1317" t="s">
        <v>65</v>
      </c>
      <c r="U8" s="1318">
        <f t="shared" si="1"/>
        <v>0</v>
      </c>
      <c r="V8" s="1317" t="s">
        <v>65</v>
      </c>
      <c r="W8" s="1318">
        <f t="shared" si="2"/>
        <v>0</v>
      </c>
      <c r="X8" s="1319"/>
      <c r="Y8" s="3710" t="s">
        <v>433</v>
      </c>
      <c r="Z8" s="3711"/>
      <c r="AA8" s="1320">
        <f t="shared" ref="AA8:AA45" si="3">D8/F8</f>
        <v>1</v>
      </c>
      <c r="AB8" s="1320" t="e">
        <f t="shared" ref="AB8:AB45" si="4">D8/H8</f>
        <v>#DIV/0!</v>
      </c>
      <c r="AC8" s="1320" t="e">
        <f t="shared" ref="AC8:AC45" si="5">D8/J8</f>
        <v>#DIV/0!</v>
      </c>
    </row>
    <row r="9" spans="1:30" s="406" customFormat="1" ht="14.4">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77" t="s">
        <v>400</v>
      </c>
      <c r="Q9" s="295" t="str">
        <f t="shared" ref="Q9:Q15" si="6">B9</f>
        <v>用途</v>
      </c>
      <c r="R9" s="1317" t="s">
        <v>65</v>
      </c>
      <c r="S9" s="1318">
        <f t="shared" si="0"/>
        <v>100</v>
      </c>
      <c r="T9" s="1317" t="s">
        <v>65</v>
      </c>
      <c r="U9" s="1318">
        <f t="shared" si="1"/>
        <v>100</v>
      </c>
      <c r="V9" s="1317" t="s">
        <v>65</v>
      </c>
      <c r="W9" s="1318">
        <f t="shared" si="2"/>
        <v>100</v>
      </c>
      <c r="X9" s="1319"/>
      <c r="Y9" s="3483" t="s">
        <v>401</v>
      </c>
      <c r="Z9" s="343" t="str">
        <f t="shared" ref="Z9:Z15" si="7">Q9</f>
        <v>用途</v>
      </c>
      <c r="AA9" s="1320">
        <f t="shared" si="3"/>
        <v>1</v>
      </c>
      <c r="AB9" s="1320">
        <f t="shared" si="4"/>
        <v>1</v>
      </c>
      <c r="AC9" s="1320">
        <f t="shared" si="5"/>
        <v>1</v>
      </c>
    </row>
    <row r="10" spans="1:30" s="768" customFormat="1" ht="28.8">
      <c r="A10" s="762"/>
      <c r="B10" s="763" t="s">
        <v>402</v>
      </c>
      <c r="C10" s="773"/>
      <c r="D10" s="425">
        <v>100</v>
      </c>
      <c r="E10" s="806"/>
      <c r="F10" s="425">
        <f>ROUND(100/'数据-取费表'!G16,0)</f>
        <v>102</v>
      </c>
      <c r="G10" s="804"/>
      <c r="H10" s="425">
        <f>ROUND(100/'数据-取费表'!G16,0)</f>
        <v>102</v>
      </c>
      <c r="I10" s="804"/>
      <c r="J10" s="425">
        <f>ROUND(100/'数据-取费表'!G16,0)</f>
        <v>102</v>
      </c>
      <c r="K10" s="1079"/>
      <c r="L10" s="2351"/>
      <c r="M10" s="2352"/>
      <c r="N10" s="2352"/>
      <c r="O10" s="2353"/>
      <c r="P10" s="3677"/>
      <c r="Q10" s="295" t="str">
        <f t="shared" si="6"/>
        <v>土地使用年限（年）</v>
      </c>
      <c r="R10" s="1317" t="s">
        <v>65</v>
      </c>
      <c r="S10" s="1318">
        <f t="shared" si="0"/>
        <v>102</v>
      </c>
      <c r="T10" s="1317" t="s">
        <v>65</v>
      </c>
      <c r="U10" s="1318">
        <f t="shared" si="1"/>
        <v>102</v>
      </c>
      <c r="V10" s="1317" t="s">
        <v>65</v>
      </c>
      <c r="W10" s="1318">
        <f t="shared" si="2"/>
        <v>102</v>
      </c>
      <c r="X10" s="1319"/>
      <c r="Y10" s="3483"/>
      <c r="Z10" s="343" t="str">
        <f t="shared" si="7"/>
        <v>土地使用年限（年）</v>
      </c>
      <c r="AA10" s="1320">
        <f t="shared" si="3"/>
        <v>0.98039215686274506</v>
      </c>
      <c r="AB10" s="1320">
        <f t="shared" si="4"/>
        <v>0.98039215686274506</v>
      </c>
      <c r="AC10" s="1320">
        <f t="shared" si="5"/>
        <v>0.98039215686274506</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77"/>
      <c r="Q11" s="295" t="str">
        <f t="shared" si="6"/>
        <v>容积率</v>
      </c>
      <c r="R11" s="1317" t="s">
        <v>65</v>
      </c>
      <c r="S11" s="1318" t="e">
        <f t="shared" si="0"/>
        <v>#N/A</v>
      </c>
      <c r="T11" s="1317" t="s">
        <v>65</v>
      </c>
      <c r="U11" s="1318" t="e">
        <f t="shared" si="1"/>
        <v>#N/A</v>
      </c>
      <c r="V11" s="1317" t="s">
        <v>65</v>
      </c>
      <c r="W11" s="1318" t="e">
        <f t="shared" si="2"/>
        <v>#N/A</v>
      </c>
      <c r="X11" s="1319"/>
      <c r="Y11" s="3483"/>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77"/>
      <c r="Q12" s="295" t="str">
        <f t="shared" si="6"/>
        <v>配建</v>
      </c>
      <c r="R12" s="1317" t="s">
        <v>65</v>
      </c>
      <c r="S12" s="1318">
        <f t="shared" si="0"/>
        <v>100</v>
      </c>
      <c r="T12" s="1317" t="s">
        <v>65</v>
      </c>
      <c r="U12" s="1318">
        <f t="shared" si="1"/>
        <v>100</v>
      </c>
      <c r="V12" s="1317" t="s">
        <v>65</v>
      </c>
      <c r="W12" s="1318">
        <f t="shared" si="2"/>
        <v>100</v>
      </c>
      <c r="X12" s="1319"/>
      <c r="Y12" s="3483"/>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77"/>
      <c r="Q13" s="295">
        <f t="shared" si="6"/>
        <v>111</v>
      </c>
      <c r="R13" s="1317" t="s">
        <v>65</v>
      </c>
      <c r="S13" s="1318">
        <f t="shared" si="0"/>
        <v>100</v>
      </c>
      <c r="T13" s="1317" t="s">
        <v>65</v>
      </c>
      <c r="U13" s="1318">
        <f t="shared" si="1"/>
        <v>100</v>
      </c>
      <c r="V13" s="1317" t="s">
        <v>65</v>
      </c>
      <c r="W13" s="1318">
        <f t="shared" si="2"/>
        <v>100</v>
      </c>
      <c r="X13" s="1319"/>
      <c r="Y13" s="3483"/>
      <c r="Z13" s="343">
        <f t="shared" si="7"/>
        <v>111</v>
      </c>
      <c r="AA13" s="1320">
        <f>D13/F13</f>
        <v>1</v>
      </c>
      <c r="AB13" s="1320">
        <f>D13/H13</f>
        <v>1</v>
      </c>
      <c r="AC13" s="1320">
        <f>D13/J13</f>
        <v>1</v>
      </c>
    </row>
    <row r="14" spans="1:30" ht="15.6"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77"/>
      <c r="Q14" s="295">
        <f t="shared" si="6"/>
        <v>111</v>
      </c>
      <c r="R14" s="1317" t="s">
        <v>65</v>
      </c>
      <c r="S14" s="1318">
        <f t="shared" si="0"/>
        <v>100</v>
      </c>
      <c r="T14" s="1317" t="s">
        <v>65</v>
      </c>
      <c r="U14" s="1318">
        <f t="shared" si="1"/>
        <v>100</v>
      </c>
      <c r="V14" s="1317" t="s">
        <v>65</v>
      </c>
      <c r="W14" s="1318">
        <f t="shared" si="2"/>
        <v>100</v>
      </c>
      <c r="X14" s="1319"/>
      <c r="Y14" s="3483"/>
      <c r="Z14" s="343">
        <f t="shared" si="7"/>
        <v>111</v>
      </c>
      <c r="AA14" s="1320">
        <f>D14/F14</f>
        <v>1</v>
      </c>
      <c r="AB14" s="1320">
        <f>D14/H14</f>
        <v>1</v>
      </c>
      <c r="AC14" s="1320">
        <f>D14/J14</f>
        <v>1</v>
      </c>
    </row>
    <row r="15" spans="1:30" ht="100.8">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682" t="s">
        <v>405</v>
      </c>
      <c r="Q15" s="1321" t="str">
        <f t="shared" si="6"/>
        <v>居住社区成熟度</v>
      </c>
      <c r="R15" s="1322" t="s">
        <v>65</v>
      </c>
      <c r="S15" s="1323">
        <f t="shared" si="0"/>
        <v>100</v>
      </c>
      <c r="T15" s="1322" t="s">
        <v>65</v>
      </c>
      <c r="U15" s="1323">
        <f t="shared" si="1"/>
        <v>100</v>
      </c>
      <c r="V15" s="1322" t="s">
        <v>65</v>
      </c>
      <c r="W15" s="1323">
        <f t="shared" si="2"/>
        <v>100</v>
      </c>
      <c r="X15" s="1316"/>
      <c r="Y15" s="3682"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683"/>
      <c r="Q16" s="1321"/>
      <c r="R16" s="1322"/>
      <c r="S16" s="1323"/>
      <c r="T16" s="1322"/>
      <c r="U16" s="1323"/>
      <c r="V16" s="1322"/>
      <c r="W16" s="1323"/>
      <c r="X16" s="1316"/>
      <c r="Y16" s="3683"/>
      <c r="Z16" s="1324"/>
      <c r="AA16" s="1325">
        <v>1</v>
      </c>
      <c r="AB16" s="1325">
        <v>1</v>
      </c>
      <c r="AC16" s="1325">
        <v>1</v>
      </c>
    </row>
    <row r="17" spans="1:29" ht="86.4">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683"/>
      <c r="Q17" s="1321" t="str">
        <f>B17</f>
        <v>商业繁华度</v>
      </c>
      <c r="R17" s="1322" t="s">
        <v>65</v>
      </c>
      <c r="S17" s="1323">
        <f>F17</f>
        <v>100</v>
      </c>
      <c r="T17" s="1322" t="s">
        <v>65</v>
      </c>
      <c r="U17" s="1323">
        <f>H17</f>
        <v>100</v>
      </c>
      <c r="V17" s="1322" t="s">
        <v>65</v>
      </c>
      <c r="W17" s="1323">
        <f>J17</f>
        <v>100</v>
      </c>
      <c r="X17" s="1316"/>
      <c r="Y17" s="3683"/>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683"/>
      <c r="Q18" s="1321"/>
      <c r="R18" s="1322"/>
      <c r="S18" s="1323"/>
      <c r="T18" s="1322"/>
      <c r="U18" s="1323"/>
      <c r="V18" s="1322"/>
      <c r="W18" s="1323"/>
      <c r="X18" s="1316"/>
      <c r="Y18" s="3683"/>
      <c r="Z18" s="1324"/>
      <c r="AA18" s="1325">
        <v>1</v>
      </c>
      <c r="AB18" s="1325">
        <v>1</v>
      </c>
      <c r="AC18" s="1325">
        <v>1</v>
      </c>
    </row>
    <row r="19" spans="1:29" ht="86.4">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683"/>
      <c r="Q19" s="1321" t="str">
        <f>B19</f>
        <v>办公集聚程度</v>
      </c>
      <c r="R19" s="1322" t="s">
        <v>65</v>
      </c>
      <c r="S19" s="1323">
        <f>F19</f>
        <v>100</v>
      </c>
      <c r="T19" s="1322" t="s">
        <v>65</v>
      </c>
      <c r="U19" s="1323">
        <f>H19</f>
        <v>100</v>
      </c>
      <c r="V19" s="1322" t="s">
        <v>65</v>
      </c>
      <c r="W19" s="1323">
        <f>J19</f>
        <v>100</v>
      </c>
      <c r="X19" s="1316"/>
      <c r="Y19" s="3683"/>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683"/>
      <c r="Q20" s="1321"/>
      <c r="R20" s="1322"/>
      <c r="S20" s="1323"/>
      <c r="T20" s="1322"/>
      <c r="U20" s="1323"/>
      <c r="V20" s="1322"/>
      <c r="W20" s="1323"/>
      <c r="X20" s="1316"/>
      <c r="Y20" s="3683"/>
      <c r="Z20" s="1324"/>
      <c r="AA20" s="1325">
        <v>1</v>
      </c>
      <c r="AB20" s="1325">
        <v>1</v>
      </c>
      <c r="AC20" s="1325">
        <v>1</v>
      </c>
    </row>
    <row r="21" spans="1:29" ht="100.8">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683"/>
      <c r="Q21" s="1321" t="str">
        <f>B21</f>
        <v>交通便捷度</v>
      </c>
      <c r="R21" s="1322" t="s">
        <v>65</v>
      </c>
      <c r="S21" s="1323">
        <f>F21</f>
        <v>100</v>
      </c>
      <c r="T21" s="1322" t="s">
        <v>65</v>
      </c>
      <c r="U21" s="1323">
        <f>H21</f>
        <v>100</v>
      </c>
      <c r="V21" s="1322" t="s">
        <v>65</v>
      </c>
      <c r="W21" s="1323">
        <f>J21</f>
        <v>100</v>
      </c>
      <c r="X21" s="1316"/>
      <c r="Y21" s="3683"/>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683"/>
      <c r="Q22" s="1321"/>
      <c r="R22" s="1322"/>
      <c r="S22" s="1323"/>
      <c r="T22" s="1322"/>
      <c r="U22" s="1323"/>
      <c r="V22" s="1322"/>
      <c r="W22" s="1323"/>
      <c r="X22" s="1316"/>
      <c r="Y22" s="3683"/>
      <c r="Z22" s="1324"/>
      <c r="AA22" s="1325">
        <v>1</v>
      </c>
      <c r="AB22" s="1325">
        <v>1</v>
      </c>
      <c r="AC22" s="1325">
        <v>1</v>
      </c>
    </row>
    <row r="23" spans="1:29" ht="28.8">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683"/>
      <c r="Q23" s="1321" t="str">
        <f t="shared" ref="Q23:Q37" si="8">B23</f>
        <v>区域土地利用方向</v>
      </c>
      <c r="R23" s="1322" t="s">
        <v>65</v>
      </c>
      <c r="S23" s="1323">
        <f>F23</f>
        <v>100</v>
      </c>
      <c r="T23" s="1322" t="s">
        <v>65</v>
      </c>
      <c r="U23" s="1323">
        <f>H23</f>
        <v>100</v>
      </c>
      <c r="V23" s="1322" t="s">
        <v>65</v>
      </c>
      <c r="W23" s="1323">
        <f>J23</f>
        <v>100</v>
      </c>
      <c r="X23" s="1316"/>
      <c r="Y23" s="3683"/>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683"/>
      <c r="Q24" s="1467"/>
      <c r="R24" s="1322"/>
      <c r="S24" s="1323"/>
      <c r="T24" s="1322"/>
      <c r="U24" s="1323"/>
      <c r="V24" s="1322"/>
      <c r="W24" s="1323"/>
      <c r="X24" s="1466"/>
      <c r="Y24" s="3683"/>
      <c r="Z24" s="1468"/>
      <c r="AA24" s="1325"/>
      <c r="AB24" s="1325"/>
      <c r="AC24" s="1325"/>
    </row>
    <row r="25" spans="1:29" ht="57.6">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683"/>
      <c r="Q25" s="1321" t="str">
        <f t="shared" si="8"/>
        <v>自然及人文环境状况</v>
      </c>
      <c r="R25" s="1322" t="s">
        <v>65</v>
      </c>
      <c r="S25" s="1323">
        <f>F25</f>
        <v>100</v>
      </c>
      <c r="T25" s="1322" t="s">
        <v>65</v>
      </c>
      <c r="U25" s="1323">
        <f>H25</f>
        <v>100</v>
      </c>
      <c r="V25" s="1322" t="s">
        <v>65</v>
      </c>
      <c r="W25" s="1323">
        <f>J25</f>
        <v>100</v>
      </c>
      <c r="X25" s="1316"/>
      <c r="Y25" s="3683"/>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683"/>
      <c r="Q26" s="1321"/>
      <c r="R26" s="1322"/>
      <c r="S26" s="1323"/>
      <c r="T26" s="1322"/>
      <c r="U26" s="1323"/>
      <c r="V26" s="1322"/>
      <c r="W26" s="1323"/>
      <c r="X26" s="1316"/>
      <c r="Y26" s="3683"/>
      <c r="Z26" s="1324"/>
      <c r="AA26" s="1325">
        <v>1</v>
      </c>
      <c r="AB26" s="1325">
        <v>1</v>
      </c>
      <c r="AC26" s="1325">
        <v>1</v>
      </c>
    </row>
    <row r="27" spans="1:29" s="406" customFormat="1" ht="43.2">
      <c r="A27" s="990"/>
      <c r="B27" s="1410" t="s">
        <v>2661</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683"/>
      <c r="Q27" s="295" t="str">
        <f t="shared" si="8"/>
        <v>公共配套设施</v>
      </c>
      <c r="R27" s="1317" t="s">
        <v>65</v>
      </c>
      <c r="S27" s="1318">
        <f>F27</f>
        <v>100</v>
      </c>
      <c r="T27" s="1317" t="s">
        <v>65</v>
      </c>
      <c r="U27" s="1318">
        <f>H27</f>
        <v>100</v>
      </c>
      <c r="V27" s="1317" t="s">
        <v>65</v>
      </c>
      <c r="W27" s="1318">
        <f>J27</f>
        <v>100</v>
      </c>
      <c r="X27" s="1319"/>
      <c r="Y27" s="3683"/>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683"/>
      <c r="Q28" s="295"/>
      <c r="R28" s="1317"/>
      <c r="S28" s="1318"/>
      <c r="T28" s="1317"/>
      <c r="U28" s="1318"/>
      <c r="V28" s="1317"/>
      <c r="W28" s="1318"/>
      <c r="X28" s="1319"/>
      <c r="Y28" s="3683"/>
      <c r="Z28" s="343"/>
      <c r="AA28" s="1325">
        <v>1</v>
      </c>
      <c r="AB28" s="1325">
        <v>1</v>
      </c>
      <c r="AC28" s="1325">
        <v>1</v>
      </c>
    </row>
    <row r="29" spans="1:29" s="406" customFormat="1" ht="43.2">
      <c r="A29" s="990"/>
      <c r="B29" s="1410" t="s">
        <v>2662</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683"/>
      <c r="Q29" s="2742" t="str">
        <f t="shared" ref="Q29" si="9">B29</f>
        <v>基础设施水平</v>
      </c>
      <c r="R29" s="1317" t="s">
        <v>65</v>
      </c>
      <c r="S29" s="1318">
        <f>F29</f>
        <v>100</v>
      </c>
      <c r="T29" s="1317" t="s">
        <v>65</v>
      </c>
      <c r="U29" s="1318">
        <f>H29</f>
        <v>100</v>
      </c>
      <c r="V29" s="1317" t="s">
        <v>65</v>
      </c>
      <c r="W29" s="1318">
        <f>J29</f>
        <v>100</v>
      </c>
      <c r="X29" s="1319"/>
      <c r="Y29" s="3683"/>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683"/>
      <c r="Q30" s="2742"/>
      <c r="R30" s="1317"/>
      <c r="S30" s="1318"/>
      <c r="T30" s="1317"/>
      <c r="U30" s="1318"/>
      <c r="V30" s="1317"/>
      <c r="W30" s="1318"/>
      <c r="X30" s="1319"/>
      <c r="Y30" s="3683"/>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683"/>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83"/>
      <c r="Z31" s="1324" t="str">
        <f t="shared" ref="Z31:Z45" si="13">Q31</f>
        <v>临街状况</v>
      </c>
      <c r="AA31" s="1325">
        <f t="shared" si="3"/>
        <v>1</v>
      </c>
      <c r="AB31" s="1325">
        <f t="shared" si="4"/>
        <v>1</v>
      </c>
      <c r="AC31" s="1325">
        <f t="shared" si="5"/>
        <v>1</v>
      </c>
    </row>
    <row r="32" spans="1:29" ht="28.8">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683"/>
      <c r="Q32" s="1321" t="str">
        <f t="shared" si="8"/>
        <v>毗邻道路的类型与等级</v>
      </c>
      <c r="R32" s="1322" t="s">
        <v>65</v>
      </c>
      <c r="S32" s="1323">
        <f t="shared" si="10"/>
        <v>100</v>
      </c>
      <c r="T32" s="1322" t="s">
        <v>65</v>
      </c>
      <c r="U32" s="1323">
        <f t="shared" si="11"/>
        <v>100</v>
      </c>
      <c r="V32" s="1322" t="s">
        <v>65</v>
      </c>
      <c r="W32" s="1323">
        <f t="shared" si="12"/>
        <v>100</v>
      </c>
      <c r="X32" s="1316"/>
      <c r="Y32" s="3683"/>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683"/>
      <c r="Q33" s="1321"/>
      <c r="R33" s="1322"/>
      <c r="S33" s="1323"/>
      <c r="T33" s="1322"/>
      <c r="U33" s="1323"/>
      <c r="V33" s="1322"/>
      <c r="W33" s="1323"/>
      <c r="X33" s="1316"/>
      <c r="Y33" s="3683"/>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683"/>
      <c r="Q34" s="1321" t="str">
        <f t="shared" si="8"/>
        <v>土地级别</v>
      </c>
      <c r="R34" s="1322" t="s">
        <v>65</v>
      </c>
      <c r="S34" s="1323">
        <f t="shared" si="10"/>
        <v>100</v>
      </c>
      <c r="T34" s="1322" t="s">
        <v>65</v>
      </c>
      <c r="U34" s="1323">
        <f t="shared" si="11"/>
        <v>100</v>
      </c>
      <c r="V34" s="1322" t="s">
        <v>65</v>
      </c>
      <c r="W34" s="1323">
        <f t="shared" si="12"/>
        <v>100</v>
      </c>
      <c r="X34" s="1316"/>
      <c r="Y34" s="3683"/>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683"/>
      <c r="Q35" s="1321">
        <f t="shared" si="8"/>
        <v>111</v>
      </c>
      <c r="R35" s="1322" t="s">
        <v>65</v>
      </c>
      <c r="S35" s="1323">
        <f t="shared" si="10"/>
        <v>100</v>
      </c>
      <c r="T35" s="1322" t="s">
        <v>65</v>
      </c>
      <c r="U35" s="1323">
        <f t="shared" si="11"/>
        <v>100</v>
      </c>
      <c r="V35" s="1322" t="s">
        <v>65</v>
      </c>
      <c r="W35" s="1323">
        <f t="shared" si="12"/>
        <v>100</v>
      </c>
      <c r="X35" s="1316"/>
      <c r="Y35" s="3683"/>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684" t="s">
        <v>407</v>
      </c>
      <c r="Q36" s="1321">
        <f t="shared" si="8"/>
        <v>111</v>
      </c>
      <c r="R36" s="1322" t="s">
        <v>65</v>
      </c>
      <c r="S36" s="1323">
        <f t="shared" si="10"/>
        <v>100</v>
      </c>
      <c r="T36" s="1322" t="s">
        <v>65</v>
      </c>
      <c r="U36" s="1323">
        <f t="shared" si="11"/>
        <v>100</v>
      </c>
      <c r="V36" s="1322" t="s">
        <v>65</v>
      </c>
      <c r="W36" s="1323">
        <f t="shared" si="12"/>
        <v>100</v>
      </c>
      <c r="X36" s="1316"/>
      <c r="Y36" s="3685" t="s">
        <v>407</v>
      </c>
      <c r="Z36" s="1324">
        <f t="shared" si="13"/>
        <v>111</v>
      </c>
      <c r="AA36" s="1325">
        <f t="shared" si="3"/>
        <v>1</v>
      </c>
      <c r="AB36" s="1325">
        <f t="shared" si="4"/>
        <v>1</v>
      </c>
      <c r="AC36" s="1325">
        <f t="shared" si="5"/>
        <v>1</v>
      </c>
    </row>
    <row r="37" spans="1:29" s="812" customFormat="1" ht="15.6"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685"/>
      <c r="Q37" s="1321">
        <f t="shared" si="8"/>
        <v>111</v>
      </c>
      <c r="R37" s="1327" t="s">
        <v>65</v>
      </c>
      <c r="S37" s="1328">
        <f t="shared" si="10"/>
        <v>100</v>
      </c>
      <c r="T37" s="1327" t="s">
        <v>65</v>
      </c>
      <c r="U37" s="1328">
        <f t="shared" si="11"/>
        <v>100</v>
      </c>
      <c r="V37" s="1327" t="s">
        <v>65</v>
      </c>
      <c r="W37" s="1328">
        <f t="shared" si="12"/>
        <v>100</v>
      </c>
      <c r="X37" s="1329"/>
      <c r="Y37" s="3685"/>
      <c r="Z37" s="1330">
        <f t="shared" si="13"/>
        <v>111</v>
      </c>
      <c r="AA37" s="1325">
        <f t="shared" si="3"/>
        <v>1</v>
      </c>
      <c r="AB37" s="1325">
        <f t="shared" si="4"/>
        <v>1</v>
      </c>
      <c r="AC37" s="1325">
        <f t="shared" si="5"/>
        <v>1</v>
      </c>
    </row>
    <row r="38" spans="1:29" ht="15.6">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685"/>
      <c r="Q38" s="1321" t="str">
        <f>B38</f>
        <v>宗地面积</v>
      </c>
      <c r="R38" s="1322" t="s">
        <v>65</v>
      </c>
      <c r="S38" s="1323" t="e">
        <f t="shared" si="10"/>
        <v>#N/A</v>
      </c>
      <c r="T38" s="1322" t="s">
        <v>65</v>
      </c>
      <c r="U38" s="1323" t="e">
        <f t="shared" si="11"/>
        <v>#N/A</v>
      </c>
      <c r="V38" s="1322" t="s">
        <v>65</v>
      </c>
      <c r="W38" s="1323" t="e">
        <f t="shared" si="12"/>
        <v>#N/A</v>
      </c>
      <c r="X38" s="1316"/>
      <c r="Y38" s="3685"/>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685"/>
      <c r="Q39" s="1321" t="str">
        <f t="shared" ref="Q39:Q45" si="14">B39</f>
        <v>宗地形状</v>
      </c>
      <c r="R39" s="1322" t="s">
        <v>65</v>
      </c>
      <c r="S39" s="1323">
        <f t="shared" si="10"/>
        <v>100</v>
      </c>
      <c r="T39" s="1322" t="s">
        <v>65</v>
      </c>
      <c r="U39" s="1323">
        <f t="shared" si="11"/>
        <v>100</v>
      </c>
      <c r="V39" s="1322" t="s">
        <v>65</v>
      </c>
      <c r="W39" s="1323">
        <f t="shared" si="12"/>
        <v>100</v>
      </c>
      <c r="X39" s="1316"/>
      <c r="Y39" s="3685"/>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685"/>
      <c r="Q40" s="1321" t="str">
        <f t="shared" si="14"/>
        <v>临街宽度及深度</v>
      </c>
      <c r="R40" s="1322" t="s">
        <v>65</v>
      </c>
      <c r="S40" s="1323">
        <f t="shared" si="10"/>
        <v>100</v>
      </c>
      <c r="T40" s="1322" t="s">
        <v>65</v>
      </c>
      <c r="U40" s="1323">
        <f t="shared" si="11"/>
        <v>100</v>
      </c>
      <c r="V40" s="1322" t="s">
        <v>65</v>
      </c>
      <c r="W40" s="1323">
        <f t="shared" si="12"/>
        <v>100</v>
      </c>
      <c r="X40" s="1316"/>
      <c r="Y40" s="3685"/>
      <c r="Z40" s="1324" t="str">
        <f t="shared" si="13"/>
        <v>临街宽度及深度</v>
      </c>
      <c r="AA40" s="1325">
        <f t="shared" si="3"/>
        <v>1</v>
      </c>
      <c r="AB40" s="1325">
        <f t="shared" si="4"/>
        <v>1</v>
      </c>
      <c r="AC40" s="1325">
        <f t="shared" si="5"/>
        <v>1</v>
      </c>
    </row>
    <row r="41" spans="1:29" s="406" customFormat="1" ht="15">
      <c r="A41" s="814"/>
      <c r="B41" s="2608" t="s">
        <v>2494</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685"/>
      <c r="Q41" s="1321" t="str">
        <f t="shared" si="14"/>
        <v>宗地开发程度</v>
      </c>
      <c r="R41" s="1317" t="s">
        <v>65</v>
      </c>
      <c r="S41" s="1318">
        <f t="shared" si="10"/>
        <v>100</v>
      </c>
      <c r="T41" s="1317" t="s">
        <v>65</v>
      </c>
      <c r="U41" s="1318">
        <f t="shared" si="11"/>
        <v>100</v>
      </c>
      <c r="V41" s="1317" t="s">
        <v>65</v>
      </c>
      <c r="W41" s="1318">
        <f t="shared" si="12"/>
        <v>100</v>
      </c>
      <c r="X41" s="1319"/>
      <c r="Y41" s="3685"/>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685" t="s">
        <v>407</v>
      </c>
      <c r="Q42" s="1321" t="str">
        <f t="shared" si="14"/>
        <v>工程地质条件</v>
      </c>
      <c r="R42" s="1322" t="s">
        <v>65</v>
      </c>
      <c r="S42" s="1323">
        <f t="shared" si="10"/>
        <v>100</v>
      </c>
      <c r="T42" s="1322" t="s">
        <v>65</v>
      </c>
      <c r="U42" s="1323">
        <f t="shared" si="11"/>
        <v>100</v>
      </c>
      <c r="V42" s="1322" t="s">
        <v>65</v>
      </c>
      <c r="W42" s="1323">
        <f t="shared" si="12"/>
        <v>100</v>
      </c>
      <c r="X42" s="1316"/>
      <c r="Y42" s="3685"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85"/>
      <c r="Q43" s="1321">
        <f t="shared" si="14"/>
        <v>111</v>
      </c>
      <c r="R43" s="1322" t="s">
        <v>65</v>
      </c>
      <c r="S43" s="1323">
        <f t="shared" si="10"/>
        <v>100</v>
      </c>
      <c r="T43" s="1322" t="s">
        <v>65</v>
      </c>
      <c r="U43" s="1323">
        <f t="shared" si="11"/>
        <v>100</v>
      </c>
      <c r="V43" s="1322" t="s">
        <v>65</v>
      </c>
      <c r="W43" s="1323">
        <f t="shared" si="12"/>
        <v>100</v>
      </c>
      <c r="X43" s="1316"/>
      <c r="Y43" s="3685"/>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85"/>
      <c r="Q44" s="1321">
        <f t="shared" si="14"/>
        <v>111</v>
      </c>
      <c r="R44" s="1322" t="s">
        <v>65</v>
      </c>
      <c r="S44" s="1323">
        <f t="shared" si="10"/>
        <v>100</v>
      </c>
      <c r="T44" s="1322" t="s">
        <v>65</v>
      </c>
      <c r="U44" s="1323">
        <f t="shared" si="11"/>
        <v>100</v>
      </c>
      <c r="V44" s="1322" t="s">
        <v>65</v>
      </c>
      <c r="W44" s="1323">
        <f t="shared" si="12"/>
        <v>100</v>
      </c>
      <c r="X44" s="1316"/>
      <c r="Y44" s="3685"/>
      <c r="Z44" s="1324">
        <f t="shared" si="13"/>
        <v>111</v>
      </c>
      <c r="AA44" s="1325">
        <f t="shared" si="3"/>
        <v>1</v>
      </c>
      <c r="AB44" s="1325">
        <f t="shared" si="4"/>
        <v>1</v>
      </c>
      <c r="AC44" s="1325">
        <f t="shared" si="5"/>
        <v>1</v>
      </c>
    </row>
    <row r="45" spans="1:29" s="812" customFormat="1" ht="15.6"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685"/>
      <c r="Q45" s="1321">
        <f t="shared" si="14"/>
        <v>111</v>
      </c>
      <c r="R45" s="1327" t="s">
        <v>65</v>
      </c>
      <c r="S45" s="1328">
        <f t="shared" si="10"/>
        <v>100</v>
      </c>
      <c r="T45" s="1327" t="s">
        <v>65</v>
      </c>
      <c r="U45" s="1328">
        <f t="shared" si="11"/>
        <v>100</v>
      </c>
      <c r="V45" s="1327" t="s">
        <v>65</v>
      </c>
      <c r="W45" s="1328">
        <f t="shared" si="12"/>
        <v>100</v>
      </c>
      <c r="X45" s="1329"/>
      <c r="Y45" s="3685"/>
      <c r="Z45" s="1330">
        <f t="shared" si="13"/>
        <v>111</v>
      </c>
      <c r="AA45" s="1325">
        <f t="shared" si="3"/>
        <v>1</v>
      </c>
      <c r="AB45" s="1325">
        <f t="shared" si="4"/>
        <v>1</v>
      </c>
      <c r="AC45" s="1325">
        <f t="shared" si="5"/>
        <v>1</v>
      </c>
    </row>
    <row r="46" spans="1:29" ht="14.4">
      <c r="A46" s="820" t="s">
        <v>488</v>
      </c>
      <c r="B46" s="207" t="s">
        <v>158</v>
      </c>
      <c r="C46" s="1089" t="s">
        <v>23</v>
      </c>
      <c r="D46" s="822"/>
      <c r="E46" s="823"/>
      <c r="F46" s="824"/>
      <c r="G46" s="825"/>
      <c r="H46" s="826"/>
      <c r="I46" s="823"/>
      <c r="J46" s="826"/>
      <c r="K46" s="1398"/>
      <c r="L46" s="2359"/>
      <c r="M46" s="2360"/>
      <c r="N46" s="2347"/>
      <c r="O46" s="2360"/>
      <c r="P46" s="3677" t="str">
        <f>A46</f>
        <v>成交单价</v>
      </c>
      <c r="Q46" s="3677"/>
      <c r="R46" s="3705">
        <f>E46</f>
        <v>0</v>
      </c>
      <c r="S46" s="3705"/>
      <c r="T46" s="3705">
        <f>G46</f>
        <v>0</v>
      </c>
      <c r="U46" s="3705"/>
      <c r="V46" s="3705">
        <f>I46</f>
        <v>0</v>
      </c>
      <c r="W46" s="3705"/>
      <c r="X46" s="1305"/>
      <c r="Y46" s="1331"/>
      <c r="Z46" s="1305"/>
      <c r="AA46" s="1305"/>
      <c r="AB46" s="1305"/>
      <c r="AC46" s="1305"/>
    </row>
    <row r="47" spans="1:29" ht="1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77" t="str">
        <f>A47</f>
        <v>比较价值（元/平方米）</v>
      </c>
      <c r="Q47" s="3677"/>
      <c r="R47" s="3717" t="e">
        <f>ROUND(PRODUCT(R46,AA7:AA45),0)</f>
        <v>#DIV/0!</v>
      </c>
      <c r="S47" s="3717"/>
      <c r="T47" s="3717" t="e">
        <f>ROUND(PRODUCT(T46,AB7:AB45),0)</f>
        <v>#DIV/0!</v>
      </c>
      <c r="U47" s="3717"/>
      <c r="V47" s="3717" t="e">
        <f>ROUND(PRODUCT(V46,AC7:AC45),0)</f>
        <v>#DIV/0!</v>
      </c>
      <c r="W47" s="3717"/>
      <c r="X47" s="1305"/>
      <c r="Y47" s="1305"/>
      <c r="Z47" s="1305"/>
      <c r="AA47" s="1305"/>
      <c r="AB47" s="1305"/>
      <c r="AC47" s="1305"/>
    </row>
    <row r="48" spans="1:29" ht="15" thickBot="1">
      <c r="A48" s="115" t="s">
        <v>514</v>
      </c>
      <c r="B48" s="834"/>
      <c r="C48" s="835" t="e">
        <f>R48</f>
        <v>#DIV/0!</v>
      </c>
      <c r="D48" s="835"/>
      <c r="E48" s="835"/>
      <c r="F48" s="835"/>
      <c r="G48" s="835"/>
      <c r="H48" s="835"/>
      <c r="I48" s="835"/>
      <c r="J48" s="835"/>
      <c r="K48" s="1400"/>
      <c r="L48" s="2359"/>
      <c r="M48" s="2360"/>
      <c r="N48" s="2360"/>
      <c r="O48" s="2360"/>
      <c r="P48" s="3679" t="str">
        <f>A48</f>
        <v>估价对象XX用房的比较价值（楼面单价，元/平方米）</v>
      </c>
      <c r="Q48" s="3680"/>
      <c r="R48" s="3718" t="e">
        <f>ROUND(AVERAGE(R47:V47),0)</f>
        <v>#DIV/0!</v>
      </c>
      <c r="S48" s="3718"/>
      <c r="T48" s="3718"/>
      <c r="U48" s="3718"/>
      <c r="V48" s="3718"/>
      <c r="W48" s="3718"/>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4.4"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19" t="s">
        <v>2312</v>
      </c>
      <c r="H55" s="3720"/>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21"/>
      <c r="H56" s="3722"/>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3"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3"/>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3"/>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3"/>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4.4"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2018-10-1</v>
      </c>
      <c r="D68" s="1307">
        <f>EDATE(C68,-3)</f>
        <v>43282</v>
      </c>
      <c r="E68" s="1307">
        <f>EDATE(D68,-3)</f>
        <v>43191</v>
      </c>
      <c r="F68" s="1307">
        <f t="shared" ref="F68:O68" si="18">EDATE(E68,-3)</f>
        <v>43101</v>
      </c>
      <c r="G68" s="1307">
        <f t="shared" si="18"/>
        <v>43009</v>
      </c>
      <c r="H68" s="1307">
        <f t="shared" si="18"/>
        <v>42917</v>
      </c>
      <c r="I68" s="1307">
        <f t="shared" si="18"/>
        <v>42826</v>
      </c>
      <c r="J68" s="1307">
        <f t="shared" si="18"/>
        <v>42736</v>
      </c>
      <c r="K68" s="1307">
        <f t="shared" si="18"/>
        <v>42644</v>
      </c>
      <c r="L68" s="1307">
        <f t="shared" si="18"/>
        <v>42552</v>
      </c>
      <c r="M68" s="1307">
        <f t="shared" si="18"/>
        <v>42461</v>
      </c>
      <c r="N68" s="1307">
        <f t="shared" si="18"/>
        <v>42370</v>
      </c>
      <c r="O68" s="1307">
        <f t="shared" si="18"/>
        <v>42278</v>
      </c>
    </row>
    <row r="69" spans="1:17" ht="22.2"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4.4">
      <c r="A70" s="2704" t="s">
        <v>2783</v>
      </c>
      <c r="B70" s="2705"/>
      <c r="C70" s="3035" t="str">
        <f>YEAR(C68)&amp;"-"&amp;ROUNDUP(MONTH(C68)/3,0)</f>
        <v>2018-4</v>
      </c>
      <c r="D70" s="3035" t="str">
        <f>YEAR(D68)&amp;"-"&amp;ROUNDUP(MONTH(D68)/3,0)</f>
        <v>2018-3</v>
      </c>
      <c r="E70" s="3035" t="str">
        <f t="shared" ref="E70:O70" si="19">YEAR(E68)&amp;"-"&amp;ROUNDUP(MONTH(E68)/3,0)</f>
        <v>2018-2</v>
      </c>
      <c r="F70" s="3035" t="str">
        <f t="shared" si="19"/>
        <v>2018-1</v>
      </c>
      <c r="G70" s="3035" t="str">
        <f t="shared" si="19"/>
        <v>2017-4</v>
      </c>
      <c r="H70" s="3035" t="str">
        <f t="shared" si="19"/>
        <v>2017-3</v>
      </c>
      <c r="I70" s="3035" t="str">
        <f t="shared" si="19"/>
        <v>2017-2</v>
      </c>
      <c r="J70" s="3035" t="str">
        <f t="shared" si="19"/>
        <v>2017-1</v>
      </c>
      <c r="K70" s="3035" t="str">
        <f t="shared" si="19"/>
        <v>2016-4</v>
      </c>
      <c r="L70" s="3035" t="str">
        <f t="shared" si="19"/>
        <v>2016-3</v>
      </c>
      <c r="M70" s="3035" t="str">
        <f t="shared" si="19"/>
        <v>2016-2</v>
      </c>
      <c r="N70" s="3035" t="str">
        <f t="shared" si="19"/>
        <v>2016-1</v>
      </c>
      <c r="O70" s="3035" t="str">
        <f t="shared" si="19"/>
        <v>2015-4</v>
      </c>
      <c r="P70" s="848"/>
    </row>
    <row r="71" spans="1:17" s="406" customFormat="1" ht="30" customHeight="1">
      <c r="A71" s="3038" t="s">
        <v>40</v>
      </c>
      <c r="B71" s="663" t="str">
        <f>"北京市平均增长率"&amp;TEXT(SUMIF(基准地价修正!N21:N25,A71,基准地价修正!P21:P25),"0.00%")</f>
        <v>北京市平均增长率0.00%</v>
      </c>
      <c r="C71" s="944">
        <v>100</v>
      </c>
      <c r="D71" s="936"/>
      <c r="E71" s="936"/>
      <c r="F71" s="936"/>
      <c r="G71" s="936"/>
      <c r="H71" s="936"/>
      <c r="I71" s="936"/>
      <c r="J71" s="936"/>
      <c r="K71" s="936"/>
      <c r="L71" s="936"/>
      <c r="M71" s="3029"/>
      <c r="N71" s="936"/>
      <c r="O71" s="3030"/>
      <c r="P71" s="845"/>
    </row>
    <row r="72" spans="1:17" s="406" customFormat="1" ht="15" thickBot="1">
      <c r="A72" s="856" t="s">
        <v>414</v>
      </c>
      <c r="B72" s="857"/>
      <c r="C72" s="858"/>
      <c r="D72" s="859"/>
      <c r="E72" s="859"/>
      <c r="F72" s="859"/>
      <c r="G72" s="859"/>
      <c r="H72" s="859"/>
      <c r="I72" s="859"/>
      <c r="J72" s="859"/>
      <c r="K72" s="859"/>
      <c r="L72" s="859"/>
      <c r="M72" s="860"/>
      <c r="N72" s="859"/>
      <c r="O72" s="2379"/>
      <c r="P72" s="845"/>
      <c r="Q72" s="845"/>
    </row>
    <row r="73" spans="1:17" s="406" customFormat="1" ht="14.4">
      <c r="A73" s="862" t="s">
        <v>398</v>
      </c>
      <c r="B73" s="851"/>
      <c r="C73" s="863" t="s">
        <v>415</v>
      </c>
      <c r="D73" s="140"/>
      <c r="E73" s="140"/>
      <c r="F73" s="140"/>
      <c r="G73" s="140"/>
      <c r="H73" s="140"/>
      <c r="I73" s="140"/>
      <c r="J73" s="140"/>
      <c r="K73" s="140"/>
      <c r="L73" s="141"/>
      <c r="M73" s="1049"/>
      <c r="N73" s="2367"/>
      <c r="O73" s="2367"/>
      <c r="P73" s="867"/>
      <c r="Q73" s="845"/>
    </row>
    <row r="74" spans="1:17" s="406" customFormat="1" ht="14.4" thickBot="1">
      <c r="A74" s="862"/>
      <c r="B74" s="851"/>
      <c r="C74" s="980">
        <v>100</v>
      </c>
      <c r="D74" s="853"/>
      <c r="E74" s="853"/>
      <c r="F74" s="853"/>
      <c r="G74" s="853"/>
      <c r="H74" s="853"/>
      <c r="I74" s="853"/>
      <c r="J74" s="853"/>
      <c r="K74" s="853"/>
      <c r="L74" s="853"/>
      <c r="M74" s="855"/>
      <c r="N74" s="2367"/>
      <c r="O74" s="2367"/>
      <c r="P74" s="845"/>
      <c r="Q74" s="845"/>
    </row>
    <row r="75" spans="1:17" ht="14.4">
      <c r="A75" s="868" t="s">
        <v>416</v>
      </c>
      <c r="B75" s="869" t="s">
        <v>417</v>
      </c>
      <c r="C75" s="122"/>
      <c r="D75" s="122"/>
      <c r="E75" s="122"/>
      <c r="F75" s="122"/>
      <c r="G75" s="122"/>
      <c r="H75" s="122"/>
      <c r="I75" s="122"/>
      <c r="J75" s="122"/>
      <c r="K75" s="123"/>
      <c r="L75" s="124"/>
      <c r="M75" s="125"/>
      <c r="N75" s="2368"/>
      <c r="O75" s="2368"/>
      <c r="P75" s="333"/>
      <c r="Q75" s="845"/>
    </row>
    <row r="76" spans="1:17" ht="14.4" thickBot="1">
      <c r="A76" s="875"/>
      <c r="B76" s="876"/>
      <c r="C76" s="877"/>
      <c r="D76" s="877"/>
      <c r="E76" s="877"/>
      <c r="F76" s="877"/>
      <c r="G76" s="877"/>
      <c r="H76" s="877"/>
      <c r="I76" s="877"/>
      <c r="J76" s="877"/>
      <c r="K76" s="877"/>
      <c r="L76" s="877"/>
      <c r="M76" s="878"/>
      <c r="N76" s="2369"/>
      <c r="O76" s="2369"/>
      <c r="P76" s="333"/>
      <c r="Q76" s="845"/>
    </row>
    <row r="77" spans="1:17" ht="29.4" thickTop="1">
      <c r="A77" s="875"/>
      <c r="B77" s="879" t="s">
        <v>402</v>
      </c>
      <c r="C77" s="880"/>
      <c r="D77" s="880"/>
      <c r="E77" s="880"/>
      <c r="F77" s="880"/>
      <c r="G77" s="880"/>
      <c r="H77" s="880"/>
      <c r="I77" s="880"/>
      <c r="J77" s="880"/>
      <c r="K77" s="881"/>
      <c r="L77" s="882"/>
      <c r="M77" s="883"/>
      <c r="N77" s="2368"/>
      <c r="O77" s="2368"/>
      <c r="P77" s="333"/>
      <c r="Q77" s="845"/>
    </row>
    <row r="78" spans="1:17" ht="14.4" thickBot="1">
      <c r="A78" s="875"/>
      <c r="B78" s="884"/>
      <c r="C78" s="885"/>
      <c r="D78" s="885"/>
      <c r="E78" s="885"/>
      <c r="F78" s="885"/>
      <c r="G78" s="885"/>
      <c r="H78" s="885"/>
      <c r="I78" s="885"/>
      <c r="J78" s="885"/>
      <c r="K78" s="885"/>
      <c r="L78" s="885"/>
      <c r="M78" s="886"/>
      <c r="N78" s="2369"/>
      <c r="O78" s="2369"/>
      <c r="P78" s="333"/>
      <c r="Q78" s="845"/>
    </row>
    <row r="79" spans="1:17" ht="1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c r="A80" s="875"/>
      <c r="B80" s="889"/>
      <c r="C80" s="890"/>
      <c r="D80" s="890"/>
      <c r="E80" s="890"/>
      <c r="F80" s="890"/>
      <c r="G80" s="890"/>
      <c r="H80" s="890"/>
      <c r="I80" s="890"/>
      <c r="J80" s="890"/>
      <c r="K80" s="891"/>
      <c r="L80" s="892"/>
      <c r="M80" s="893"/>
      <c r="N80" s="2368"/>
      <c r="O80" s="2368"/>
      <c r="P80" s="333"/>
      <c r="Q80" s="845"/>
    </row>
    <row r="81" spans="1:17" ht="14.4"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4.4" thickBot="1">
      <c r="A83" s="894"/>
      <c r="B83" s="884"/>
      <c r="C83" s="901"/>
      <c r="D83" s="877"/>
      <c r="E83" s="877"/>
      <c r="F83" s="877"/>
      <c r="G83" s="877"/>
      <c r="H83" s="877"/>
      <c r="I83" s="877"/>
      <c r="J83" s="877"/>
      <c r="K83" s="877"/>
      <c r="L83" s="877"/>
      <c r="M83" s="878"/>
      <c r="N83" s="2369"/>
      <c r="O83" s="2369"/>
      <c r="P83" s="899"/>
      <c r="Q83" s="900"/>
    </row>
    <row r="84" spans="1:17" s="812" customFormat="1" ht="1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4.4" thickBot="1">
      <c r="A85" s="894"/>
      <c r="B85" s="884"/>
      <c r="C85" s="901"/>
      <c r="D85" s="901"/>
      <c r="E85" s="901"/>
      <c r="F85" s="901"/>
      <c r="G85" s="901"/>
      <c r="H85" s="903"/>
      <c r="I85" s="903"/>
      <c r="J85" s="903"/>
      <c r="K85" s="903"/>
      <c r="L85" s="903"/>
      <c r="M85" s="904"/>
      <c r="N85" s="2370"/>
      <c r="O85" s="2370"/>
      <c r="P85" s="899"/>
      <c r="Q85" s="900"/>
    </row>
    <row r="86" spans="1:17" s="812" customFormat="1" ht="1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4.4" thickBot="1">
      <c r="A87" s="909"/>
      <c r="B87" s="910"/>
      <c r="C87" s="911"/>
      <c r="D87" s="911"/>
      <c r="E87" s="911"/>
      <c r="F87" s="911"/>
      <c r="G87" s="911"/>
      <c r="H87" s="912"/>
      <c r="I87" s="912"/>
      <c r="J87" s="912"/>
      <c r="K87" s="912"/>
      <c r="L87" s="912"/>
      <c r="M87" s="913"/>
      <c r="N87" s="2370"/>
      <c r="O87" s="2370"/>
      <c r="P87" s="899"/>
      <c r="Q87" s="900"/>
    </row>
    <row r="88" spans="1:17" ht="14.4">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4.4"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4.4"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4.4"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4.4"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9.4"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4.4"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9.4"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4.4"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 thickTop="1">
      <c r="A100" s="894"/>
      <c r="B100" s="1052" t="s">
        <v>2661</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4.4"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 thickTop="1">
      <c r="A102" s="894"/>
      <c r="B102" s="1054" t="s">
        <v>2648</v>
      </c>
      <c r="C102" s="213" t="s">
        <v>2649</v>
      </c>
      <c r="D102" s="213" t="s">
        <v>2650</v>
      </c>
      <c r="E102" s="213" t="s">
        <v>2651</v>
      </c>
      <c r="F102" s="213" t="s">
        <v>2652</v>
      </c>
      <c r="G102" s="213" t="s">
        <v>2653</v>
      </c>
      <c r="H102" s="941"/>
      <c r="I102" s="941"/>
      <c r="J102" s="941"/>
      <c r="K102" s="941"/>
      <c r="L102" s="941"/>
      <c r="M102" s="2768"/>
      <c r="N102" s="2370"/>
      <c r="O102" s="2370"/>
      <c r="P102" s="899"/>
      <c r="Q102" s="900"/>
    </row>
    <row r="103" spans="1:17" s="812" customFormat="1" ht="1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4.4"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9.4" thickTop="1">
      <c r="A106" s="875"/>
      <c r="B106" s="879" t="s">
        <v>440</v>
      </c>
      <c r="C106" s="139"/>
      <c r="D106" s="139"/>
      <c r="E106" s="139"/>
      <c r="F106" s="139"/>
      <c r="G106" s="139"/>
      <c r="H106" s="131"/>
      <c r="I106" s="131"/>
      <c r="J106" s="131"/>
      <c r="K106" s="132"/>
      <c r="L106" s="133"/>
      <c r="M106" s="134"/>
      <c r="N106" s="2368"/>
      <c r="O106" s="2368"/>
      <c r="P106" s="333"/>
      <c r="Q106" s="845"/>
    </row>
    <row r="107" spans="1:17" ht="14.4"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 thickTop="1">
      <c r="A108" s="875"/>
      <c r="B108" s="879" t="s">
        <v>483</v>
      </c>
      <c r="C108" s="131"/>
      <c r="D108" s="131"/>
      <c r="E108" s="131"/>
      <c r="F108" s="131"/>
      <c r="G108" s="131"/>
      <c r="H108" s="131"/>
      <c r="I108" s="131"/>
      <c r="J108" s="131"/>
      <c r="K108" s="132"/>
      <c r="L108" s="133"/>
      <c r="M108" s="134"/>
      <c r="N108" s="2368"/>
      <c r="O108" s="2368"/>
      <c r="P108" s="333"/>
      <c r="Q108" s="845"/>
    </row>
    <row r="109" spans="1:17" ht="14.4"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 thickTop="1">
      <c r="A110" s="875"/>
      <c r="B110" s="887">
        <f>B35</f>
        <v>111</v>
      </c>
      <c r="C110" s="139"/>
      <c r="D110" s="139"/>
      <c r="E110" s="139"/>
      <c r="F110" s="139"/>
      <c r="G110" s="135"/>
      <c r="H110" s="135"/>
      <c r="I110" s="135"/>
      <c r="J110" s="135"/>
      <c r="K110" s="136"/>
      <c r="L110" s="137"/>
      <c r="M110" s="138"/>
      <c r="N110" s="2368"/>
      <c r="O110" s="2368"/>
      <c r="P110" s="333"/>
      <c r="Q110" s="845"/>
    </row>
    <row r="111" spans="1:17" ht="14.4"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4.4"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4.4" thickBot="1">
      <c r="A115" s="894"/>
      <c r="B115" s="887"/>
      <c r="C115" s="853"/>
      <c r="D115" s="1084"/>
      <c r="E115" s="1084"/>
      <c r="F115" s="1084"/>
      <c r="G115" s="1084"/>
      <c r="H115" s="1084"/>
      <c r="I115" s="1084"/>
      <c r="J115" s="1084"/>
      <c r="K115" s="1084"/>
      <c r="L115" s="1084"/>
      <c r="M115" s="1106"/>
      <c r="N115" s="2369"/>
      <c r="O115" s="2369"/>
      <c r="P115" s="899"/>
      <c r="Q115" s="900"/>
    </row>
    <row r="116" spans="1:17" ht="14.4">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c r="A117" s="875"/>
      <c r="B117" s="887"/>
      <c r="C117" s="936"/>
      <c r="D117" s="936"/>
      <c r="E117" s="936"/>
      <c r="F117" s="936"/>
      <c r="G117" s="936"/>
      <c r="H117" s="936"/>
      <c r="I117" s="936"/>
      <c r="J117" s="937"/>
      <c r="K117" s="937"/>
      <c r="L117" s="938"/>
      <c r="M117" s="939"/>
      <c r="N117" s="2368"/>
      <c r="O117" s="2368"/>
      <c r="P117" s="333"/>
      <c r="Q117" s="845"/>
    </row>
    <row r="118" spans="1:17" ht="14.4"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4.4"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4.4"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2493</v>
      </c>
      <c r="C123" s="139"/>
      <c r="D123" s="139"/>
      <c r="E123" s="139"/>
      <c r="F123" s="139"/>
      <c r="G123" s="139"/>
      <c r="H123" s="131"/>
      <c r="I123" s="131"/>
      <c r="J123" s="131"/>
      <c r="K123" s="132"/>
      <c r="L123" s="133"/>
      <c r="M123" s="134"/>
      <c r="N123" s="2370"/>
      <c r="O123" s="2370"/>
      <c r="P123" s="899"/>
      <c r="Q123" s="900"/>
    </row>
    <row r="124" spans="1:17" s="812" customFormat="1" ht="14.4"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4.4"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4.4"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4.4"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4.4"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80" zoomScaleNormal="80" workbookViewId="0">
      <selection activeCell="C54" sqref="C54"/>
    </sheetView>
  </sheetViews>
  <sheetFormatPr defaultColWidth="9" defaultRowHeight="13.8"/>
  <cols>
    <col min="1" max="1" width="14.33203125" style="744" customWidth="1"/>
    <col min="2" max="2" width="15.77734375" style="744" customWidth="1"/>
    <col min="3" max="3" width="16.109375" style="744" customWidth="1"/>
    <col min="4" max="4" width="12.21875" style="744" customWidth="1"/>
    <col min="5" max="5" width="16.109375" style="744" customWidth="1"/>
    <col min="6" max="6" width="12.21875" style="744" customWidth="1"/>
    <col min="7" max="7" width="16.77734375" style="744" customWidth="1"/>
    <col min="8" max="8" width="12.21875" style="744" customWidth="1"/>
    <col min="9" max="9" width="15.5546875" style="744" customWidth="1"/>
    <col min="10" max="10" width="12.21875" style="744" customWidth="1"/>
    <col min="11" max="11" width="12.21875" style="836" customWidth="1"/>
    <col min="12" max="12" width="12.21875" style="837" customWidth="1"/>
    <col min="13" max="15" width="12.21875" style="744" customWidth="1"/>
    <col min="16" max="16" width="4.77734375" style="744" customWidth="1"/>
    <col min="17" max="17" width="19.44140625" style="744" customWidth="1"/>
    <col min="18" max="22" width="6.109375" style="744" customWidth="1"/>
    <col min="23" max="23" width="5.77734375" style="744" customWidth="1"/>
    <col min="24" max="24" width="4.21875" style="744" customWidth="1"/>
    <col min="25" max="25" width="3.44140625" style="744" customWidth="1"/>
    <col min="26" max="26" width="19.77734375" style="744" customWidth="1"/>
    <col min="27" max="28" width="9.3320312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17741</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1002</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89" t="s">
        <v>389</v>
      </c>
      <c r="D4" s="3690"/>
      <c r="E4" s="3691" t="s">
        <v>390</v>
      </c>
      <c r="F4" s="3692"/>
      <c r="G4" s="3689" t="s">
        <v>391</v>
      </c>
      <c r="H4" s="3690"/>
      <c r="I4" s="3689" t="s">
        <v>392</v>
      </c>
      <c r="J4" s="3690"/>
      <c r="K4" s="951" t="s">
        <v>393</v>
      </c>
      <c r="L4" s="2346"/>
      <c r="M4" s="2347"/>
      <c r="N4" s="2347"/>
      <c r="O4" s="2347"/>
      <c r="P4" s="3693" t="s">
        <v>394</v>
      </c>
      <c r="Q4" s="3694"/>
      <c r="R4" s="3699" t="s">
        <v>390</v>
      </c>
      <c r="S4" s="3700"/>
      <c r="T4" s="3699" t="s">
        <v>391</v>
      </c>
      <c r="U4" s="3700"/>
      <c r="V4" s="3705" t="s">
        <v>392</v>
      </c>
      <c r="W4" s="3705"/>
      <c r="X4" s="1316"/>
      <c r="Y4" s="3699" t="s">
        <v>394</v>
      </c>
      <c r="Z4" s="3700"/>
      <c r="AA4" s="3686" t="s">
        <v>390</v>
      </c>
      <c r="AB4" s="3687" t="s">
        <v>391</v>
      </c>
      <c r="AC4" s="3686" t="s">
        <v>392</v>
      </c>
    </row>
    <row r="5" spans="1:29" ht="26.25" customHeight="1">
      <c r="A5" s="745"/>
      <c r="B5" s="746"/>
      <c r="C5" s="3652" t="s">
        <v>3135</v>
      </c>
      <c r="D5" s="3653"/>
      <c r="E5" s="3659" t="s">
        <v>3056</v>
      </c>
      <c r="F5" s="3660"/>
      <c r="G5" s="3652" t="s">
        <v>3062</v>
      </c>
      <c r="H5" s="3653"/>
      <c r="I5" s="3652" t="s">
        <v>3064</v>
      </c>
      <c r="J5" s="3653"/>
      <c r="K5" s="951"/>
      <c r="L5" s="2346"/>
      <c r="M5" s="2347"/>
      <c r="N5" s="2347"/>
      <c r="O5" s="2347"/>
      <c r="P5" s="3695"/>
      <c r="Q5" s="3696"/>
      <c r="R5" s="3701"/>
      <c r="S5" s="3702"/>
      <c r="T5" s="3701"/>
      <c r="U5" s="3702"/>
      <c r="V5" s="3705"/>
      <c r="W5" s="3705"/>
      <c r="X5" s="1316"/>
      <c r="Y5" s="3701"/>
      <c r="Z5" s="3702"/>
      <c r="AA5" s="3687"/>
      <c r="AB5" s="3687"/>
      <c r="AC5" s="3687"/>
    </row>
    <row r="6" spans="1:29" ht="67.5" customHeight="1" thickBot="1">
      <c r="A6" s="747"/>
      <c r="B6" s="748"/>
      <c r="C6" s="3724" t="s">
        <v>3136</v>
      </c>
      <c r="D6" s="3725"/>
      <c r="E6" s="3726" t="s">
        <v>3058</v>
      </c>
      <c r="F6" s="3727"/>
      <c r="G6" s="3724" t="s">
        <v>3167</v>
      </c>
      <c r="H6" s="3725"/>
      <c r="I6" s="3724" t="s">
        <v>3065</v>
      </c>
      <c r="J6" s="3725"/>
      <c r="K6" s="951" t="s">
        <v>395</v>
      </c>
      <c r="L6" s="2346"/>
      <c r="M6" s="2347"/>
      <c r="N6" s="2347"/>
      <c r="O6" s="2347"/>
      <c r="P6" s="3697"/>
      <c r="Q6" s="3698"/>
      <c r="R6" s="3701"/>
      <c r="S6" s="3702"/>
      <c r="T6" s="3703"/>
      <c r="U6" s="3704"/>
      <c r="V6" s="3705"/>
      <c r="W6" s="3705"/>
      <c r="X6" s="1316"/>
      <c r="Y6" s="3703"/>
      <c r="Z6" s="3704"/>
      <c r="AA6" s="3688"/>
      <c r="AB6" s="3688"/>
      <c r="AC6" s="3688"/>
    </row>
    <row r="7" spans="1:29" s="406" customFormat="1" ht="15" thickBot="1">
      <c r="A7" s="749" t="s">
        <v>396</v>
      </c>
      <c r="B7" s="750"/>
      <c r="C7" s="751">
        <f>'数据-取费表'!B2</f>
        <v>43385</v>
      </c>
      <c r="D7" s="752">
        <v>100</v>
      </c>
      <c r="E7" s="1015">
        <v>42817</v>
      </c>
      <c r="F7" s="754">
        <f>SUMIF(65:65,YEAR(E7)&amp;"-"&amp;INT((MONTH(E7)+2)/3),66:66)</f>
        <v>96.5</v>
      </c>
      <c r="G7" s="1016">
        <v>42817</v>
      </c>
      <c r="H7" s="752">
        <f>SUMIF(65:65,YEAR(G7)&amp;"-"&amp;INT((MONTH(G7)+2)/3),66:66)</f>
        <v>96.5</v>
      </c>
      <c r="I7" s="1016">
        <v>42758</v>
      </c>
      <c r="J7" s="752">
        <f>SUMIF(65:65,YEAR(I7)&amp;"-"&amp;INT((MONTH(I7)+2)/3),66:66)</f>
        <v>96.5</v>
      </c>
      <c r="K7" s="952"/>
      <c r="L7" s="2348"/>
      <c r="M7" s="2349"/>
      <c r="N7" s="2349"/>
      <c r="O7" s="2349"/>
      <c r="P7" s="3710" t="s">
        <v>397</v>
      </c>
      <c r="Q7" s="3712"/>
      <c r="R7" s="1317" t="s">
        <v>65</v>
      </c>
      <c r="S7" s="1318">
        <f t="shared" ref="S7:S15" si="0">F7</f>
        <v>96.5</v>
      </c>
      <c r="T7" s="1317" t="s">
        <v>65</v>
      </c>
      <c r="U7" s="1318">
        <f t="shared" ref="U7:U15" si="1">H7</f>
        <v>96.5</v>
      </c>
      <c r="V7" s="1317" t="s">
        <v>65</v>
      </c>
      <c r="W7" s="1318">
        <f t="shared" ref="W7:W15" si="2">J7</f>
        <v>96.5</v>
      </c>
      <c r="X7" s="1319"/>
      <c r="Y7" s="3710" t="s">
        <v>397</v>
      </c>
      <c r="Z7" s="3711"/>
      <c r="AA7" s="1320">
        <f>D7/F7</f>
        <v>1.0362694300518134</v>
      </c>
      <c r="AB7" s="1320">
        <f>D7/H7</f>
        <v>1.0362694300518134</v>
      </c>
      <c r="AC7" s="1320">
        <f>D7/J7</f>
        <v>1.0362694300518134</v>
      </c>
    </row>
    <row r="8" spans="1:29" s="406" customFormat="1" ht="15" thickBot="1">
      <c r="A8" s="749" t="s">
        <v>398</v>
      </c>
      <c r="B8" s="750"/>
      <c r="C8" s="1018" t="s">
        <v>155</v>
      </c>
      <c r="D8" s="752">
        <v>100</v>
      </c>
      <c r="E8" s="1018" t="s">
        <v>3059</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710" t="s">
        <v>433</v>
      </c>
      <c r="Q8" s="3711"/>
      <c r="R8" s="1317" t="s">
        <v>65</v>
      </c>
      <c r="S8" s="1318">
        <f t="shared" si="0"/>
        <v>100</v>
      </c>
      <c r="T8" s="1317" t="s">
        <v>65</v>
      </c>
      <c r="U8" s="1318">
        <f t="shared" si="1"/>
        <v>100</v>
      </c>
      <c r="V8" s="1317" t="s">
        <v>65</v>
      </c>
      <c r="W8" s="1318">
        <f t="shared" si="2"/>
        <v>100</v>
      </c>
      <c r="X8" s="1319"/>
      <c r="Y8" s="3710" t="s">
        <v>433</v>
      </c>
      <c r="Z8" s="3711"/>
      <c r="AA8" s="1320">
        <f t="shared" ref="AA8:AA40" si="3">D8/F8</f>
        <v>1</v>
      </c>
      <c r="AB8" s="1320">
        <f t="shared" ref="AB8:AB40" si="4">D8/H8</f>
        <v>1</v>
      </c>
      <c r="AC8" s="1320">
        <f t="shared" ref="AC8:AC40" si="5">D8/J8</f>
        <v>1</v>
      </c>
    </row>
    <row r="9" spans="1:29" s="406" customFormat="1" ht="14.4">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77" t="s">
        <v>400</v>
      </c>
      <c r="Q9" s="295" t="str">
        <f t="shared" ref="Q9:Q15" si="6">B9</f>
        <v>用途</v>
      </c>
      <c r="R9" s="1317" t="s">
        <v>65</v>
      </c>
      <c r="S9" s="1318">
        <f t="shared" si="0"/>
        <v>100</v>
      </c>
      <c r="T9" s="1317" t="s">
        <v>65</v>
      </c>
      <c r="U9" s="1318">
        <f t="shared" si="1"/>
        <v>100</v>
      </c>
      <c r="V9" s="1317" t="s">
        <v>65</v>
      </c>
      <c r="W9" s="1318">
        <f t="shared" si="2"/>
        <v>100</v>
      </c>
      <c r="X9" s="1319"/>
      <c r="Y9" s="3483" t="s">
        <v>401</v>
      </c>
      <c r="Z9" s="343" t="str">
        <f t="shared" ref="Z9:Z15" si="7">Q9</f>
        <v>用途</v>
      </c>
      <c r="AA9" s="1320">
        <f t="shared" si="3"/>
        <v>1</v>
      </c>
      <c r="AB9" s="1320">
        <f t="shared" si="4"/>
        <v>1</v>
      </c>
      <c r="AC9" s="1320">
        <f t="shared" si="5"/>
        <v>1</v>
      </c>
    </row>
    <row r="10" spans="1:29" s="768" customFormat="1" ht="28.8">
      <c r="A10" s="762"/>
      <c r="B10" s="763" t="s">
        <v>402</v>
      </c>
      <c r="C10" s="1022">
        <f>'数据-取费表'!F6</f>
        <v>47.09</v>
      </c>
      <c r="D10" s="425">
        <v>100</v>
      </c>
      <c r="E10" s="1022">
        <v>50</v>
      </c>
      <c r="F10" s="425">
        <f>ROUND(100/'数据-取费表'!G16,0)</f>
        <v>102</v>
      </c>
      <c r="G10" s="1022">
        <v>50</v>
      </c>
      <c r="H10" s="425">
        <f>ROUND(100/'数据-取费表'!G16,0)</f>
        <v>102</v>
      </c>
      <c r="I10" s="1022">
        <v>50</v>
      </c>
      <c r="J10" s="425">
        <f>ROUND(100/'数据-取费表'!G16,0)</f>
        <v>102</v>
      </c>
      <c r="K10" s="1079"/>
      <c r="L10" s="2351"/>
      <c r="M10" s="2352"/>
      <c r="N10" s="2352"/>
      <c r="O10" s="2353"/>
      <c r="P10" s="3677"/>
      <c r="Q10" s="295" t="str">
        <f t="shared" si="6"/>
        <v>土地使用年限（年）</v>
      </c>
      <c r="R10" s="1317" t="s">
        <v>65</v>
      </c>
      <c r="S10" s="1318">
        <f t="shared" si="0"/>
        <v>102</v>
      </c>
      <c r="T10" s="1317" t="s">
        <v>65</v>
      </c>
      <c r="U10" s="1318">
        <f t="shared" si="1"/>
        <v>102</v>
      </c>
      <c r="V10" s="1317" t="s">
        <v>65</v>
      </c>
      <c r="W10" s="1318">
        <f t="shared" si="2"/>
        <v>102</v>
      </c>
      <c r="X10" s="1319"/>
      <c r="Y10" s="3483"/>
      <c r="Z10" s="343" t="str">
        <f t="shared" si="7"/>
        <v>土地使用年限（年）</v>
      </c>
      <c r="AA10" s="1320">
        <f t="shared" si="3"/>
        <v>0.98039215686274506</v>
      </c>
      <c r="AB10" s="1320">
        <f t="shared" si="4"/>
        <v>0.98039215686274506</v>
      </c>
      <c r="AC10" s="1320">
        <f t="shared" si="5"/>
        <v>0.98039215686274506</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77"/>
      <c r="Q11" s="295" t="str">
        <f t="shared" si="6"/>
        <v>容积率</v>
      </c>
      <c r="R11" s="1317" t="s">
        <v>65</v>
      </c>
      <c r="S11" s="1318">
        <f t="shared" si="0"/>
        <v>100</v>
      </c>
      <c r="T11" s="1317" t="s">
        <v>65</v>
      </c>
      <c r="U11" s="1318">
        <f t="shared" si="1"/>
        <v>100</v>
      </c>
      <c r="V11" s="1317" t="s">
        <v>65</v>
      </c>
      <c r="W11" s="1318">
        <f t="shared" si="2"/>
        <v>100</v>
      </c>
      <c r="X11" s="1319"/>
      <c r="Y11" s="3483"/>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77"/>
      <c r="Q12" s="295">
        <f t="shared" si="6"/>
        <v>0</v>
      </c>
      <c r="R12" s="1317" t="s">
        <v>65</v>
      </c>
      <c r="S12" s="1318">
        <f t="shared" si="0"/>
        <v>100</v>
      </c>
      <c r="T12" s="1317" t="s">
        <v>65</v>
      </c>
      <c r="U12" s="1318">
        <f t="shared" si="1"/>
        <v>100</v>
      </c>
      <c r="V12" s="1317" t="s">
        <v>65</v>
      </c>
      <c r="W12" s="1318">
        <f t="shared" si="2"/>
        <v>100</v>
      </c>
      <c r="X12" s="1319"/>
      <c r="Y12" s="3483"/>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77"/>
      <c r="Q13" s="295">
        <f t="shared" si="6"/>
        <v>0</v>
      </c>
      <c r="R13" s="1317" t="s">
        <v>65</v>
      </c>
      <c r="S13" s="1318">
        <f t="shared" si="0"/>
        <v>100</v>
      </c>
      <c r="T13" s="1317" t="s">
        <v>65</v>
      </c>
      <c r="U13" s="1318">
        <f t="shared" si="1"/>
        <v>100</v>
      </c>
      <c r="V13" s="1317" t="s">
        <v>65</v>
      </c>
      <c r="W13" s="1318">
        <f t="shared" si="2"/>
        <v>100</v>
      </c>
      <c r="X13" s="1319"/>
      <c r="Y13" s="3483"/>
      <c r="Z13" s="343">
        <f t="shared" si="7"/>
        <v>0</v>
      </c>
      <c r="AA13" s="1320">
        <f t="shared" si="3"/>
        <v>1</v>
      </c>
      <c r="AB13" s="1320">
        <f t="shared" si="4"/>
        <v>1</v>
      </c>
      <c r="AC13" s="1320">
        <f t="shared" si="5"/>
        <v>1</v>
      </c>
    </row>
    <row r="14" spans="1:29" ht="15.6"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77"/>
      <c r="Q14" s="295">
        <f t="shared" si="6"/>
        <v>0</v>
      </c>
      <c r="R14" s="1317" t="s">
        <v>65</v>
      </c>
      <c r="S14" s="1318">
        <f t="shared" si="0"/>
        <v>100</v>
      </c>
      <c r="T14" s="1317" t="s">
        <v>65</v>
      </c>
      <c r="U14" s="1318">
        <f t="shared" si="1"/>
        <v>100</v>
      </c>
      <c r="V14" s="1317" t="s">
        <v>65</v>
      </c>
      <c r="W14" s="1318">
        <f t="shared" si="2"/>
        <v>100</v>
      </c>
      <c r="X14" s="1319"/>
      <c r="Y14" s="3483"/>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3169</v>
      </c>
      <c r="F15" s="782">
        <f>SUMIF(83:83,E16,84:84)-SUMIF(83:83,C16,84:84)+100</f>
        <v>100</v>
      </c>
      <c r="G15" s="95" t="s">
        <v>3168</v>
      </c>
      <c r="H15" s="782">
        <f>SUMIF(83:83,G16,84:84)-SUMIF(83:83,C16,84:84)+100</f>
        <v>100</v>
      </c>
      <c r="I15" s="96" t="s">
        <v>3168</v>
      </c>
      <c r="J15" s="782">
        <f>SUMIF(83:83,I16,84:84)-SUMIF(83:83,C16,84:84)+100</f>
        <v>100</v>
      </c>
      <c r="K15" s="1080">
        <v>2</v>
      </c>
      <c r="L15" s="2356"/>
      <c r="M15" s="2347"/>
      <c r="N15" s="2347"/>
      <c r="O15" s="2355"/>
      <c r="P15" s="3682" t="s">
        <v>405</v>
      </c>
      <c r="Q15" s="1321" t="str">
        <f t="shared" si="6"/>
        <v>产业集聚程度</v>
      </c>
      <c r="R15" s="1322" t="s">
        <v>65</v>
      </c>
      <c r="S15" s="1323">
        <f t="shared" si="0"/>
        <v>100</v>
      </c>
      <c r="T15" s="1322" t="s">
        <v>65</v>
      </c>
      <c r="U15" s="1323">
        <f t="shared" si="1"/>
        <v>100</v>
      </c>
      <c r="V15" s="1322" t="s">
        <v>65</v>
      </c>
      <c r="W15" s="1323">
        <f t="shared" si="2"/>
        <v>100</v>
      </c>
      <c r="X15" s="1316"/>
      <c r="Y15" s="3682" t="s">
        <v>405</v>
      </c>
      <c r="Z15" s="1324" t="str">
        <f t="shared" si="7"/>
        <v>产业集聚程度</v>
      </c>
      <c r="AA15" s="1325">
        <f t="shared" si="3"/>
        <v>1</v>
      </c>
      <c r="AB15" s="1325">
        <f t="shared" si="4"/>
        <v>1</v>
      </c>
      <c r="AC15" s="1325">
        <f t="shared" si="5"/>
        <v>1</v>
      </c>
    </row>
    <row r="16" spans="1:29" ht="15">
      <c r="A16" s="769"/>
      <c r="B16" s="971"/>
      <c r="C16" s="97" t="s">
        <v>3137</v>
      </c>
      <c r="D16" s="789"/>
      <c r="E16" s="97" t="s">
        <v>3137</v>
      </c>
      <c r="F16" s="789"/>
      <c r="G16" s="97" t="s">
        <v>3137</v>
      </c>
      <c r="H16" s="791"/>
      <c r="I16" s="97" t="s">
        <v>3137</v>
      </c>
      <c r="J16" s="789"/>
      <c r="K16" s="1079"/>
      <c r="L16" s="2356"/>
      <c r="M16" s="2347"/>
      <c r="N16" s="2347"/>
      <c r="O16" s="2355"/>
      <c r="P16" s="3683"/>
      <c r="Q16" s="1321"/>
      <c r="R16" s="1322"/>
      <c r="S16" s="1323"/>
      <c r="T16" s="1322"/>
      <c r="U16" s="1323"/>
      <c r="V16" s="1322"/>
      <c r="W16" s="1323"/>
      <c r="X16" s="1316"/>
      <c r="Y16" s="3683"/>
      <c r="Z16" s="1324"/>
      <c r="AA16" s="1325">
        <v>1</v>
      </c>
      <c r="AB16" s="1325">
        <v>1</v>
      </c>
      <c r="AC16" s="1325">
        <v>1</v>
      </c>
    </row>
    <row r="17" spans="1:29" ht="129.6">
      <c r="A17" s="769"/>
      <c r="B17" s="972" t="s">
        <v>454</v>
      </c>
      <c r="C17" s="158" t="str">
        <f>估价对象房地状况!G16</f>
        <v>估价对象周边有523路、通12路、开发区4路公交车及地铁亦庄线经过，停车较便捷，综合评价交通便捷度较好</v>
      </c>
      <c r="D17" s="791">
        <v>100</v>
      </c>
      <c r="E17" s="100" t="s">
        <v>3173</v>
      </c>
      <c r="F17" s="796">
        <f>SUMIF(85:85,E18,86:86)-SUMIF(85:85,C18,86:86)+100</f>
        <v>100</v>
      </c>
      <c r="G17" s="100" t="s">
        <v>3067</v>
      </c>
      <c r="H17" s="796">
        <f>SUMIF(85:85,G18,86:86)-SUMIF(85:85,C18,86:86)+100</f>
        <v>100</v>
      </c>
      <c r="I17" s="101" t="s">
        <v>3173</v>
      </c>
      <c r="J17" s="791">
        <f>SUMIF(85:85,I18,86:86)-SUMIF(85:85,C18,86:86)+100</f>
        <v>100</v>
      </c>
      <c r="K17" s="1080">
        <v>2</v>
      </c>
      <c r="L17" s="2356"/>
      <c r="M17" s="2347"/>
      <c r="N17" s="2347"/>
      <c r="O17" s="2355"/>
      <c r="P17" s="3683"/>
      <c r="Q17" s="1321" t="str">
        <f>B17</f>
        <v>交通便捷度</v>
      </c>
      <c r="R17" s="1322" t="s">
        <v>65</v>
      </c>
      <c r="S17" s="1323">
        <f>F17</f>
        <v>100</v>
      </c>
      <c r="T17" s="1322" t="s">
        <v>65</v>
      </c>
      <c r="U17" s="1323">
        <f>H17</f>
        <v>100</v>
      </c>
      <c r="V17" s="1322" t="s">
        <v>65</v>
      </c>
      <c r="W17" s="1323">
        <f>J17</f>
        <v>100</v>
      </c>
      <c r="X17" s="1316"/>
      <c r="Y17" s="3683"/>
      <c r="Z17" s="1324" t="str">
        <f>Q17</f>
        <v>交通便捷度</v>
      </c>
      <c r="AA17" s="1325">
        <f t="shared" si="3"/>
        <v>1</v>
      </c>
      <c r="AB17" s="1325">
        <f t="shared" si="4"/>
        <v>1</v>
      </c>
      <c r="AC17" s="1325">
        <f t="shared" si="5"/>
        <v>1</v>
      </c>
    </row>
    <row r="18" spans="1:29" ht="15">
      <c r="A18" s="769"/>
      <c r="B18" s="973"/>
      <c r="C18" s="3374" t="s">
        <v>3138</v>
      </c>
      <c r="D18" s="789"/>
      <c r="E18" s="3374" t="s">
        <v>3138</v>
      </c>
      <c r="F18" s="789"/>
      <c r="G18" s="3374" t="s">
        <v>3138</v>
      </c>
      <c r="H18" s="789"/>
      <c r="I18" s="3374" t="s">
        <v>3138</v>
      </c>
      <c r="J18" s="789"/>
      <c r="K18" s="1079"/>
      <c r="L18" s="2356"/>
      <c r="M18" s="2347"/>
      <c r="N18" s="2347"/>
      <c r="O18" s="2355"/>
      <c r="P18" s="3683"/>
      <c r="Q18" s="1321"/>
      <c r="R18" s="1322"/>
      <c r="S18" s="1323"/>
      <c r="T18" s="1322"/>
      <c r="U18" s="1323"/>
      <c r="V18" s="1322"/>
      <c r="W18" s="1323"/>
      <c r="X18" s="1316"/>
      <c r="Y18" s="3683"/>
      <c r="Z18" s="1324"/>
      <c r="AA18" s="1325">
        <v>1</v>
      </c>
      <c r="AB18" s="1325">
        <v>1</v>
      </c>
      <c r="AC18" s="1325">
        <v>1</v>
      </c>
    </row>
    <row r="19" spans="1:29" ht="43.2">
      <c r="A19" s="769"/>
      <c r="B19" s="972" t="s">
        <v>1848</v>
      </c>
      <c r="C19" s="158" t="str">
        <f>估价对象房地状况!G17</f>
        <v>零星有其他用地，基本不影响本宗地</v>
      </c>
      <c r="D19" s="791">
        <v>100</v>
      </c>
      <c r="E19" s="100" t="s">
        <v>3171</v>
      </c>
      <c r="F19" s="796">
        <f>SUMIF(87:87,E20,88:88)-SUMIF(87:87,C20,88:88)+100</f>
        <v>100</v>
      </c>
      <c r="G19" s="100" t="s">
        <v>3171</v>
      </c>
      <c r="H19" s="796">
        <f>SUMIF(87:87,G20,88:88)-SUMIF(87:87,C20,88:88)+100</f>
        <v>100</v>
      </c>
      <c r="I19" s="100" t="s">
        <v>3172</v>
      </c>
      <c r="J19" s="796">
        <f>SUMIF(87:87,I20,88:88)-SUMIF(87:87,C20,88:88)+100</f>
        <v>100</v>
      </c>
      <c r="K19" s="1080">
        <v>3</v>
      </c>
      <c r="L19" s="2356"/>
      <c r="M19" s="2347"/>
      <c r="N19" s="2347"/>
      <c r="O19" s="2355"/>
      <c r="P19" s="3683"/>
      <c r="Q19" s="1321" t="str">
        <f t="shared" ref="Q19:Q33" si="8">B19</f>
        <v>区域土地利用方向</v>
      </c>
      <c r="R19" s="1322" t="s">
        <v>65</v>
      </c>
      <c r="S19" s="1323">
        <f>F19</f>
        <v>100</v>
      </c>
      <c r="T19" s="1322" t="s">
        <v>65</v>
      </c>
      <c r="U19" s="1323">
        <f>H19</f>
        <v>100</v>
      </c>
      <c r="V19" s="1322" t="s">
        <v>65</v>
      </c>
      <c r="W19" s="1323">
        <f>J19</f>
        <v>100</v>
      </c>
      <c r="X19" s="1316"/>
      <c r="Y19" s="3683"/>
      <c r="Z19" s="1324" t="str">
        <f>Q19</f>
        <v>区域土地利用方向</v>
      </c>
      <c r="AA19" s="1325">
        <f t="shared" si="3"/>
        <v>1</v>
      </c>
      <c r="AB19" s="1325">
        <f t="shared" si="4"/>
        <v>1</v>
      </c>
      <c r="AC19" s="1325">
        <f t="shared" si="5"/>
        <v>1</v>
      </c>
    </row>
    <row r="20" spans="1:29" ht="15">
      <c r="A20" s="745"/>
      <c r="B20" s="973"/>
      <c r="C20" s="3374" t="s">
        <v>3138</v>
      </c>
      <c r="D20" s="789"/>
      <c r="E20" s="3374" t="s">
        <v>3138</v>
      </c>
      <c r="F20" s="789"/>
      <c r="G20" s="3374" t="s">
        <v>3138</v>
      </c>
      <c r="H20" s="789"/>
      <c r="I20" s="3374" t="s">
        <v>3138</v>
      </c>
      <c r="J20" s="789"/>
      <c r="K20" s="1483"/>
      <c r="L20" s="2356"/>
      <c r="M20" s="2347"/>
      <c r="N20" s="2347"/>
      <c r="O20" s="2355"/>
      <c r="P20" s="3683"/>
      <c r="Q20" s="1467"/>
      <c r="R20" s="1322"/>
      <c r="S20" s="1323"/>
      <c r="T20" s="1322"/>
      <c r="U20" s="1323"/>
      <c r="V20" s="1322"/>
      <c r="W20" s="1323"/>
      <c r="X20" s="1466"/>
      <c r="Y20" s="3683"/>
      <c r="Z20" s="1468"/>
      <c r="AA20" s="1325"/>
      <c r="AB20" s="1325"/>
      <c r="AC20" s="1325"/>
    </row>
    <row r="21" spans="1:29" ht="115.2">
      <c r="A21" s="745"/>
      <c r="B21" s="972" t="s">
        <v>517</v>
      </c>
      <c r="C21" s="158" t="str">
        <f>估价对象房地状况!G18</f>
        <v>周边约2公里范围内有无大型污染源，无明显危险设施，绿化较好，卫生条件良好，整体环境状况较好</v>
      </c>
      <c r="D21" s="791">
        <v>100</v>
      </c>
      <c r="E21" s="100" t="s">
        <v>3174</v>
      </c>
      <c r="F21" s="791">
        <f>SUMIF(89:89,E22,90:90)-SUMIF(89:89,C22,90:90)+100</f>
        <v>100</v>
      </c>
      <c r="G21" s="100" t="s">
        <v>3174</v>
      </c>
      <c r="H21" s="791">
        <f>SUMIF(89:89,G22,90:90)-SUMIF(89:89,C22,90:90)+100</f>
        <v>100</v>
      </c>
      <c r="I21" s="101" t="s">
        <v>3174</v>
      </c>
      <c r="J21" s="791">
        <f>SUMIF(89:89,I22,90:90)-SUMIF(89:89,C22,90:90)+100</f>
        <v>100</v>
      </c>
      <c r="K21" s="1080">
        <v>2</v>
      </c>
      <c r="L21" s="2356"/>
      <c r="M21" s="2347"/>
      <c r="N21" s="2347"/>
      <c r="O21" s="2355"/>
      <c r="P21" s="3683"/>
      <c r="Q21" s="1321" t="str">
        <f t="shared" si="8"/>
        <v>环境状况</v>
      </c>
      <c r="R21" s="1322" t="s">
        <v>65</v>
      </c>
      <c r="S21" s="1323">
        <f>F21</f>
        <v>100</v>
      </c>
      <c r="T21" s="1322" t="s">
        <v>65</v>
      </c>
      <c r="U21" s="1323">
        <f>H21</f>
        <v>100</v>
      </c>
      <c r="V21" s="1322" t="s">
        <v>65</v>
      </c>
      <c r="W21" s="1323">
        <f>J21</f>
        <v>100</v>
      </c>
      <c r="X21" s="1316"/>
      <c r="Y21" s="3683"/>
      <c r="Z21" s="1324" t="str">
        <f>Q21</f>
        <v>环境状况</v>
      </c>
      <c r="AA21" s="1325">
        <f t="shared" si="3"/>
        <v>1</v>
      </c>
      <c r="AB21" s="1325">
        <f t="shared" si="4"/>
        <v>1</v>
      </c>
      <c r="AC21" s="1325">
        <f t="shared" si="5"/>
        <v>1</v>
      </c>
    </row>
    <row r="22" spans="1:29" ht="15">
      <c r="A22" s="745"/>
      <c r="B22" s="973"/>
      <c r="C22" s="3374" t="s">
        <v>3138</v>
      </c>
      <c r="D22" s="789"/>
      <c r="E22" s="3374" t="s">
        <v>3138</v>
      </c>
      <c r="F22" s="789"/>
      <c r="G22" s="3374" t="s">
        <v>3138</v>
      </c>
      <c r="H22" s="789"/>
      <c r="I22" s="3374" t="s">
        <v>3138</v>
      </c>
      <c r="J22" s="789"/>
      <c r="K22" s="1079"/>
      <c r="L22" s="2356"/>
      <c r="M22" s="2347"/>
      <c r="N22" s="2347"/>
      <c r="O22" s="2355"/>
      <c r="P22" s="3683"/>
      <c r="Q22" s="1321"/>
      <c r="R22" s="1322"/>
      <c r="S22" s="1323"/>
      <c r="T22" s="1322"/>
      <c r="U22" s="1323"/>
      <c r="V22" s="1322"/>
      <c r="W22" s="1323"/>
      <c r="X22" s="1316"/>
      <c r="Y22" s="3683"/>
      <c r="Z22" s="1324"/>
      <c r="AA22" s="1325">
        <v>1</v>
      </c>
      <c r="AB22" s="1325">
        <v>1</v>
      </c>
      <c r="AC22" s="1325">
        <v>1</v>
      </c>
    </row>
    <row r="23" spans="1:29" s="406" customFormat="1" ht="144">
      <c r="A23" s="990"/>
      <c r="B23" s="1034" t="s">
        <v>2661</v>
      </c>
      <c r="C23" s="158" t="str">
        <f>估价对象房地状况!G19</f>
        <v>估价对象所在区域银行、购物场所、学校等公共配套设施齐备，综合评价公用设施及基础设施水平一般。</v>
      </c>
      <c r="D23" s="791">
        <v>100</v>
      </c>
      <c r="E23" s="100" t="s">
        <v>3177</v>
      </c>
      <c r="F23" s="791">
        <f>SUMIF(91:91,E24,92:92)-SUMIF(91:91,C24,92:92)+100</f>
        <v>100</v>
      </c>
      <c r="G23" s="100" t="s">
        <v>3177</v>
      </c>
      <c r="H23" s="791">
        <f>SUMIF(91:91,G24,92:92)-SUMIF(91:91,C24,92:92)+100</f>
        <v>100</v>
      </c>
      <c r="I23" s="101" t="s">
        <v>3177</v>
      </c>
      <c r="J23" s="791">
        <f>SUMIF(91:91,I24,92:92)-SUMIF(91:91,C24,92:92)+100</f>
        <v>100</v>
      </c>
      <c r="K23" s="1080">
        <v>2</v>
      </c>
      <c r="L23" s="2348"/>
      <c r="M23" s="2349"/>
      <c r="N23" s="2349"/>
      <c r="O23" s="2350"/>
      <c r="P23" s="3683"/>
      <c r="Q23" s="295" t="str">
        <f t="shared" si="8"/>
        <v>公共配套设施</v>
      </c>
      <c r="R23" s="1317" t="s">
        <v>65</v>
      </c>
      <c r="S23" s="1318">
        <f>F23</f>
        <v>100</v>
      </c>
      <c r="T23" s="1317" t="s">
        <v>65</v>
      </c>
      <c r="U23" s="1318">
        <f>H23</f>
        <v>100</v>
      </c>
      <c r="V23" s="1317" t="s">
        <v>65</v>
      </c>
      <c r="W23" s="1318">
        <f>J23</f>
        <v>100</v>
      </c>
      <c r="X23" s="1319"/>
      <c r="Y23" s="3683"/>
      <c r="Z23" s="343" t="str">
        <f>Q23</f>
        <v>公共配套设施</v>
      </c>
      <c r="AA23" s="1325">
        <f>D23/F23</f>
        <v>1</v>
      </c>
      <c r="AB23" s="1325">
        <f>D23/H23</f>
        <v>1</v>
      </c>
      <c r="AC23" s="1325">
        <f>D23/J23</f>
        <v>1</v>
      </c>
    </row>
    <row r="24" spans="1:29" s="406" customFormat="1" ht="15">
      <c r="A24" s="990"/>
      <c r="B24" s="973"/>
      <c r="C24" s="3383" t="s">
        <v>3196</v>
      </c>
      <c r="D24" s="789"/>
      <c r="E24" s="3383" t="s">
        <v>3196</v>
      </c>
      <c r="F24" s="789"/>
      <c r="G24" s="3383" t="s">
        <v>3196</v>
      </c>
      <c r="H24" s="789"/>
      <c r="I24" s="3383" t="s">
        <v>3196</v>
      </c>
      <c r="J24" s="789"/>
      <c r="K24" s="1079"/>
      <c r="L24" s="2348"/>
      <c r="M24" s="2349"/>
      <c r="N24" s="2349"/>
      <c r="O24" s="2350"/>
      <c r="P24" s="3683"/>
      <c r="Q24" s="295"/>
      <c r="R24" s="1317"/>
      <c r="S24" s="1318"/>
      <c r="T24" s="1317"/>
      <c r="U24" s="1318"/>
      <c r="V24" s="1317"/>
      <c r="W24" s="1318"/>
      <c r="X24" s="1319"/>
      <c r="Y24" s="3683"/>
      <c r="Z24" s="343"/>
      <c r="AA24" s="1320">
        <v>1</v>
      </c>
      <c r="AB24" s="1320">
        <v>1</v>
      </c>
      <c r="AC24" s="1320">
        <v>1</v>
      </c>
    </row>
    <row r="25" spans="1:29" s="406" customFormat="1" ht="28.8">
      <c r="A25" s="990"/>
      <c r="B25" s="1034" t="s">
        <v>2662</v>
      </c>
      <c r="C25" s="158" t="str">
        <f>估价对象房地状况!G20</f>
        <v>基础设施水平为“七通”</v>
      </c>
      <c r="D25" s="791">
        <v>100</v>
      </c>
      <c r="E25" s="100" t="s">
        <v>3179</v>
      </c>
      <c r="F25" s="791">
        <f>SUMIF(93:93,E26,94:94)-SUMIF(93:93,C26,94:94)+100</f>
        <v>100</v>
      </c>
      <c r="G25" s="100" t="s">
        <v>3179</v>
      </c>
      <c r="H25" s="791">
        <f>SUMIF(93:93,G26,94:94)-SUMIF(93:93,C26,94:94)+100</f>
        <v>100</v>
      </c>
      <c r="I25" s="101" t="s">
        <v>3179</v>
      </c>
      <c r="J25" s="791">
        <f>SUMIF(93:93,I26,94:94)-SUMIF(93:93,C26,94:94)+100</f>
        <v>100</v>
      </c>
      <c r="K25" s="1080">
        <v>2</v>
      </c>
      <c r="L25" s="2348"/>
      <c r="M25" s="2349"/>
      <c r="N25" s="2349"/>
      <c r="O25" s="2350"/>
      <c r="P25" s="3683"/>
      <c r="Q25" s="2742" t="str">
        <f t="shared" ref="Q25" si="9">B25</f>
        <v>基础设施水平</v>
      </c>
      <c r="R25" s="1317" t="s">
        <v>65</v>
      </c>
      <c r="S25" s="1318">
        <f>F25</f>
        <v>100</v>
      </c>
      <c r="T25" s="1317" t="s">
        <v>65</v>
      </c>
      <c r="U25" s="1318">
        <f>H25</f>
        <v>100</v>
      </c>
      <c r="V25" s="1317" t="s">
        <v>65</v>
      </c>
      <c r="W25" s="1318">
        <f>J25</f>
        <v>100</v>
      </c>
      <c r="X25" s="1319"/>
      <c r="Y25" s="3683"/>
      <c r="Z25" s="343" t="str">
        <f>Q25</f>
        <v>基础设施水平</v>
      </c>
      <c r="AA25" s="1325">
        <f>D25/F25</f>
        <v>1</v>
      </c>
      <c r="AB25" s="1325">
        <f>D25/H25</f>
        <v>1</v>
      </c>
      <c r="AC25" s="1325">
        <f>D25/J25</f>
        <v>1</v>
      </c>
    </row>
    <row r="26" spans="1:29" s="406" customFormat="1" ht="15">
      <c r="A26" s="990"/>
      <c r="B26" s="973"/>
      <c r="C26" s="2773" t="s">
        <v>3061</v>
      </c>
      <c r="D26" s="789"/>
      <c r="E26" s="2773" t="s">
        <v>3061</v>
      </c>
      <c r="F26" s="789"/>
      <c r="G26" s="2773" t="s">
        <v>3061</v>
      </c>
      <c r="H26" s="789"/>
      <c r="I26" s="2773" t="s">
        <v>3061</v>
      </c>
      <c r="J26" s="789"/>
      <c r="K26" s="1079"/>
      <c r="L26" s="2348"/>
      <c r="M26" s="2349"/>
      <c r="N26" s="2349"/>
      <c r="O26" s="2350"/>
      <c r="P26" s="3683"/>
      <c r="Q26" s="2742"/>
      <c r="R26" s="1317"/>
      <c r="S26" s="1318"/>
      <c r="T26" s="1317"/>
      <c r="U26" s="1318"/>
      <c r="V26" s="1317"/>
      <c r="W26" s="1318"/>
      <c r="X26" s="1319"/>
      <c r="Y26" s="3683"/>
      <c r="Z26" s="343"/>
      <c r="AA26" s="1320">
        <v>1</v>
      </c>
      <c r="AB26" s="1320">
        <v>1</v>
      </c>
      <c r="AC26" s="1320">
        <v>1</v>
      </c>
    </row>
    <row r="27" spans="1:29" ht="15">
      <c r="A27" s="769"/>
      <c r="B27" s="973" t="s">
        <v>435</v>
      </c>
      <c r="C27" s="182" t="s">
        <v>3070</v>
      </c>
      <c r="D27" s="776">
        <v>100</v>
      </c>
      <c r="E27" s="182" t="s">
        <v>3070</v>
      </c>
      <c r="F27" s="776">
        <f>SUMIF(95:95,E27,96:96)-SUMIF(95:95,C27,96:96)+100</f>
        <v>100</v>
      </c>
      <c r="G27" s="195" t="s">
        <v>3175</v>
      </c>
      <c r="H27" s="776">
        <f>SUMIF(95:95,G27,96:96)-SUMIF(95:95,C27,96:96)+100</f>
        <v>97</v>
      </c>
      <c r="I27" s="182" t="s">
        <v>3070</v>
      </c>
      <c r="J27" s="776">
        <f>SUMIF(95:95,I27,96:96)-SUMIF(95:95,C27,96:96)+100</f>
        <v>100</v>
      </c>
      <c r="K27" s="1080">
        <v>1.5</v>
      </c>
      <c r="L27" s="2356"/>
      <c r="M27" s="2347"/>
      <c r="N27" s="2347"/>
      <c r="O27" s="2355"/>
      <c r="P27" s="3683"/>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683"/>
      <c r="Z27" s="1324" t="str">
        <f t="shared" ref="Z27:Z40" si="13">Q27</f>
        <v>临街状况</v>
      </c>
      <c r="AA27" s="1325">
        <f t="shared" si="3"/>
        <v>1</v>
      </c>
      <c r="AB27" s="1325">
        <f t="shared" si="4"/>
        <v>1.0309278350515463</v>
      </c>
      <c r="AC27" s="1325">
        <f t="shared" si="5"/>
        <v>1</v>
      </c>
    </row>
    <row r="28" spans="1:29" ht="28.8">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683"/>
      <c r="Q28" s="1321" t="str">
        <f t="shared" si="8"/>
        <v>毗邻道路的类型与等级</v>
      </c>
      <c r="R28" s="1322" t="s">
        <v>65</v>
      </c>
      <c r="S28" s="1323">
        <f t="shared" si="10"/>
        <v>98</v>
      </c>
      <c r="T28" s="1322" t="s">
        <v>65</v>
      </c>
      <c r="U28" s="1323">
        <f t="shared" si="11"/>
        <v>98</v>
      </c>
      <c r="V28" s="1322" t="s">
        <v>65</v>
      </c>
      <c r="W28" s="1323">
        <f t="shared" si="12"/>
        <v>98</v>
      </c>
      <c r="X28" s="1316"/>
      <c r="Y28" s="3683"/>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3165</v>
      </c>
      <c r="D29" s="789"/>
      <c r="E29" s="192" t="s">
        <v>3176</v>
      </c>
      <c r="F29" s="789"/>
      <c r="G29" s="192" t="s">
        <v>3176</v>
      </c>
      <c r="H29" s="789"/>
      <c r="I29" s="192" t="s">
        <v>3176</v>
      </c>
      <c r="J29" s="789"/>
      <c r="K29" s="954"/>
      <c r="L29" s="2356"/>
      <c r="M29" s="2347"/>
      <c r="N29" s="2347"/>
      <c r="O29" s="2355"/>
      <c r="P29" s="3683"/>
      <c r="Q29" s="1321"/>
      <c r="R29" s="1322"/>
      <c r="S29" s="1323"/>
      <c r="T29" s="1322"/>
      <c r="U29" s="1323"/>
      <c r="V29" s="1322"/>
      <c r="W29" s="1323"/>
      <c r="X29" s="1316"/>
      <c r="Y29" s="3683"/>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683"/>
      <c r="Q30" s="1321" t="str">
        <f t="shared" si="8"/>
        <v>土地级别</v>
      </c>
      <c r="R30" s="1322" t="s">
        <v>65</v>
      </c>
      <c r="S30" s="1323">
        <f t="shared" si="10"/>
        <v>100</v>
      </c>
      <c r="T30" s="1322" t="s">
        <v>65</v>
      </c>
      <c r="U30" s="1323">
        <f t="shared" si="11"/>
        <v>100</v>
      </c>
      <c r="V30" s="1322" t="s">
        <v>65</v>
      </c>
      <c r="W30" s="1323">
        <f t="shared" si="12"/>
        <v>100</v>
      </c>
      <c r="X30" s="1316"/>
      <c r="Y30" s="3683"/>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683"/>
      <c r="Q31" s="1321">
        <f t="shared" si="8"/>
        <v>111</v>
      </c>
      <c r="R31" s="1322" t="s">
        <v>65</v>
      </c>
      <c r="S31" s="1323">
        <f t="shared" si="10"/>
        <v>100</v>
      </c>
      <c r="T31" s="1322" t="s">
        <v>65</v>
      </c>
      <c r="U31" s="1323">
        <f t="shared" si="11"/>
        <v>100</v>
      </c>
      <c r="V31" s="1322" t="s">
        <v>65</v>
      </c>
      <c r="W31" s="1323">
        <f t="shared" si="12"/>
        <v>100</v>
      </c>
      <c r="X31" s="1316"/>
      <c r="Y31" s="3683"/>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684" t="s">
        <v>407</v>
      </c>
      <c r="Q32" s="1321">
        <f t="shared" si="8"/>
        <v>111</v>
      </c>
      <c r="R32" s="1322" t="s">
        <v>65</v>
      </c>
      <c r="S32" s="1323">
        <f t="shared" si="10"/>
        <v>100</v>
      </c>
      <c r="T32" s="1322" t="s">
        <v>65</v>
      </c>
      <c r="U32" s="1323">
        <f t="shared" si="11"/>
        <v>100</v>
      </c>
      <c r="V32" s="1322" t="s">
        <v>65</v>
      </c>
      <c r="W32" s="1323">
        <f t="shared" si="12"/>
        <v>100</v>
      </c>
      <c r="X32" s="1316"/>
      <c r="Y32" s="3685" t="s">
        <v>407</v>
      </c>
      <c r="Z32" s="1324">
        <f t="shared" si="13"/>
        <v>111</v>
      </c>
      <c r="AA32" s="1325">
        <f t="shared" si="3"/>
        <v>1</v>
      </c>
      <c r="AB32" s="1325">
        <f t="shared" si="4"/>
        <v>1</v>
      </c>
      <c r="AC32" s="1325">
        <f t="shared" si="5"/>
        <v>1</v>
      </c>
    </row>
    <row r="33" spans="1:29" s="812" customFormat="1" ht="15.6"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685"/>
      <c r="Q33" s="1321">
        <f t="shared" si="8"/>
        <v>111</v>
      </c>
      <c r="R33" s="1327" t="s">
        <v>65</v>
      </c>
      <c r="S33" s="1328">
        <f t="shared" si="10"/>
        <v>100</v>
      </c>
      <c r="T33" s="1327" t="s">
        <v>65</v>
      </c>
      <c r="U33" s="1328">
        <f t="shared" si="11"/>
        <v>100</v>
      </c>
      <c r="V33" s="1327" t="s">
        <v>65</v>
      </c>
      <c r="W33" s="1328">
        <f t="shared" si="12"/>
        <v>100</v>
      </c>
      <c r="X33" s="1329"/>
      <c r="Y33" s="3685"/>
      <c r="Z33" s="1330">
        <f t="shared" si="13"/>
        <v>111</v>
      </c>
      <c r="AA33" s="1325">
        <f t="shared" si="3"/>
        <v>1</v>
      </c>
      <c r="AB33" s="1325">
        <f t="shared" si="4"/>
        <v>1</v>
      </c>
      <c r="AC33" s="1325">
        <f t="shared" si="5"/>
        <v>1</v>
      </c>
    </row>
    <row r="34" spans="1:29" ht="15">
      <c r="A34" s="781" t="s">
        <v>2786</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685"/>
      <c r="Q34" s="1321" t="str">
        <f>B34</f>
        <v>宗地面积</v>
      </c>
      <c r="R34" s="1322" t="s">
        <v>65</v>
      </c>
      <c r="S34" s="1323">
        <f t="shared" si="10"/>
        <v>98</v>
      </c>
      <c r="T34" s="1322" t="s">
        <v>65</v>
      </c>
      <c r="U34" s="1323">
        <f t="shared" si="11"/>
        <v>97</v>
      </c>
      <c r="V34" s="1322" t="s">
        <v>65</v>
      </c>
      <c r="W34" s="1323">
        <f t="shared" si="12"/>
        <v>97</v>
      </c>
      <c r="X34" s="1316"/>
      <c r="Y34" s="3685"/>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3166</v>
      </c>
      <c r="D35" s="776">
        <v>100</v>
      </c>
      <c r="E35" s="109" t="s">
        <v>3166</v>
      </c>
      <c r="F35" s="776">
        <f>SUMIF(110:110,E35,111:111)-SUMIF(110:110,C35,111:111)+100</f>
        <v>100</v>
      </c>
      <c r="G35" s="109" t="s">
        <v>3166</v>
      </c>
      <c r="H35" s="776">
        <f>SUMIF(110:110,G35,111:111)-SUMIF(110:110,C35,111:111)+100</f>
        <v>100</v>
      </c>
      <c r="I35" s="109" t="s">
        <v>3166</v>
      </c>
      <c r="J35" s="776">
        <f>SUMIF(110:110,I35,111:111)-SUMIF(110:110,C35,111:111)+100</f>
        <v>100</v>
      </c>
      <c r="K35" s="953">
        <v>2</v>
      </c>
      <c r="L35" s="2356"/>
      <c r="M35" s="2347"/>
      <c r="N35" s="2347"/>
      <c r="O35" s="2355"/>
      <c r="P35" s="3685"/>
      <c r="Q35" s="1321" t="str">
        <f t="shared" ref="Q35:Q40" si="14">B35</f>
        <v>宗地形状</v>
      </c>
      <c r="R35" s="1322" t="s">
        <v>65</v>
      </c>
      <c r="S35" s="1323">
        <f t="shared" si="10"/>
        <v>100</v>
      </c>
      <c r="T35" s="1322" t="s">
        <v>65</v>
      </c>
      <c r="U35" s="1323">
        <f t="shared" si="11"/>
        <v>100</v>
      </c>
      <c r="V35" s="1322" t="s">
        <v>65</v>
      </c>
      <c r="W35" s="1323">
        <f t="shared" si="12"/>
        <v>100</v>
      </c>
      <c r="X35" s="1316"/>
      <c r="Y35" s="3685"/>
      <c r="Z35" s="1324" t="str">
        <f t="shared" si="13"/>
        <v>宗地形状</v>
      </c>
      <c r="AA35" s="1325">
        <f t="shared" si="3"/>
        <v>1</v>
      </c>
      <c r="AB35" s="1325">
        <f t="shared" si="4"/>
        <v>1</v>
      </c>
      <c r="AC35" s="1325">
        <f t="shared" si="5"/>
        <v>1</v>
      </c>
    </row>
    <row r="36" spans="1:29" s="406" customFormat="1" ht="15">
      <c r="A36" s="814"/>
      <c r="B36" s="2608" t="s">
        <v>2495</v>
      </c>
      <c r="C36" s="1040" t="s">
        <v>3060</v>
      </c>
      <c r="D36" s="425">
        <v>100</v>
      </c>
      <c r="E36" s="1040" t="s">
        <v>3061</v>
      </c>
      <c r="F36" s="776">
        <f>SUMIF(112:112,E36,113:113)-SUMIF(112:112,C36,113:113)+100</f>
        <v>100</v>
      </c>
      <c r="G36" s="1040" t="s">
        <v>3063</v>
      </c>
      <c r="H36" s="776">
        <f>SUMIF(112:112,G36,113:113)-SUMIF(112:112,C36,113:113)+100</f>
        <v>98</v>
      </c>
      <c r="I36" s="1040" t="s">
        <v>3061</v>
      </c>
      <c r="J36" s="776">
        <f>SUMIF(112:112,I36,113:113)-SUMIF(112:112,C36,113:113)+100</f>
        <v>100</v>
      </c>
      <c r="K36" s="953">
        <v>2</v>
      </c>
      <c r="L36" s="2348"/>
      <c r="M36" s="2349"/>
      <c r="N36" s="2349"/>
      <c r="O36" s="2350"/>
      <c r="P36" s="3685"/>
      <c r="Q36" s="1321" t="str">
        <f t="shared" si="14"/>
        <v>宗地开发程度</v>
      </c>
      <c r="R36" s="1317" t="s">
        <v>65</v>
      </c>
      <c r="S36" s="1318">
        <f t="shared" si="10"/>
        <v>100</v>
      </c>
      <c r="T36" s="1317" t="s">
        <v>65</v>
      </c>
      <c r="U36" s="1318">
        <f t="shared" si="11"/>
        <v>98</v>
      </c>
      <c r="V36" s="1317" t="s">
        <v>65</v>
      </c>
      <c r="W36" s="1318">
        <f t="shared" si="12"/>
        <v>100</v>
      </c>
      <c r="X36" s="1319"/>
      <c r="Y36" s="3685"/>
      <c r="Z36" s="343" t="str">
        <f t="shared" si="13"/>
        <v>宗地开发程度</v>
      </c>
      <c r="AA36" s="1320">
        <f t="shared" si="3"/>
        <v>1</v>
      </c>
      <c r="AB36" s="1320">
        <f t="shared" si="4"/>
        <v>1.0204081632653061</v>
      </c>
      <c r="AC36" s="1320">
        <f t="shared" si="5"/>
        <v>1</v>
      </c>
    </row>
    <row r="37" spans="1:29" ht="15">
      <c r="A37" s="813"/>
      <c r="B37" s="763" t="s">
        <v>487</v>
      </c>
      <c r="C37" s="109" t="s">
        <v>3137</v>
      </c>
      <c r="D37" s="776">
        <v>100</v>
      </c>
      <c r="E37" s="109" t="s">
        <v>3137</v>
      </c>
      <c r="F37" s="776">
        <f>SUMIF(114:114,E37,115:115)-SUMIF(114:114,C37,115:115)+100</f>
        <v>100</v>
      </c>
      <c r="G37" s="109" t="s">
        <v>3137</v>
      </c>
      <c r="H37" s="776">
        <f>SUMIF(114:114,G37,115:115)-SUMIF(114:114,C37,115:115)+100</f>
        <v>100</v>
      </c>
      <c r="I37" s="109" t="s">
        <v>3137</v>
      </c>
      <c r="J37" s="776">
        <f>SUMIF(114:114,I37,115:115)-SUMIF(114:114,C37,115:115)+100</f>
        <v>100</v>
      </c>
      <c r="K37" s="953">
        <v>1.5</v>
      </c>
      <c r="L37" s="2356"/>
      <c r="M37" s="2347"/>
      <c r="N37" s="2347"/>
      <c r="O37" s="2355"/>
      <c r="P37" s="3685" t="s">
        <v>518</v>
      </c>
      <c r="Q37" s="1321" t="str">
        <f t="shared" si="14"/>
        <v>工程地质条件</v>
      </c>
      <c r="R37" s="1322" t="s">
        <v>65</v>
      </c>
      <c r="S37" s="1323">
        <f t="shared" si="10"/>
        <v>100</v>
      </c>
      <c r="T37" s="1322" t="s">
        <v>65</v>
      </c>
      <c r="U37" s="1323">
        <f t="shared" si="11"/>
        <v>100</v>
      </c>
      <c r="V37" s="1322" t="s">
        <v>65</v>
      </c>
      <c r="W37" s="1323">
        <f t="shared" si="12"/>
        <v>100</v>
      </c>
      <c r="X37" s="1316"/>
      <c r="Y37" s="3685"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85"/>
      <c r="Q38" s="1321">
        <f t="shared" si="14"/>
        <v>111</v>
      </c>
      <c r="R38" s="1322" t="s">
        <v>65</v>
      </c>
      <c r="S38" s="1323">
        <f t="shared" si="10"/>
        <v>100</v>
      </c>
      <c r="T38" s="1322" t="s">
        <v>65</v>
      </c>
      <c r="U38" s="1323">
        <f t="shared" si="11"/>
        <v>100</v>
      </c>
      <c r="V38" s="1322" t="s">
        <v>65</v>
      </c>
      <c r="W38" s="1323">
        <f t="shared" si="12"/>
        <v>100</v>
      </c>
      <c r="X38" s="1316"/>
      <c r="Y38" s="3685"/>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85"/>
      <c r="Q39" s="1321">
        <f t="shared" si="14"/>
        <v>111</v>
      </c>
      <c r="R39" s="1322" t="s">
        <v>65</v>
      </c>
      <c r="S39" s="1323">
        <f t="shared" si="10"/>
        <v>100</v>
      </c>
      <c r="T39" s="1322" t="s">
        <v>65</v>
      </c>
      <c r="U39" s="1323">
        <f t="shared" si="11"/>
        <v>100</v>
      </c>
      <c r="V39" s="1322" t="s">
        <v>65</v>
      </c>
      <c r="W39" s="1323">
        <f t="shared" si="12"/>
        <v>100</v>
      </c>
      <c r="X39" s="1316"/>
      <c r="Y39" s="3685"/>
      <c r="Z39" s="1324">
        <f t="shared" si="13"/>
        <v>111</v>
      </c>
      <c r="AA39" s="1325">
        <f t="shared" si="3"/>
        <v>1</v>
      </c>
      <c r="AB39" s="1325">
        <f t="shared" si="4"/>
        <v>1</v>
      </c>
      <c r="AC39" s="1325">
        <f t="shared" si="5"/>
        <v>1</v>
      </c>
    </row>
    <row r="40" spans="1:29" s="812" customFormat="1" ht="15.6"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685"/>
      <c r="Q40" s="1321">
        <f t="shared" si="14"/>
        <v>111</v>
      </c>
      <c r="R40" s="1327" t="s">
        <v>65</v>
      </c>
      <c r="S40" s="1328">
        <f t="shared" si="10"/>
        <v>100</v>
      </c>
      <c r="T40" s="1327" t="s">
        <v>65</v>
      </c>
      <c r="U40" s="1328">
        <f t="shared" si="11"/>
        <v>100</v>
      </c>
      <c r="V40" s="1327" t="s">
        <v>65</v>
      </c>
      <c r="W40" s="1328">
        <f t="shared" si="12"/>
        <v>100</v>
      </c>
      <c r="X40" s="1329"/>
      <c r="Y40" s="3685"/>
      <c r="Z40" s="1330">
        <f t="shared" si="13"/>
        <v>111</v>
      </c>
      <c r="AA40" s="1325">
        <f t="shared" si="3"/>
        <v>1</v>
      </c>
      <c r="AB40" s="1325">
        <f t="shared" si="4"/>
        <v>1</v>
      </c>
      <c r="AC40" s="1325">
        <f t="shared" si="5"/>
        <v>1</v>
      </c>
    </row>
    <row r="41" spans="1:29" ht="14.4">
      <c r="A41" s="820" t="s">
        <v>488</v>
      </c>
      <c r="B41" s="207" t="s">
        <v>3198</v>
      </c>
      <c r="C41" s="1089" t="s">
        <v>23</v>
      </c>
      <c r="D41" s="822"/>
      <c r="E41" s="823">
        <v>1620</v>
      </c>
      <c r="F41" s="824"/>
      <c r="G41" s="825">
        <v>1620</v>
      </c>
      <c r="H41" s="826"/>
      <c r="I41" s="3354">
        <v>1620</v>
      </c>
      <c r="J41" s="826"/>
      <c r="K41" s="1398"/>
      <c r="L41" s="2359"/>
      <c r="M41" s="2347"/>
      <c r="N41" s="2347"/>
      <c r="O41" s="2360"/>
      <c r="P41" s="3677" t="str">
        <f>A41</f>
        <v>成交单价</v>
      </c>
      <c r="Q41" s="3677"/>
      <c r="R41" s="3705">
        <f>E41</f>
        <v>1620</v>
      </c>
      <c r="S41" s="3705"/>
      <c r="T41" s="3705">
        <f>G41</f>
        <v>1620</v>
      </c>
      <c r="U41" s="3705"/>
      <c r="V41" s="3705">
        <f>I41</f>
        <v>1620</v>
      </c>
      <c r="W41" s="3705"/>
      <c r="X41" s="1305"/>
      <c r="Y41" s="1331"/>
      <c r="Z41" s="1305"/>
      <c r="AA41" s="1305"/>
      <c r="AB41" s="1305"/>
      <c r="AC41" s="1305"/>
    </row>
    <row r="42" spans="1:29" ht="15" thickBot="1">
      <c r="A42" s="827" t="s">
        <v>409</v>
      </c>
      <c r="B42" s="1090"/>
      <c r="C42" s="831">
        <f>R43</f>
        <v>1755</v>
      </c>
      <c r="D42" s="830"/>
      <c r="E42" s="831">
        <f>R42</f>
        <v>1714</v>
      </c>
      <c r="F42" s="832"/>
      <c r="G42" s="829">
        <f>T42</f>
        <v>1821</v>
      </c>
      <c r="H42" s="830"/>
      <c r="I42" s="831">
        <f>V42</f>
        <v>1731</v>
      </c>
      <c r="J42" s="830"/>
      <c r="K42" s="1399"/>
      <c r="L42" s="2359"/>
      <c r="M42" s="2347"/>
      <c r="N42" s="2347"/>
      <c r="O42" s="2360"/>
      <c r="P42" s="3677" t="str">
        <f>A42</f>
        <v>比较价值（元/平方米）</v>
      </c>
      <c r="Q42" s="3677"/>
      <c r="R42" s="3717">
        <f>ROUND(PRODUCT(R41,AA7:AA40),0)</f>
        <v>1714</v>
      </c>
      <c r="S42" s="3717"/>
      <c r="T42" s="3717">
        <f>ROUND(PRODUCT(T41,AB7:AB40),0)</f>
        <v>1821</v>
      </c>
      <c r="U42" s="3717"/>
      <c r="V42" s="3717">
        <f>ROUND(PRODUCT(V41,AC7:AC40),0)</f>
        <v>1731</v>
      </c>
      <c r="W42" s="3717"/>
      <c r="X42" s="1305"/>
      <c r="Y42" s="1305"/>
      <c r="Z42" s="1305"/>
      <c r="AA42" s="1305"/>
      <c r="AB42" s="1305"/>
      <c r="AC42" s="1305"/>
    </row>
    <row r="43" spans="1:29" ht="15" thickBot="1">
      <c r="A43" s="115" t="s">
        <v>3005</v>
      </c>
      <c r="B43" s="834"/>
      <c r="C43" s="835">
        <f>R43</f>
        <v>1755</v>
      </c>
      <c r="D43" s="835"/>
      <c r="E43" s="835"/>
      <c r="F43" s="835"/>
      <c r="G43" s="835"/>
      <c r="H43" s="835"/>
      <c r="I43" s="835"/>
      <c r="J43" s="835"/>
      <c r="K43" s="1400"/>
      <c r="L43" s="2359"/>
      <c r="M43" s="2347"/>
      <c r="N43" s="2347"/>
      <c r="O43" s="2360"/>
      <c r="P43" s="3679" t="str">
        <f>A43</f>
        <v>估价对象XX用房的比较价值（楼面单价，元/平方米）</v>
      </c>
      <c r="Q43" s="3680"/>
      <c r="R43" s="3718">
        <f>ROUND(AVERAGE(R42:V42),0)</f>
        <v>1755</v>
      </c>
      <c r="S43" s="3718"/>
      <c r="T43" s="3718"/>
      <c r="U43" s="3718"/>
      <c r="V43" s="3718"/>
      <c r="W43" s="3718"/>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5.8024691358024683E-2</v>
      </c>
      <c r="F46" s="841" t="str">
        <f>IF(OR(E46&gt;=0.3,E46&lt;=-0.3),"超过30%","")</f>
        <v/>
      </c>
      <c r="G46" s="840">
        <f>IF(G41&lt;G42,G42/G41-1,G41/G42-1)</f>
        <v>0.124074074074074</v>
      </c>
      <c r="H46" s="841" t="str">
        <f>IF(OR(G46&gt;=0.3,G46&lt;=-0.3),"超过30%","")</f>
        <v/>
      </c>
      <c r="I46" s="840">
        <f>IF(I41&lt;I42,I42/I41-1,I41/I42-1)</f>
        <v>6.8518518518518423E-2</v>
      </c>
      <c r="J46" s="841" t="str">
        <f>IF(OR(I46&gt;=0.3,I46&lt;=-0.3),"超过30%","")</f>
        <v/>
      </c>
      <c r="K46" s="2186"/>
      <c r="L46" s="2187"/>
      <c r="M46" s="2347"/>
      <c r="N46" s="2347"/>
      <c r="O46" s="2360"/>
    </row>
    <row r="47" spans="1:29" ht="13.5" customHeight="1">
      <c r="A47" s="2360"/>
      <c r="B47" s="2360"/>
      <c r="C47" s="838" t="s">
        <v>411</v>
      </c>
      <c r="D47" s="842"/>
      <c r="E47" s="840">
        <f>IF(E42&lt;G42,G42/E42-1,E42/G42-1)</f>
        <v>6.2427071178529747E-2</v>
      </c>
      <c r="F47" s="841" t="str">
        <f>IF(OR(E47&gt;=0.2,E47&lt;=-0.2),"超过20%","")</f>
        <v/>
      </c>
      <c r="G47" s="840">
        <f>IF(G42&lt;I42,I42/G42-1,G42/I42-1)</f>
        <v>5.1993067590987874E-2</v>
      </c>
      <c r="H47" s="841" t="str">
        <f>IF(OR(G47&gt;=0.2,G47&lt;=-0.2),"超过20%","")</f>
        <v/>
      </c>
      <c r="I47" s="840">
        <f>IF(I42&lt;E42,E42/I42-1,I42/E42-1)</f>
        <v>9.9183197199532724E-3</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4.4" thickBot="1">
      <c r="A49" s="2361"/>
      <c r="B49" s="2362"/>
      <c r="C49" s="1308"/>
      <c r="D49" s="1306"/>
      <c r="E49" s="1306"/>
      <c r="F49" s="1306"/>
      <c r="G49" s="1306"/>
      <c r="H49" s="1306"/>
      <c r="I49" s="1306"/>
      <c r="J49" s="1306"/>
      <c r="K49" s="2364"/>
      <c r="L49" s="2365"/>
      <c r="M49" s="2361"/>
      <c r="N49" s="2361"/>
      <c r="O49" s="2361"/>
    </row>
    <row r="50" spans="1:17" ht="28.8">
      <c r="A50" s="1091" t="s">
        <v>489</v>
      </c>
      <c r="B50" s="1092" t="s">
        <v>490</v>
      </c>
      <c r="C50" s="1774" t="s">
        <v>1887</v>
      </c>
      <c r="D50" s="2391" t="s">
        <v>2319</v>
      </c>
      <c r="E50" s="1093" t="s">
        <v>491</v>
      </c>
      <c r="F50" s="1094" t="s">
        <v>492</v>
      </c>
      <c r="G50" s="3719" t="s">
        <v>2312</v>
      </c>
      <c r="H50" s="3720"/>
      <c r="I50" s="2181" t="s">
        <v>1886</v>
      </c>
      <c r="J50" s="1764">
        <f>项目基本情况!F35</f>
        <v>0</v>
      </c>
      <c r="K50" s="2374" t="s">
        <v>1888</v>
      </c>
      <c r="L50" s="2187"/>
      <c r="M50" s="2360"/>
      <c r="N50" s="2360"/>
      <c r="O50" s="2360"/>
    </row>
    <row r="51" spans="1:17" s="1099" customFormat="1">
      <c r="A51" s="1095" t="s">
        <v>493</v>
      </c>
      <c r="B51" s="1096">
        <f>C43</f>
        <v>1755</v>
      </c>
      <c r="C51" s="1097">
        <v>1</v>
      </c>
      <c r="D51" s="2392">
        <v>1</v>
      </c>
      <c r="E51" s="1097">
        <f>'数据-汇总表'!E8+'数据-汇总表'!E9</f>
        <v>134884.83000000002</v>
      </c>
      <c r="F51" s="1098">
        <f t="shared" ref="F51:F60" si="15">ROUND(B51*E51/10000,0)</f>
        <v>23672</v>
      </c>
      <c r="G51" s="3721"/>
      <c r="H51" s="3722"/>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3"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3"/>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3"/>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3"/>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4.4"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4.4" thickBot="1">
      <c r="A61" s="1102" t="s">
        <v>502</v>
      </c>
      <c r="B61" s="1103" t="s">
        <v>156</v>
      </c>
      <c r="C61" s="1103" t="s">
        <v>157</v>
      </c>
      <c r="D61" s="1103" t="s">
        <v>2320</v>
      </c>
      <c r="E61" s="1103">
        <f>IF(B41="楼面地价",SUM(E51:E60),'数据-汇总表'!D3)</f>
        <v>101087.14</v>
      </c>
      <c r="F61" s="1104">
        <f>IF(B41="楼面地价",SUM(F51:F60),ROUND(C43*E61/10000,0))</f>
        <v>17741</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2018-10-1</v>
      </c>
      <c r="D63" s="1307">
        <f>EDATE(C63,-3)</f>
        <v>43282</v>
      </c>
      <c r="E63" s="1307">
        <f>EDATE(D63,-3)</f>
        <v>43191</v>
      </c>
      <c r="F63" s="1307">
        <f t="shared" ref="F63:O63" si="18">EDATE(E63,-3)</f>
        <v>43101</v>
      </c>
      <c r="G63" s="1307">
        <f t="shared" si="18"/>
        <v>43009</v>
      </c>
      <c r="H63" s="1307">
        <f t="shared" si="18"/>
        <v>42917</v>
      </c>
      <c r="I63" s="1307">
        <f t="shared" si="18"/>
        <v>42826</v>
      </c>
      <c r="J63" s="1307">
        <f t="shared" si="18"/>
        <v>42736</v>
      </c>
      <c r="K63" s="1307">
        <f t="shared" si="18"/>
        <v>42644</v>
      </c>
      <c r="L63" s="1307">
        <f t="shared" si="18"/>
        <v>42552</v>
      </c>
      <c r="M63" s="1307">
        <f t="shared" si="18"/>
        <v>42461</v>
      </c>
      <c r="N63" s="1307">
        <f t="shared" si="18"/>
        <v>42370</v>
      </c>
      <c r="O63" s="1307">
        <f t="shared" si="18"/>
        <v>42278</v>
      </c>
    </row>
    <row r="64" spans="1:17" ht="22.2"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4.4">
      <c r="A65" s="2704" t="s">
        <v>2783</v>
      </c>
      <c r="B65" s="2705"/>
      <c r="C65" s="3035" t="str">
        <f>YEAR(C63)&amp;"-"&amp;ROUNDUP(MONTH(C63)/3,0)</f>
        <v>2018-4</v>
      </c>
      <c r="D65" s="3035" t="str">
        <f t="shared" ref="D65:O65" si="19">YEAR(D63)&amp;"-"&amp;ROUNDUP(MONTH(D63)/3,0)</f>
        <v>2018-3</v>
      </c>
      <c r="E65" s="3035" t="str">
        <f t="shared" si="19"/>
        <v>2018-2</v>
      </c>
      <c r="F65" s="3035" t="str">
        <f t="shared" si="19"/>
        <v>2018-1</v>
      </c>
      <c r="G65" s="3035" t="str">
        <f t="shared" si="19"/>
        <v>2017-4</v>
      </c>
      <c r="H65" s="3035" t="str">
        <f t="shared" si="19"/>
        <v>2017-3</v>
      </c>
      <c r="I65" s="3035" t="str">
        <f t="shared" si="19"/>
        <v>2017-2</v>
      </c>
      <c r="J65" s="3035" t="str">
        <f t="shared" si="19"/>
        <v>2017-1</v>
      </c>
      <c r="K65" s="3035" t="str">
        <f t="shared" si="19"/>
        <v>2016-4</v>
      </c>
      <c r="L65" s="3035" t="str">
        <f t="shared" si="19"/>
        <v>2016-3</v>
      </c>
      <c r="M65" s="3035" t="str">
        <f t="shared" si="19"/>
        <v>2016-2</v>
      </c>
      <c r="N65" s="3035" t="str">
        <f t="shared" si="19"/>
        <v>2016-1</v>
      </c>
      <c r="O65" s="3035" t="str">
        <f t="shared" si="19"/>
        <v>2015-4</v>
      </c>
      <c r="P65" s="848"/>
    </row>
    <row r="66" spans="1:17" s="406" customFormat="1" ht="30.75" customHeight="1">
      <c r="A66" s="3031" t="s">
        <v>2782</v>
      </c>
      <c r="B66" s="663" t="str">
        <f>"北京市平均增长率"&amp;TEXT(基准地价修正!P24,"0.00%")</f>
        <v>北京市平均增长率0.00%</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 thickBot="1">
      <c r="A67" s="856" t="s">
        <v>414</v>
      </c>
      <c r="B67" s="857"/>
      <c r="C67" s="858"/>
      <c r="D67" s="859"/>
      <c r="E67" s="859"/>
      <c r="F67" s="859"/>
      <c r="G67" s="859"/>
      <c r="H67" s="859"/>
      <c r="I67" s="859"/>
      <c r="J67" s="859"/>
      <c r="K67" s="859"/>
      <c r="L67" s="859"/>
      <c r="M67" s="860"/>
      <c r="N67" s="860"/>
      <c r="O67" s="861"/>
      <c r="P67" s="845"/>
      <c r="Q67" s="845"/>
    </row>
    <row r="68" spans="1:17" s="406" customFormat="1" ht="14.4">
      <c r="A68" s="862" t="s">
        <v>398</v>
      </c>
      <c r="B68" s="851"/>
      <c r="C68" s="863" t="s">
        <v>415</v>
      </c>
      <c r="D68" s="864" t="s">
        <v>3139</v>
      </c>
      <c r="E68" s="140"/>
      <c r="F68" s="140"/>
      <c r="G68" s="140"/>
      <c r="H68" s="140"/>
      <c r="I68" s="140"/>
      <c r="J68" s="140"/>
      <c r="K68" s="140"/>
      <c r="L68" s="141"/>
      <c r="M68" s="1049"/>
      <c r="N68" s="2367"/>
      <c r="O68" s="2367"/>
      <c r="P68" s="867"/>
      <c r="Q68" s="845"/>
    </row>
    <row r="69" spans="1:17" s="406" customFormat="1" ht="14.4" thickBot="1">
      <c r="A69" s="862"/>
      <c r="B69" s="851"/>
      <c r="C69" s="980">
        <v>100</v>
      </c>
      <c r="D69" s="853">
        <v>96</v>
      </c>
      <c r="E69" s="853"/>
      <c r="F69" s="853"/>
      <c r="G69" s="853"/>
      <c r="H69" s="853"/>
      <c r="I69" s="853"/>
      <c r="J69" s="853"/>
      <c r="K69" s="853"/>
      <c r="L69" s="853"/>
      <c r="M69" s="855"/>
      <c r="N69" s="2367"/>
      <c r="O69" s="2367"/>
      <c r="P69" s="845"/>
      <c r="Q69" s="845"/>
    </row>
    <row r="70" spans="1:17" ht="14.4">
      <c r="A70" s="868" t="s">
        <v>416</v>
      </c>
      <c r="B70" s="869" t="s">
        <v>417</v>
      </c>
      <c r="C70" s="871" t="s">
        <v>3140</v>
      </c>
      <c r="D70" s="871" t="s">
        <v>3141</v>
      </c>
      <c r="E70" s="122"/>
      <c r="F70" s="122"/>
      <c r="G70" s="122"/>
      <c r="H70" s="122"/>
      <c r="I70" s="122"/>
      <c r="J70" s="122"/>
      <c r="K70" s="123"/>
      <c r="L70" s="124"/>
      <c r="M70" s="125"/>
      <c r="N70" s="2368"/>
      <c r="O70" s="2368"/>
      <c r="P70" s="333"/>
      <c r="Q70" s="845"/>
    </row>
    <row r="71" spans="1:17" ht="14.4" thickBot="1">
      <c r="A71" s="875"/>
      <c r="B71" s="876"/>
      <c r="C71" s="877">
        <v>100</v>
      </c>
      <c r="D71" s="877">
        <v>105</v>
      </c>
      <c r="E71" s="877"/>
      <c r="F71" s="877"/>
      <c r="G71" s="877"/>
      <c r="H71" s="877"/>
      <c r="I71" s="877"/>
      <c r="J71" s="877"/>
      <c r="K71" s="877"/>
      <c r="L71" s="877"/>
      <c r="M71" s="878"/>
      <c r="N71" s="2369"/>
      <c r="O71" s="2369"/>
      <c r="P71" s="333"/>
      <c r="Q71" s="845"/>
    </row>
    <row r="72" spans="1:17" ht="29.4" thickTop="1">
      <c r="A72" s="875"/>
      <c r="B72" s="879" t="s">
        <v>402</v>
      </c>
      <c r="C72" s="880"/>
      <c r="D72" s="880"/>
      <c r="E72" s="880"/>
      <c r="F72" s="880"/>
      <c r="G72" s="880"/>
      <c r="H72" s="880"/>
      <c r="I72" s="880"/>
      <c r="J72" s="880"/>
      <c r="K72" s="881"/>
      <c r="L72" s="882"/>
      <c r="M72" s="883"/>
      <c r="N72" s="2368"/>
      <c r="O72" s="2368"/>
      <c r="P72" s="333"/>
      <c r="Q72" s="845"/>
    </row>
    <row r="73" spans="1:17" ht="14.4" thickBot="1">
      <c r="A73" s="875"/>
      <c r="B73" s="884"/>
      <c r="C73" s="885"/>
      <c r="D73" s="885"/>
      <c r="E73" s="885"/>
      <c r="F73" s="885"/>
      <c r="G73" s="885"/>
      <c r="H73" s="885"/>
      <c r="I73" s="885"/>
      <c r="J73" s="885"/>
      <c r="K73" s="885"/>
      <c r="L73" s="885"/>
      <c r="M73" s="886"/>
      <c r="N73" s="2369"/>
      <c r="O73" s="2369"/>
      <c r="P73" s="333"/>
      <c r="Q73" s="845"/>
    </row>
    <row r="74" spans="1:17" ht="1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4.4">
      <c r="A75" s="875"/>
      <c r="B75" s="1055"/>
      <c r="C75" s="890">
        <v>0</v>
      </c>
      <c r="D75" s="890">
        <v>1</v>
      </c>
      <c r="E75" s="890">
        <v>2</v>
      </c>
      <c r="F75" s="890">
        <v>3</v>
      </c>
      <c r="G75" s="890"/>
      <c r="H75" s="890"/>
      <c r="I75" s="890"/>
      <c r="J75" s="890"/>
      <c r="K75" s="891"/>
      <c r="L75" s="892"/>
      <c r="M75" s="893"/>
      <c r="N75" s="2368"/>
      <c r="O75" s="2368"/>
      <c r="P75" s="333"/>
      <c r="Q75" s="845"/>
    </row>
    <row r="76" spans="1:17" ht="1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 thickBot="1">
      <c r="A78" s="894"/>
      <c r="B78" s="1053"/>
      <c r="C78" s="901"/>
      <c r="D78" s="877"/>
      <c r="E78" s="877"/>
      <c r="F78" s="877"/>
      <c r="G78" s="877"/>
      <c r="H78" s="877"/>
      <c r="I78" s="877"/>
      <c r="J78" s="877"/>
      <c r="K78" s="877"/>
      <c r="L78" s="877"/>
      <c r="M78" s="878"/>
      <c r="N78" s="2369"/>
      <c r="O78" s="2369"/>
      <c r="P78" s="899"/>
      <c r="Q78" s="900"/>
    </row>
    <row r="79" spans="1:17" s="812" customFormat="1" ht="1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 thickBot="1">
      <c r="A80" s="894"/>
      <c r="B80" s="1053"/>
      <c r="C80" s="901"/>
      <c r="D80" s="901"/>
      <c r="E80" s="901"/>
      <c r="F80" s="901"/>
      <c r="G80" s="901"/>
      <c r="H80" s="903"/>
      <c r="I80" s="903"/>
      <c r="J80" s="903"/>
      <c r="K80" s="903"/>
      <c r="L80" s="903"/>
      <c r="M80" s="904"/>
      <c r="N80" s="2370"/>
      <c r="O80" s="2370"/>
      <c r="P80" s="899"/>
      <c r="Q80" s="900"/>
    </row>
    <row r="81" spans="1:17" s="812" customFormat="1" ht="1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 thickBot="1">
      <c r="A82" s="909"/>
      <c r="B82" s="1069"/>
      <c r="C82" s="911"/>
      <c r="D82" s="911"/>
      <c r="E82" s="911"/>
      <c r="F82" s="911"/>
      <c r="G82" s="911"/>
      <c r="H82" s="912"/>
      <c r="I82" s="912"/>
      <c r="J82" s="912"/>
      <c r="K82" s="912"/>
      <c r="L82" s="912"/>
      <c r="M82" s="913"/>
      <c r="N82" s="2370"/>
      <c r="O82" s="2370"/>
      <c r="P82" s="899"/>
      <c r="Q82" s="900"/>
    </row>
    <row r="83" spans="1:17" ht="14.4">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9.4"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9.4"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 thickTop="1">
      <c r="A91" s="894"/>
      <c r="B91" s="1052" t="s">
        <v>2661</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 thickTop="1">
      <c r="A93" s="894"/>
      <c r="B93" s="1054" t="s">
        <v>2663</v>
      </c>
      <c r="C93" s="213" t="s">
        <v>2649</v>
      </c>
      <c r="D93" s="213" t="s">
        <v>2650</v>
      </c>
      <c r="E93" s="213" t="s">
        <v>2651</v>
      </c>
      <c r="F93" s="213" t="s">
        <v>2652</v>
      </c>
      <c r="G93" s="213" t="s">
        <v>2653</v>
      </c>
      <c r="H93" s="941"/>
      <c r="I93" s="941"/>
      <c r="J93" s="941"/>
      <c r="K93" s="941"/>
      <c r="L93" s="941"/>
      <c r="M93" s="943"/>
      <c r="N93" s="2370"/>
      <c r="O93" s="2370"/>
      <c r="P93" s="899"/>
      <c r="Q93" s="900"/>
    </row>
    <row r="94" spans="1:17" s="812" customFormat="1" ht="1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9.4" thickTop="1">
      <c r="A97" s="875"/>
      <c r="B97" s="1052" t="s">
        <v>144</v>
      </c>
      <c r="C97" s="895" t="s">
        <v>3142</v>
      </c>
      <c r="D97" s="895" t="s">
        <v>3143</v>
      </c>
      <c r="E97" s="895" t="s">
        <v>3144</v>
      </c>
      <c r="F97" s="895" t="s">
        <v>3145</v>
      </c>
      <c r="G97" s="895" t="s">
        <v>3146</v>
      </c>
      <c r="H97" s="131"/>
      <c r="I97" s="131"/>
      <c r="J97" s="131"/>
      <c r="K97" s="132"/>
      <c r="L97" s="133"/>
      <c r="M97" s="134"/>
      <c r="N97" s="2368"/>
      <c r="O97" s="2368"/>
      <c r="P97" s="333"/>
      <c r="Q97" s="845"/>
    </row>
    <row r="98" spans="1:17" ht="1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 thickTop="1">
      <c r="A99" s="875"/>
      <c r="B99" s="1052" t="s">
        <v>153</v>
      </c>
      <c r="C99" s="924" t="s">
        <v>3147</v>
      </c>
      <c r="D99" s="924" t="s">
        <v>3148</v>
      </c>
      <c r="E99" s="924" t="s">
        <v>3149</v>
      </c>
      <c r="F99" s="924" t="s">
        <v>3150</v>
      </c>
      <c r="G99" s="924" t="s">
        <v>3151</v>
      </c>
      <c r="H99" s="924"/>
      <c r="I99" s="924"/>
      <c r="J99" s="924"/>
      <c r="K99" s="925"/>
      <c r="L99" s="926"/>
      <c r="M99" s="927"/>
      <c r="N99" s="2368"/>
      <c r="O99" s="2368"/>
      <c r="P99" s="333"/>
      <c r="Q99" s="845"/>
    </row>
    <row r="100" spans="1:17" ht="1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 thickTop="1">
      <c r="A101" s="875"/>
      <c r="B101" s="1054">
        <f>B31</f>
        <v>111</v>
      </c>
      <c r="C101" s="139"/>
      <c r="D101" s="139"/>
      <c r="E101" s="139"/>
      <c r="F101" s="139"/>
      <c r="G101" s="135"/>
      <c r="H101" s="135"/>
      <c r="I101" s="135"/>
      <c r="J101" s="135"/>
      <c r="K101" s="136"/>
      <c r="L101" s="137"/>
      <c r="M101" s="138"/>
      <c r="N101" s="2368"/>
      <c r="O101" s="2368"/>
      <c r="P101" s="333"/>
      <c r="Q101" s="845"/>
    </row>
    <row r="102" spans="1:17" ht="1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 thickBot="1">
      <c r="A106" s="894"/>
      <c r="B106" s="1054"/>
      <c r="C106" s="911"/>
      <c r="D106" s="911"/>
      <c r="E106" s="911"/>
      <c r="F106" s="911"/>
      <c r="G106" s="1084"/>
      <c r="H106" s="1084"/>
      <c r="I106" s="1084"/>
      <c r="J106" s="1084"/>
      <c r="K106" s="1084"/>
      <c r="L106" s="1084"/>
      <c r="M106" s="1106"/>
      <c r="N106" s="2369"/>
      <c r="O106" s="2369"/>
      <c r="P106" s="899"/>
      <c r="Q106" s="900"/>
    </row>
    <row r="107" spans="1:17" ht="27.6">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4.4">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3152</v>
      </c>
      <c r="D110" s="924" t="s">
        <v>3153</v>
      </c>
      <c r="E110" s="924" t="s">
        <v>3154</v>
      </c>
      <c r="F110" s="924" t="s">
        <v>3155</v>
      </c>
      <c r="G110" s="131"/>
      <c r="H110" s="131"/>
      <c r="I110" s="131"/>
      <c r="J110" s="131"/>
      <c r="K110" s="132"/>
      <c r="L110" s="133"/>
      <c r="M110" s="134"/>
      <c r="N110" s="2368"/>
      <c r="O110" s="2368"/>
      <c r="P110" s="333"/>
      <c r="Q110" s="845"/>
    </row>
    <row r="111" spans="1:17" ht="1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2496</v>
      </c>
      <c r="C112" s="895" t="s">
        <v>3156</v>
      </c>
      <c r="D112" s="895" t="s">
        <v>3157</v>
      </c>
      <c r="E112" s="895" t="s">
        <v>3158</v>
      </c>
      <c r="F112" s="895" t="s">
        <v>3159</v>
      </c>
      <c r="G112" s="895" t="s">
        <v>3160</v>
      </c>
      <c r="H112" s="131"/>
      <c r="I112" s="131"/>
      <c r="J112" s="131"/>
      <c r="K112" s="132"/>
      <c r="L112" s="133"/>
      <c r="M112" s="134"/>
      <c r="N112" s="2370"/>
      <c r="O112" s="2370"/>
      <c r="P112" s="899"/>
      <c r="Q112" s="900"/>
    </row>
    <row r="113" spans="1:17" s="812" customFormat="1" ht="1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3161</v>
      </c>
      <c r="D114" s="895" t="s">
        <v>3138</v>
      </c>
      <c r="E114" s="924" t="s">
        <v>3162</v>
      </c>
      <c r="F114" s="924" t="s">
        <v>3163</v>
      </c>
      <c r="G114" s="924" t="s">
        <v>3164</v>
      </c>
      <c r="H114" s="131"/>
      <c r="I114" s="131"/>
      <c r="J114" s="131"/>
      <c r="K114" s="132"/>
      <c r="L114" s="133"/>
      <c r="M114" s="134"/>
      <c r="N114" s="2368"/>
      <c r="O114" s="2368"/>
      <c r="P114" s="333"/>
      <c r="Q114" s="845"/>
    </row>
    <row r="115" spans="1:17" ht="1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F42" sqref="F42"/>
    </sheetView>
  </sheetViews>
  <sheetFormatPr defaultColWidth="12" defaultRowHeight="12"/>
  <cols>
    <col min="1" max="1" width="9.77734375" style="1624" customWidth="1"/>
    <col min="2" max="2" width="19.21875" style="1744" customWidth="1"/>
    <col min="3" max="4" width="12" style="1625"/>
    <col min="5" max="5" width="14.6640625" style="1625" customWidth="1"/>
    <col min="6" max="8" width="12" style="1625"/>
    <col min="9" max="9" width="12.21875" style="1625" bestFit="1" customWidth="1"/>
    <col min="10" max="10" width="12" style="1625"/>
    <col min="11" max="11" width="8.109375" style="1622" customWidth="1"/>
    <col min="12" max="12" width="12" style="1625"/>
    <col min="13" max="13" width="8.44140625" style="1625" customWidth="1"/>
    <col min="14" max="14" width="9.77734375" style="1625" customWidth="1"/>
    <col min="15" max="25" width="12" style="1625"/>
    <col min="26" max="26" width="9.33203125" style="1624" customWidth="1"/>
    <col min="27" max="32" width="9.33203125" style="1623" customWidth="1"/>
    <col min="33" max="36" width="9.33203125" style="1624" customWidth="1"/>
    <col min="37" max="38" width="9.33203125" style="1625" customWidth="1"/>
    <col min="39" max="16384" width="12" style="1625"/>
  </cols>
  <sheetData>
    <row r="1" spans="1:36" ht="31.2">
      <c r="A1" s="1470" t="s">
        <v>1793</v>
      </c>
      <c r="B1" s="1471"/>
      <c r="C1" s="86" t="s">
        <v>2497</v>
      </c>
      <c r="D1" s="1736">
        <f>SUM(D29:D30,D33:D39)</f>
        <v>151095.50000000003</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6">
      <c r="A2" s="86" t="s">
        <v>1794</v>
      </c>
      <c r="B2" s="579">
        <f ca="1">C26</f>
        <v>17889</v>
      </c>
      <c r="C2" s="1469" t="s">
        <v>1135</v>
      </c>
      <c r="D2" s="1626" t="s">
        <v>1795</v>
      </c>
      <c r="E2" s="1780" t="s">
        <v>39</v>
      </c>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2658</v>
      </c>
      <c r="U2" s="3076"/>
      <c r="V2" s="3075">
        <f ca="1">ROUND(T2*U2/10000,0)</f>
        <v>0</v>
      </c>
      <c r="W2" s="3071"/>
      <c r="X2" s="3071"/>
      <c r="Y2" s="3071"/>
      <c r="Z2" s="3071"/>
      <c r="AA2" s="3071"/>
      <c r="AB2" s="3071"/>
      <c r="AC2" s="3072"/>
      <c r="AD2" s="3073"/>
      <c r="AE2" s="3073"/>
      <c r="AF2" s="3073"/>
      <c r="AG2" s="3073"/>
      <c r="AH2" s="3073"/>
      <c r="AI2" s="3073"/>
      <c r="AJ2" s="3074"/>
    </row>
    <row r="3" spans="1:36" ht="15.6">
      <c r="A3" s="87" t="s">
        <v>1798</v>
      </c>
      <c r="B3" s="579">
        <f ca="1">ROUND(B2*10000/D1,0)</f>
        <v>1184</v>
      </c>
      <c r="C3" s="1469" t="s">
        <v>1799</v>
      </c>
      <c r="D3" s="1626" t="s">
        <v>1138</v>
      </c>
      <c r="E3" s="1781" t="s">
        <v>3199</v>
      </c>
      <c r="F3" s="1782" t="s">
        <v>3200</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1908</v>
      </c>
      <c r="U3" s="3076"/>
      <c r="V3" s="3075">
        <f t="shared" ref="V3:V16" ca="1" si="1">ROUND(T3*U3/10000,0)</f>
        <v>0</v>
      </c>
      <c r="W3" s="3071"/>
      <c r="X3" s="3071"/>
      <c r="Y3" s="3071"/>
      <c r="Z3" s="3071"/>
      <c r="AA3" s="3071"/>
      <c r="AB3" s="3071"/>
      <c r="AC3" s="3072"/>
      <c r="AD3" s="3073"/>
      <c r="AE3" s="3073"/>
      <c r="AF3" s="3073"/>
      <c r="AG3" s="3073"/>
      <c r="AH3" s="3073"/>
      <c r="AI3" s="3073"/>
      <c r="AJ3" s="3074"/>
    </row>
    <row r="4" spans="1:36" ht="15.6">
      <c r="A4" s="3731"/>
      <c r="B4" s="3732"/>
      <c r="C4" s="3732"/>
      <c r="D4" s="3733"/>
      <c r="E4" s="3733"/>
      <c r="F4" s="3733"/>
      <c r="G4" s="3733"/>
      <c r="H4" s="3733"/>
      <c r="I4" s="3733"/>
      <c r="J4" s="3734"/>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1539</v>
      </c>
      <c r="U4" s="3076"/>
      <c r="V4" s="3075">
        <f t="shared" ca="1" si="1"/>
        <v>0</v>
      </c>
      <c r="W4" s="3071"/>
      <c r="X4" s="3071"/>
      <c r="Y4" s="3071"/>
      <c r="Z4" s="3071"/>
      <c r="AA4" s="3071"/>
      <c r="AB4" s="3071"/>
      <c r="AC4" s="3072"/>
      <c r="AD4" s="3073"/>
      <c r="AE4" s="3073"/>
      <c r="AF4" s="3073"/>
      <c r="AG4" s="3073"/>
      <c r="AH4" s="3073"/>
      <c r="AI4" s="3073"/>
      <c r="AJ4" s="3074"/>
    </row>
    <row r="5" spans="1:36" s="1636" customFormat="1" ht="15.6" thickBot="1">
      <c r="A5" s="1876" t="s">
        <v>1936</v>
      </c>
      <c r="B5" s="1630" t="s">
        <v>1800</v>
      </c>
      <c r="C5" s="1631">
        <f>ROUND(IF(E2="商业",IF(F16="增加",C6*C7+C16,C6*C7-C16),IF(E2="住宅",IF(F16="增加",C6*C12+C16,C6*C12-C16),IF(F16="增加",C6+C16,C6-C16))),0)</f>
        <v>1080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1235</v>
      </c>
      <c r="U5" s="3076"/>
      <c r="V5" s="3075">
        <f t="shared" ca="1" si="1"/>
        <v>0</v>
      </c>
      <c r="W5" s="3071"/>
      <c r="X5" s="3071"/>
      <c r="Y5" s="3071"/>
      <c r="Z5" s="3071"/>
      <c r="AA5" s="3071"/>
      <c r="AB5" s="3071"/>
      <c r="AC5" s="3077"/>
      <c r="AD5" s="3078"/>
      <c r="AE5" s="3078"/>
      <c r="AF5" s="3078"/>
      <c r="AG5" s="3078"/>
      <c r="AH5" s="3078"/>
      <c r="AI5" s="3078"/>
      <c r="AJ5" s="3079"/>
    </row>
    <row r="6" spans="1:36" ht="15.6" thickBot="1">
      <c r="A6" s="1880" t="s">
        <v>1943</v>
      </c>
      <c r="B6" s="1637" t="s">
        <v>1800</v>
      </c>
      <c r="C6" s="1638">
        <f>SUMIF(L1:L12,G2,M1:M12)</f>
        <v>1080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1052</v>
      </c>
      <c r="U6" s="3076"/>
      <c r="V6" s="3075">
        <f t="shared" ca="1" si="1"/>
        <v>0</v>
      </c>
      <c r="W6" s="3071"/>
      <c r="X6" s="3071"/>
      <c r="Y6" s="3071"/>
      <c r="Z6" s="3071"/>
      <c r="AA6" s="3071"/>
      <c r="AB6" s="3071"/>
      <c r="AC6" s="3077"/>
      <c r="AD6" s="3078"/>
      <c r="AE6" s="3078"/>
      <c r="AF6" s="3078"/>
      <c r="AG6" s="3078"/>
      <c r="AH6" s="3078"/>
      <c r="AI6" s="3078"/>
      <c r="AJ6" s="3079"/>
    </row>
    <row r="7" spans="1:36" ht="26.4">
      <c r="A7" s="3735" t="str">
        <f>IF(E2="商业",IF(C8="不临58条商业街","",2),"")</f>
        <v/>
      </c>
      <c r="B7" s="1643" t="s">
        <v>1802</v>
      </c>
      <c r="C7" s="1644">
        <f>IF(C8="不临58条商业街",1,ROUND(1+(1.6*E8+1.2*E9+0.8*E10+0.4*E11)*C9,4))</f>
        <v>1</v>
      </c>
      <c r="D7" s="1645" t="s">
        <v>1803</v>
      </c>
      <c r="E7" s="1784"/>
      <c r="F7" s="1646"/>
      <c r="G7" s="1647"/>
      <c r="H7" s="1647"/>
      <c r="I7" s="1647"/>
      <c r="J7" s="1648"/>
      <c r="K7" s="2386"/>
      <c r="L7" s="1883" t="s">
        <v>1539</v>
      </c>
      <c r="M7" s="2136">
        <f>SUMPRODUCT((区片价!B158:B205=I2)*(区片价!C3:F3=E2)*(区片价!C158:F205))</f>
        <v>1080</v>
      </c>
      <c r="N7" s="2138">
        <f>SUMPRODUCT((因素修正幅度!B158:B205=I2)*(因素修正幅度!C3:F3=E2)*(因素修正幅度!C158:F205))</f>
        <v>0.05</v>
      </c>
      <c r="O7" s="2380"/>
      <c r="P7" s="2380"/>
      <c r="Q7" s="2380"/>
      <c r="R7" s="3075">
        <v>6</v>
      </c>
      <c r="S7" s="3075">
        <f>ROUND(IF(G3&gt;1,IF(R7&lt;7,SUMPRODUCT((B93:B98=R7)*(C92:N92=G2)*(C93:N98)),SUMIF(C92:N92,G2,C100:N100)),IF(R7&lt;7,SUMPRODUCT((B102:B107=R7)*(C92:N92=G2)*(C102:N107)),SUMIF(C92:N92,G2,C109:N109))),4)</f>
        <v>0.6482</v>
      </c>
      <c r="T7" s="3075">
        <f t="shared" ca="1" si="0"/>
        <v>925</v>
      </c>
      <c r="U7" s="3076"/>
      <c r="V7" s="3075">
        <f t="shared" ca="1" si="1"/>
        <v>0</v>
      </c>
      <c r="W7" s="3080" t="s">
        <v>2887</v>
      </c>
      <c r="X7" s="3081" t="str">
        <f>G2</f>
        <v>七级</v>
      </c>
      <c r="Y7" s="3081" t="s">
        <v>2888</v>
      </c>
      <c r="Z7" s="3082">
        <f>G3</f>
        <v>1.5</v>
      </c>
      <c r="AA7" s="3083"/>
      <c r="AB7" s="3083"/>
      <c r="AC7" s="3084"/>
      <c r="AD7" s="3085"/>
      <c r="AE7" s="3085"/>
      <c r="AF7" s="3085"/>
      <c r="AG7" s="3085"/>
      <c r="AH7" s="3085"/>
      <c r="AI7" s="3085"/>
      <c r="AJ7" s="3086"/>
    </row>
    <row r="8" spans="1:36" ht="24">
      <c r="A8" s="3736"/>
      <c r="B8" s="1629" t="s">
        <v>1804</v>
      </c>
      <c r="C8" s="1785" t="s">
        <v>3201</v>
      </c>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28" t="s">
        <v>2889</v>
      </c>
      <c r="X8" s="3729"/>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36"/>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30" t="s">
        <v>2890</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36"/>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30"/>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6" thickBot="1">
      <c r="A11" s="3736"/>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30" t="s">
        <v>2891</v>
      </c>
      <c r="X11" s="3091" t="s">
        <v>2888</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7" thickBot="1">
      <c r="A12" s="3735" t="s">
        <v>1944</v>
      </c>
      <c r="B12" s="1660" t="s">
        <v>1812</v>
      </c>
      <c r="C12" s="1644">
        <f>ROUND(C15*D15*E15*F15*G15*H15*I15*J15,4)</f>
        <v>1.1000000000000001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30"/>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37"/>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f t="shared" ca="1" si="0"/>
        <v>0</v>
      </c>
      <c r="U13" s="3076"/>
      <c r="V13" s="3075">
        <f t="shared" ca="1" si="1"/>
        <v>0</v>
      </c>
      <c r="W13" s="3730"/>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37"/>
      <c r="B14" s="1668"/>
      <c r="C14" s="1788" t="s">
        <v>3203</v>
      </c>
      <c r="D14" s="1485"/>
      <c r="E14" s="1485"/>
      <c r="F14" s="1789"/>
      <c r="G14" s="1669" t="s">
        <v>1845</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6" thickBot="1">
      <c r="A15" s="3738"/>
      <c r="B15" s="1673" t="s">
        <v>1818</v>
      </c>
      <c r="C15" s="560">
        <f>IF(C14="有",1.1,1)</f>
        <v>1.1000000000000001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35" t="s">
        <v>1945</v>
      </c>
      <c r="B16" s="1643" t="s">
        <v>1819</v>
      </c>
      <c r="C16" s="1776">
        <f>ROUND(SUM(G17:J17)/C17,0)</f>
        <v>0</v>
      </c>
      <c r="D16" s="1674" t="s">
        <v>1820</v>
      </c>
      <c r="E16" s="1792" t="s">
        <v>3204</v>
      </c>
      <c r="F16" s="1793" t="s">
        <v>3205</v>
      </c>
      <c r="G16" s="1794"/>
      <c r="H16" s="1794"/>
      <c r="I16" s="1794"/>
      <c r="J16" s="1795"/>
      <c r="K16" s="2380"/>
      <c r="L16" s="1710" t="s">
        <v>1839</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24.6" thickBot="1">
      <c r="A17" s="3736"/>
      <c r="B17" s="1675" t="s">
        <v>1821</v>
      </c>
      <c r="C17" s="1676">
        <f>SUMPRODUCT((修正!A2:A5=E2)*(修正!B1:M1=G2)*(修正!B2:M5))</f>
        <v>1.2</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 thickBot="1">
      <c r="A18" s="1877" t="s">
        <v>1937</v>
      </c>
      <c r="B18" s="1680" t="s">
        <v>1824</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9.4" thickBot="1">
      <c r="A19" s="1877" t="s">
        <v>1938</v>
      </c>
      <c r="B19" s="1680" t="s">
        <v>1825</v>
      </c>
      <c r="C19" s="1689">
        <f>ROUND(IF(H19="按公示增长率计算",SUMPRODUCT((地价!A3:A19=YEAR(G19)&amp;"-"&amp;ROUNDUP(MONTH(G19)/3,0))*(地价!X2:AB2=E2)*(地价!X3:AB19)),IF(H19="地价指数",M20/M19,(1+I19)^O19)),4)</f>
        <v>1.3087</v>
      </c>
      <c r="D19" s="1690" t="s">
        <v>1146</v>
      </c>
      <c r="E19" s="1691">
        <v>41640</v>
      </c>
      <c r="F19" s="1690" t="s">
        <v>1147</v>
      </c>
      <c r="G19" s="1692">
        <f>'数据-取费表'!B2</f>
        <v>43385</v>
      </c>
      <c r="H19" s="3017" t="s">
        <v>3209</v>
      </c>
      <c r="I19" s="1693" t="str">
        <f>IF(H19="季度增幅（自定义）",SUMIF(N21:N24,E2,O21:O24),"")</f>
        <v/>
      </c>
      <c r="J19" s="1686"/>
      <c r="K19" s="2387"/>
      <c r="L19" s="3243" t="s">
        <v>2948</v>
      </c>
      <c r="M19" s="3245">
        <f>ROUND(SUMIF(地价!B2:F2,E2,地价!B19:F19),0)</f>
        <v>230</v>
      </c>
      <c r="N19" s="3241" t="s">
        <v>1870</v>
      </c>
      <c r="O19" s="1694">
        <f>ROUNDDOWN(DATEDIF(E19,G19,"M")/3,0)</f>
        <v>19</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9.4" thickBot="1">
      <c r="A20" s="1878" t="s">
        <v>1939</v>
      </c>
      <c r="B20" s="1749" t="s">
        <v>1826</v>
      </c>
      <c r="C20" s="1696">
        <f ca="1">ROUND(POWER(1+G20,J20-I20)*(POWER(1+G20,I20)-1)/(POWER(1+G20,J20)-1),4)</f>
        <v>0.98450000000000004</v>
      </c>
      <c r="D20" s="1750" t="s">
        <v>1827</v>
      </c>
      <c r="E20" s="3298">
        <f ca="1">存贷款利率!D4/100</f>
        <v>4.3499999999999997E-2</v>
      </c>
      <c r="F20" s="1750" t="s">
        <v>1828</v>
      </c>
      <c r="G20" s="1751">
        <f ca="1">SUMIF(M15:P15,E2,M17:P17)</f>
        <v>4.8000000000000001E-2</v>
      </c>
      <c r="H20" s="1750" t="s">
        <v>1829</v>
      </c>
      <c r="I20" s="1752">
        <f>SUMIF('数据-取费表'!C6:C15,E2,'数据-取费表'!F6:F15)/COUNTIF('数据-取费表'!C6:C15,E2)</f>
        <v>47.09</v>
      </c>
      <c r="J20" s="1753">
        <f>IF(E2="住宅",70,IF(E2="商业",40,50))</f>
        <v>50</v>
      </c>
      <c r="K20" s="2387"/>
      <c r="L20" s="3244" t="s">
        <v>2949</v>
      </c>
      <c r="M20" s="3246">
        <v>301</v>
      </c>
      <c r="N20" s="3242" t="s">
        <v>2777</v>
      </c>
      <c r="O20" s="3018" t="s">
        <v>2778</v>
      </c>
      <c r="P20" s="3019" t="s">
        <v>2787</v>
      </c>
      <c r="R20" s="2737"/>
      <c r="S20" s="2737"/>
      <c r="T20" s="2732"/>
      <c r="U20" s="2732"/>
      <c r="V20" s="2732"/>
      <c r="W20" s="2731"/>
      <c r="X20" s="2731"/>
      <c r="Y20" s="2731"/>
      <c r="Z20" s="2738"/>
      <c r="AA20" s="2739"/>
      <c r="AB20" s="2739"/>
      <c r="AC20" s="2739"/>
      <c r="AD20" s="2739"/>
      <c r="AE20" s="1687"/>
      <c r="AF20" s="1687"/>
    </row>
    <row r="21" spans="1:37" s="1636" customFormat="1" ht="14.4">
      <c r="A21" s="1879" t="s">
        <v>1940</v>
      </c>
      <c r="B21" s="1796" t="s">
        <v>3202</v>
      </c>
      <c r="C21" s="1754">
        <f>IF(B21="容积率修正",IF(G3&lt;=10,D22,J22),C23)</f>
        <v>0.90559999999999996</v>
      </c>
      <c r="D21" s="1755"/>
      <c r="E21" s="1755"/>
      <c r="F21" s="1755"/>
      <c r="G21" s="1755"/>
      <c r="H21" s="1755"/>
      <c r="I21" s="1755"/>
      <c r="J21" s="1756"/>
      <c r="K21" s="2387"/>
      <c r="N21" s="3020" t="s">
        <v>2779</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4">
      <c r="A22" s="190" t="s">
        <v>1943</v>
      </c>
      <c r="B22" s="1698" t="s">
        <v>1830</v>
      </c>
      <c r="C22" s="1777" t="s">
        <v>1843</v>
      </c>
      <c r="D22" s="1777">
        <f>IF(E22=G22,F22,IF(G3&lt;=10,ROUND(F22+(H22-F22)*(G3-E22)/(G22-E22),4),"——"))</f>
        <v>0.90559999999999996</v>
      </c>
      <c r="E22" s="1628">
        <f>ROUNDDOWN(G3,1)</f>
        <v>1.5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2780</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9.4"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 thickBot="1">
      <c r="A24" s="1878" t="s">
        <v>1941</v>
      </c>
      <c r="B24" s="1680" t="s">
        <v>1832</v>
      </c>
      <c r="C24" s="1689">
        <f>SUMIF(A45:A88,E2,B45:B88)</f>
        <v>1.0251999999999999</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2781</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4">
      <c r="A26" s="1881"/>
      <c r="B26" s="1698" t="s">
        <v>1864</v>
      </c>
      <c r="C26" s="537">
        <f ca="1">E29+SUM(E33:E39)</f>
        <v>17889</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4">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f ca="1">ROUND(C5*C18*C19*C20*C21*C24,0)</f>
        <v>1292</v>
      </c>
      <c r="D29" s="1745">
        <f>'数据-汇总表'!F19</f>
        <v>134884.83000000002</v>
      </c>
      <c r="E29" s="1779">
        <f ca="1">ROUND(C29*D29/10000,0)</f>
        <v>17427</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6" thickBot="1">
      <c r="A30" s="1726"/>
      <c r="B30" s="1727" t="s">
        <v>1859</v>
      </c>
      <c r="C30" s="560">
        <f ca="1">ROUND(IF(E2="工业",C29*M39,C29*M38),0)</f>
        <v>194</v>
      </c>
      <c r="D30" s="1746"/>
      <c r="E30" s="1779">
        <f ca="1">ROUND(C30*D30/10000,0)</f>
        <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3.8">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36">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47" t="s">
        <v>3051</v>
      </c>
      <c r="B33" s="1739" t="s">
        <v>1162</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3.8">
      <c r="A34" s="3748"/>
      <c r="B34" s="1666" t="s">
        <v>1163</v>
      </c>
      <c r="C34" s="537">
        <f ca="1">ROUND(D5*C19*C20*C24*F34,0)</f>
        <v>0</v>
      </c>
      <c r="D34" s="1745"/>
      <c r="E34" s="531">
        <f t="shared" ref="E34:E39" ca="1" si="7">ROUND(C34*D34/10000,0)</f>
        <v>0</v>
      </c>
      <c r="F34" s="531">
        <f>SUMIF(修正!A45:A56,G2,修正!C45:C56)</f>
        <v>0.4</v>
      </c>
      <c r="G34" s="531">
        <f t="shared" ca="1" si="6"/>
        <v>0</v>
      </c>
      <c r="H34" s="531">
        <f t="shared" ref="H34:H39" si="8">D34</f>
        <v>0</v>
      </c>
      <c r="I34" s="531">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3.2">
      <c r="A35" s="3748"/>
      <c r="B35" s="1666" t="s">
        <v>1164</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0"/>
      <c r="K35" s="2380"/>
      <c r="L35" s="2380"/>
      <c r="M35" s="2380"/>
      <c r="N35" s="2380"/>
      <c r="O35" s="2380"/>
      <c r="P35" s="2380"/>
      <c r="Q35" s="2380"/>
      <c r="R35" s="2380"/>
      <c r="S35" s="2380"/>
      <c r="T35" s="2380"/>
      <c r="U35" s="2380"/>
      <c r="V35" s="2380"/>
      <c r="W35" s="2380"/>
      <c r="X35" s="2380"/>
      <c r="Y35" s="2380"/>
      <c r="Z35" s="2381"/>
    </row>
    <row r="36" spans="1:37" ht="13.8" thickBot="1">
      <c r="A36" s="3749"/>
      <c r="B36" s="1666" t="s">
        <v>1165</v>
      </c>
      <c r="C36" s="537">
        <f ca="1">ROUND(D5*C19*C20*C24*F36,0)</f>
        <v>0</v>
      </c>
      <c r="D36" s="1745"/>
      <c r="E36" s="531">
        <f t="shared" ca="1" si="7"/>
        <v>0</v>
      </c>
      <c r="F36" s="531">
        <f>SUMIF(修正!A45:A56,G2,修正!E45:E56)</f>
        <v>0.25</v>
      </c>
      <c r="G36" s="531">
        <f t="shared" ca="1" si="6"/>
        <v>0</v>
      </c>
      <c r="H36" s="531">
        <f t="shared" si="8"/>
        <v>0</v>
      </c>
      <c r="I36" s="531">
        <f t="shared" ca="1" si="9"/>
        <v>0</v>
      </c>
      <c r="J36" s="1740"/>
      <c r="K36" s="2380"/>
      <c r="L36" s="2384"/>
      <c r="M36" s="2384"/>
      <c r="N36" s="2380"/>
      <c r="O36" s="2380"/>
      <c r="P36" s="2380"/>
      <c r="Q36" s="2380"/>
      <c r="R36" s="2380"/>
      <c r="S36" s="2380"/>
      <c r="T36" s="2380"/>
      <c r="U36" s="2380"/>
      <c r="V36" s="2380"/>
      <c r="W36" s="2380"/>
      <c r="X36" s="2380"/>
      <c r="Y36" s="2380"/>
      <c r="Z36" s="2381"/>
    </row>
    <row r="37" spans="1:37" ht="13.2">
      <c r="A37" s="1738"/>
      <c r="B37" s="1666" t="s">
        <v>1166</v>
      </c>
      <c r="C37" s="531">
        <f ca="1">ROUND(C5*C19*C20*C24*F37,0)</f>
        <v>357</v>
      </c>
      <c r="D37" s="1745"/>
      <c r="E37" s="531">
        <f t="shared" ca="1" si="7"/>
        <v>0</v>
      </c>
      <c r="F37" s="537">
        <f>SUMIF(修正!A45:A56,G2,修正!F45:F56)</f>
        <v>0.25</v>
      </c>
      <c r="G37" s="531">
        <f t="shared" ca="1" si="6"/>
        <v>89</v>
      </c>
      <c r="H37" s="531">
        <f t="shared" si="8"/>
        <v>0</v>
      </c>
      <c r="I37" s="531">
        <f t="shared" ca="1" si="9"/>
        <v>0</v>
      </c>
      <c r="J37" s="1740"/>
      <c r="K37" s="2380"/>
      <c r="L37" s="2388" t="s">
        <v>1857</v>
      </c>
      <c r="M37" s="2389"/>
      <c r="N37" s="2380"/>
      <c r="O37" s="2380"/>
      <c r="P37" s="2380"/>
      <c r="Q37" s="2380"/>
      <c r="R37" s="2380"/>
      <c r="S37" s="2380"/>
      <c r="T37" s="2380"/>
      <c r="U37" s="2380"/>
      <c r="V37" s="2380"/>
      <c r="W37" s="2380"/>
      <c r="X37" s="2380"/>
      <c r="Y37" s="2380"/>
      <c r="Z37" s="2381"/>
    </row>
    <row r="38" spans="1:37" ht="13.2">
      <c r="A38" s="1738"/>
      <c r="B38" s="1666" t="s">
        <v>1167</v>
      </c>
      <c r="C38" s="531">
        <f ca="1">ROUND(C5*C19*C20*C24*F38,0)</f>
        <v>357</v>
      </c>
      <c r="D38" s="1745"/>
      <c r="E38" s="531">
        <f t="shared" ca="1" si="7"/>
        <v>0</v>
      </c>
      <c r="F38" s="537">
        <f>SUMIF(修正!A45:A56,G2,修正!G45:G56)</f>
        <v>0.25</v>
      </c>
      <c r="G38" s="531">
        <f t="shared" ca="1" si="6"/>
        <v>89</v>
      </c>
      <c r="H38" s="531">
        <f t="shared" si="8"/>
        <v>0</v>
      </c>
      <c r="I38" s="531">
        <f t="shared" ca="1" si="9"/>
        <v>0</v>
      </c>
      <c r="J38" s="1740"/>
      <c r="K38" s="2380"/>
      <c r="L38" s="1760" t="s">
        <v>1841</v>
      </c>
      <c r="M38" s="1761">
        <v>0.25</v>
      </c>
      <c r="N38" s="2380"/>
      <c r="O38" s="2380"/>
      <c r="P38" s="2380"/>
      <c r="Q38" s="2380"/>
      <c r="R38" s="2380"/>
      <c r="S38" s="2380"/>
      <c r="T38" s="2380"/>
      <c r="U38" s="2380"/>
      <c r="V38" s="2380"/>
      <c r="W38" s="2380"/>
      <c r="X38" s="2380"/>
      <c r="Y38" s="2380"/>
      <c r="Z38" s="2381"/>
    </row>
    <row r="39" spans="1:37" ht="13.8" thickBot="1">
      <c r="A39" s="1726"/>
      <c r="B39" s="1741" t="s">
        <v>1168</v>
      </c>
      <c r="C39" s="560">
        <f ca="1">ROUND(C5*C19*C20*C24*F39,0)</f>
        <v>285</v>
      </c>
      <c r="D39" s="1746">
        <f>'数据-汇总表'!G19</f>
        <v>16210.670000000002</v>
      </c>
      <c r="E39" s="560">
        <f t="shared" ca="1" si="7"/>
        <v>462</v>
      </c>
      <c r="F39" s="1742">
        <f>SUMIF(修正!A45:A56,G2,修正!H45:H56)</f>
        <v>0.2</v>
      </c>
      <c r="G39" s="560" t="e">
        <f t="shared" si="6"/>
        <v>#DIV/0!</v>
      </c>
      <c r="H39" s="560">
        <f t="shared" si="8"/>
        <v>16210.670000000002</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4.4">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48">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60">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48">
      <c r="A51" s="1495" t="s">
        <v>1782</v>
      </c>
      <c r="B51" s="3301" t="s">
        <v>3013</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36">
      <c r="A53" s="1495" t="s">
        <v>1784</v>
      </c>
      <c r="B53" s="3300" t="s">
        <v>3012</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6"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4.4">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48">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60">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48">
      <c r="A62" s="1495" t="s">
        <v>1782</v>
      </c>
      <c r="B62" s="3301" t="s">
        <v>3013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36">
      <c r="A64" s="1495" t="s">
        <v>1784</v>
      </c>
      <c r="B64" s="3300" t="s">
        <v>3012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6"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4.4">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60">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60">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3.8">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36">
      <c r="A76" s="1495" t="s">
        <v>1784</v>
      </c>
      <c r="B76" s="3300" t="s">
        <v>3012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36.6"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4.4">
      <c r="A79" s="1489" t="s">
        <v>1103</v>
      </c>
      <c r="B79" s="1490">
        <f>1+E81</f>
        <v>1.0251999999999999</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78.75" customHeight="1">
      <c r="A81" s="1495" t="s">
        <v>159</v>
      </c>
      <c r="B81" s="1504" t="str">
        <f>估价对象房地状况!G15</f>
        <v>估价对象位于北京经济技术开发区，园区内有北京土曼百达科技公司、北京京东世纪贸易有限公司等，产业集聚程度较好</v>
      </c>
      <c r="C81" s="1485" t="s">
        <v>3137</v>
      </c>
      <c r="D81" s="2601">
        <f t="shared" ref="D81:D88" si="25">SUMIF($J$80:$N$80,C81,J81:N81)</f>
        <v>6.0000000000000001E-3</v>
      </c>
      <c r="E81" s="1502">
        <f>ROUND(SUM(D81:D88),4)</f>
        <v>2.52E-2</v>
      </c>
      <c r="F81" s="1503">
        <f>IF(E2="工业",SUMIF(L1:L12,G2,N1:N12),"——")</f>
        <v>0.05</v>
      </c>
      <c r="G81" s="2599">
        <v>6.0000000000000001E-3</v>
      </c>
      <c r="H81" s="2617">
        <f t="shared" ref="H81:H88" si="26">IFERROR(ROUNDDOWN($F$81*I81/2,4),"——")</f>
        <v>6.4999999999999997E-3</v>
      </c>
      <c r="I81" s="1501">
        <v>0.26</v>
      </c>
      <c r="J81" s="2600">
        <f t="shared" ref="J81:J88" si="27">K81+$G81</f>
        <v>1.2E-2</v>
      </c>
      <c r="K81" s="2600">
        <f t="shared" ref="K81:K88" si="28">$L81+$G81</f>
        <v>6.0000000000000001E-3</v>
      </c>
      <c r="L81" s="2600">
        <v>0</v>
      </c>
      <c r="M81" s="2600">
        <f t="shared" ref="M81:N88" si="29">L81-$G81</f>
        <v>-6.0000000000000001E-3</v>
      </c>
      <c r="N81" s="2600">
        <f t="shared" si="29"/>
        <v>-1.2E-2</v>
      </c>
      <c r="Z81" s="1625"/>
      <c r="AA81" s="1624"/>
      <c r="AG81" s="1623"/>
      <c r="AK81" s="1624"/>
    </row>
    <row r="82" spans="1:37" ht="96.75" customHeight="1">
      <c r="A82" s="1495" t="s">
        <v>92</v>
      </c>
      <c r="B82" s="1504" t="str">
        <f>估价对象房地状况!G16</f>
        <v>估价对象周边有523路、通12路、开发区4路公交车及地铁亦庄线经过，停车较便捷，综合评价交通便捷度较好</v>
      </c>
      <c r="C82" s="1485" t="s">
        <v>3137</v>
      </c>
      <c r="D82" s="2601">
        <f t="shared" si="25"/>
        <v>8.0000000000000002E-3</v>
      </c>
      <c r="E82" s="1514"/>
      <c r="F82" s="1503"/>
      <c r="G82" s="2599">
        <v>8.0000000000000002E-3</v>
      </c>
      <c r="H82" s="2617">
        <f t="shared" si="26"/>
        <v>8.2000000000000007E-3</v>
      </c>
      <c r="I82" s="1501">
        <v>0.33</v>
      </c>
      <c r="J82" s="2600">
        <f t="shared" si="27"/>
        <v>1.6E-2</v>
      </c>
      <c r="K82" s="2600">
        <f t="shared" si="28"/>
        <v>8.0000000000000002E-3</v>
      </c>
      <c r="L82" s="2600">
        <v>0</v>
      </c>
      <c r="M82" s="2600">
        <f t="shared" si="29"/>
        <v>-8.0000000000000002E-3</v>
      </c>
      <c r="N82" s="2600">
        <f t="shared" si="29"/>
        <v>-1.6E-2</v>
      </c>
      <c r="Z82" s="1625"/>
      <c r="AA82" s="1624"/>
      <c r="AG82" s="1623"/>
      <c r="AK82" s="1624"/>
    </row>
    <row r="83" spans="1:37" ht="24">
      <c r="A83" s="1495" t="s">
        <v>109</v>
      </c>
      <c r="B83" s="1504" t="str">
        <f>估价对象房地状况!G17</f>
        <v>零星有其他用地，基本不影响本宗地</v>
      </c>
      <c r="C83" s="1485" t="s">
        <v>3137</v>
      </c>
      <c r="D83" s="2601">
        <f t="shared" si="25"/>
        <v>1E-3</v>
      </c>
      <c r="E83" s="1514"/>
      <c r="F83" s="1503"/>
      <c r="G83" s="2599">
        <v>1E-3</v>
      </c>
      <c r="H83" s="2617">
        <f t="shared" si="26"/>
        <v>1.1999999999999999E-3</v>
      </c>
      <c r="I83" s="1501">
        <v>0.05</v>
      </c>
      <c r="J83" s="2600">
        <f t="shared" si="27"/>
        <v>2E-3</v>
      </c>
      <c r="K83" s="2600">
        <f t="shared" si="28"/>
        <v>1E-3</v>
      </c>
      <c r="L83" s="2600">
        <v>0</v>
      </c>
      <c r="M83" s="2600">
        <f t="shared" si="29"/>
        <v>-1E-3</v>
      </c>
      <c r="N83" s="2600">
        <f t="shared" si="29"/>
        <v>-2E-3</v>
      </c>
      <c r="Z83" s="1625"/>
      <c r="AA83" s="1624"/>
      <c r="AG83" s="1623"/>
      <c r="AK83" s="1624"/>
    </row>
    <row r="84" spans="1:37" ht="24">
      <c r="A84" s="1495" t="s">
        <v>1788</v>
      </c>
      <c r="B84" s="1504" t="str">
        <f>估价对象房地状况!G22</f>
        <v>城市次干道——经海路</v>
      </c>
      <c r="C84" s="1485" t="s">
        <v>3137</v>
      </c>
      <c r="D84" s="2601">
        <f t="shared" si="25"/>
        <v>1E-3</v>
      </c>
      <c r="E84" s="1514"/>
      <c r="F84" s="1503"/>
      <c r="G84" s="2599">
        <v>1E-3</v>
      </c>
      <c r="H84" s="2617">
        <f t="shared" si="26"/>
        <v>1E-3</v>
      </c>
      <c r="I84" s="1501">
        <v>0.04</v>
      </c>
      <c r="J84" s="2600">
        <f t="shared" si="27"/>
        <v>2E-3</v>
      </c>
      <c r="K84" s="2600">
        <f t="shared" si="28"/>
        <v>1E-3</v>
      </c>
      <c r="L84" s="2600">
        <v>0</v>
      </c>
      <c r="M84" s="2600">
        <f t="shared" si="29"/>
        <v>-1E-3</v>
      </c>
      <c r="N84" s="2600">
        <f t="shared" si="29"/>
        <v>-2E-3</v>
      </c>
      <c r="Z84" s="1625"/>
      <c r="AA84" s="1624"/>
      <c r="AG84" s="1623"/>
      <c r="AK84" s="1624"/>
    </row>
    <row r="85" spans="1:37" ht="72">
      <c r="A85" s="1495" t="s">
        <v>1785</v>
      </c>
      <c r="B85" s="2597" t="str">
        <f>估价对象房地状况!G19</f>
        <v>估价对象所在区域银行、购物场所、学校等公共配套设施齐备，综合评价公用设施及基础设施水平一般。</v>
      </c>
      <c r="C85" s="1485" t="s">
        <v>3206</v>
      </c>
      <c r="D85" s="2601">
        <f t="shared" si="25"/>
        <v>0</v>
      </c>
      <c r="E85" s="1514"/>
      <c r="F85" s="1503"/>
      <c r="G85" s="2599">
        <v>1.1999999999999999E-3</v>
      </c>
      <c r="H85" s="2617">
        <f t="shared" si="26"/>
        <v>1.5E-3</v>
      </c>
      <c r="I85" s="1501">
        <v>0.06</v>
      </c>
      <c r="J85" s="2600">
        <f t="shared" si="27"/>
        <v>2.3999999999999998E-3</v>
      </c>
      <c r="K85" s="2600">
        <f t="shared" si="28"/>
        <v>1.1999999999999999E-3</v>
      </c>
      <c r="L85" s="2600">
        <v>0</v>
      </c>
      <c r="M85" s="2600">
        <f t="shared" si="29"/>
        <v>-1.1999999999999999E-3</v>
      </c>
      <c r="N85" s="2600">
        <f t="shared" si="29"/>
        <v>-2.3999999999999998E-3</v>
      </c>
      <c r="Z85" s="1625"/>
      <c r="AA85" s="1624"/>
      <c r="AG85" s="1623"/>
      <c r="AK85" s="1624"/>
    </row>
    <row r="86" spans="1:37" ht="24">
      <c r="A86" s="1495" t="s">
        <v>1786</v>
      </c>
      <c r="B86" s="2597" t="str">
        <f>估价对象房地状况!G20</f>
        <v>基础设施水平为“七通”</v>
      </c>
      <c r="C86" s="1485" t="s">
        <v>3207</v>
      </c>
      <c r="D86" s="2601">
        <f t="shared" si="25"/>
        <v>7.0000000000000001E-3</v>
      </c>
      <c r="E86" s="1514"/>
      <c r="F86" s="1503"/>
      <c r="G86" s="2599">
        <v>3.5000000000000001E-3</v>
      </c>
      <c r="H86" s="2617">
        <f t="shared" si="26"/>
        <v>3.7000000000000002E-3</v>
      </c>
      <c r="I86" s="1501">
        <v>0.15</v>
      </c>
      <c r="J86" s="2600">
        <f t="shared" si="27"/>
        <v>7.0000000000000001E-3</v>
      </c>
      <c r="K86" s="2600">
        <f t="shared" si="28"/>
        <v>3.5000000000000001E-3</v>
      </c>
      <c r="L86" s="2600">
        <v>0</v>
      </c>
      <c r="M86" s="2600">
        <f t="shared" si="29"/>
        <v>-3.5000000000000001E-3</v>
      </c>
      <c r="N86" s="2600">
        <f t="shared" si="29"/>
        <v>-7.0000000000000001E-3</v>
      </c>
      <c r="Z86" s="1625"/>
      <c r="AA86" s="1624"/>
      <c r="AG86" s="1623"/>
      <c r="AK86" s="1624"/>
    </row>
    <row r="87" spans="1:37" ht="36">
      <c r="A87" s="1495" t="s">
        <v>1784</v>
      </c>
      <c r="B87" s="3300" t="s">
        <v>2489</v>
      </c>
      <c r="C87" s="1485" t="s">
        <v>3137</v>
      </c>
      <c r="D87" s="2601">
        <f t="shared" si="25"/>
        <v>1E-3</v>
      </c>
      <c r="E87" s="1514"/>
      <c r="F87" s="1503"/>
      <c r="G87" s="2599">
        <v>1E-3</v>
      </c>
      <c r="H87" s="2617">
        <f t="shared" si="26"/>
        <v>1.1999999999999999E-3</v>
      </c>
      <c r="I87" s="1501">
        <v>0.05</v>
      </c>
      <c r="J87" s="2600">
        <f t="shared" si="27"/>
        <v>2E-3</v>
      </c>
      <c r="K87" s="2600">
        <f t="shared" si="28"/>
        <v>1E-3</v>
      </c>
      <c r="L87" s="2600">
        <v>0</v>
      </c>
      <c r="M87" s="2600">
        <f t="shared" si="29"/>
        <v>-1E-3</v>
      </c>
      <c r="N87" s="2600">
        <f t="shared" si="29"/>
        <v>-2E-3</v>
      </c>
      <c r="Z87" s="1625"/>
      <c r="AA87" s="1624"/>
      <c r="AG87" s="1623"/>
      <c r="AK87" s="1624"/>
    </row>
    <row r="88" spans="1:37" ht="60.6" thickBot="1">
      <c r="A88" s="1508" t="s">
        <v>1790</v>
      </c>
      <c r="B88" s="2598" t="str">
        <f>估价对象房地状况!G18</f>
        <v>周边约2公里范围内有无大型污染源，无明显危险设施，绿化较好，卫生条件良好，整体环境状况较好</v>
      </c>
      <c r="C88" s="1485" t="s">
        <v>3137</v>
      </c>
      <c r="D88" s="2601">
        <f t="shared" si="25"/>
        <v>1.1999999999999999E-3</v>
      </c>
      <c r="E88" s="1515"/>
      <c r="F88" s="1503"/>
      <c r="G88" s="2599">
        <v>1.1999999999999999E-3</v>
      </c>
      <c r="H88" s="2617">
        <f t="shared" si="26"/>
        <v>1.5E-3</v>
      </c>
      <c r="I88" s="1510">
        <v>0.06</v>
      </c>
      <c r="J88" s="2600">
        <f t="shared" si="27"/>
        <v>2.3999999999999998E-3</v>
      </c>
      <c r="K88" s="2600">
        <f t="shared" si="28"/>
        <v>1.1999999999999999E-3</v>
      </c>
      <c r="L88" s="2600">
        <v>0</v>
      </c>
      <c r="M88" s="2600">
        <f t="shared" si="29"/>
        <v>-1.1999999999999999E-3</v>
      </c>
      <c r="N88" s="2600">
        <f t="shared" si="29"/>
        <v>-2.3999999999999998E-3</v>
      </c>
      <c r="Z88" s="1625"/>
      <c r="AA88" s="1624"/>
      <c r="AG88" s="1623"/>
      <c r="AK88" s="1624"/>
    </row>
    <row r="90" spans="1:37">
      <c r="A90" s="3739" t="s">
        <v>1759</v>
      </c>
      <c r="B90" s="3739"/>
      <c r="C90" s="3739"/>
      <c r="D90" s="3739"/>
      <c r="E90" s="3739"/>
      <c r="F90" s="3739"/>
      <c r="G90" s="3739"/>
      <c r="H90" s="3739"/>
      <c r="I90" s="3739"/>
      <c r="J90" s="3739"/>
      <c r="K90" s="2606"/>
      <c r="L90" s="2606"/>
      <c r="M90" s="2606"/>
      <c r="N90" s="2606"/>
    </row>
    <row r="91" spans="1:37">
      <c r="A91" s="3741" t="s">
        <v>68</v>
      </c>
      <c r="B91" s="3741" t="s">
        <v>1760</v>
      </c>
      <c r="C91" s="1584" t="s">
        <v>1761</v>
      </c>
      <c r="D91" s="1585"/>
      <c r="E91" s="1585"/>
      <c r="F91" s="1585"/>
      <c r="G91" s="1585"/>
      <c r="H91" s="1585"/>
      <c r="I91" s="1585"/>
      <c r="J91" s="1586"/>
      <c r="K91" s="1574"/>
      <c r="L91" s="1574"/>
      <c r="M91" s="1574"/>
      <c r="N91" s="1574"/>
    </row>
    <row r="92" spans="1:37">
      <c r="A92" s="3741"/>
      <c r="B92" s="3741"/>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42"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3"/>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3"/>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3"/>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3"/>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3"/>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3"/>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4"/>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2"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43"/>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43"/>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43"/>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43"/>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43"/>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43"/>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43"/>
      <c r="B108" s="3745"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4"/>
      <c r="B109" s="3746"/>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40" t="s">
        <v>1767</v>
      </c>
      <c r="B110" s="3740"/>
      <c r="C110" s="3740"/>
      <c r="D110" s="3740"/>
      <c r="E110" s="3740"/>
      <c r="F110" s="3740"/>
      <c r="G110" s="3740"/>
      <c r="H110" s="3740"/>
      <c r="I110" s="3740"/>
      <c r="J110" s="3740"/>
      <c r="K110" s="2604"/>
      <c r="L110" s="2604"/>
      <c r="M110" s="2604"/>
      <c r="N110" s="2604"/>
    </row>
    <row r="112" spans="1:14" ht="12.6" thickBot="1"/>
    <row r="113" spans="1:13" ht="25.8" thickBot="1">
      <c r="A113" s="1600" t="s">
        <v>1769</v>
      </c>
      <c r="B113" s="2607">
        <f>G3</f>
        <v>1.5</v>
      </c>
      <c r="C113" s="1601" t="s">
        <v>1770</v>
      </c>
      <c r="D113" s="1602">
        <f>SUMPRODUCT((A115:A118=F113)*(B114:M114=H113)*B115:M118)</f>
        <v>0.61160000000000003</v>
      </c>
      <c r="E113" s="1603" t="s">
        <v>68</v>
      </c>
      <c r="F113" s="1604" t="str">
        <f>E2</f>
        <v>工业</v>
      </c>
      <c r="G113" s="1603" t="s">
        <v>1559</v>
      </c>
      <c r="H113" s="1604" t="str">
        <f>G2</f>
        <v>七级</v>
      </c>
      <c r="I113" s="1603"/>
      <c r="J113" s="1595"/>
      <c r="K113" s="1595"/>
      <c r="L113" s="1595"/>
      <c r="M113" s="1595"/>
    </row>
    <row r="114" spans="1:13" ht="13.2">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3.2">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3.2">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3.2">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8"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1494" customWidth="1"/>
    <col min="2" max="9" width="8.21875" style="1566" customWidth="1"/>
    <col min="10" max="13" width="8.21875" style="1494"/>
    <col min="14" max="14" width="10" style="1494" customWidth="1"/>
    <col min="15" max="16" width="8.21875" style="1494"/>
    <col min="17" max="17" width="34.109375" style="1494" customWidth="1"/>
    <col min="18" max="18" width="8.21875" style="1494" customWidth="1"/>
    <col min="19" max="19" width="8.21875" style="1494"/>
    <col min="20" max="20" width="11.6640625" style="1494" customWidth="1"/>
    <col min="21" max="16384" width="8.2187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41" t="s">
        <v>1196</v>
      </c>
      <c r="B18" s="1570" t="s">
        <v>1573</v>
      </c>
      <c r="C18" s="1571" t="s">
        <v>1574</v>
      </c>
      <c r="D18" s="1572"/>
      <c r="E18" s="1570">
        <v>1</v>
      </c>
      <c r="F18" s="1573" t="s">
        <v>1575</v>
      </c>
      <c r="G18" s="1574"/>
      <c r="H18" s="1566"/>
      <c r="I18" s="1566"/>
    </row>
    <row r="19" spans="1:9" s="1575" customFormat="1" ht="19.5" customHeight="1">
      <c r="A19" s="3741"/>
      <c r="B19" s="3741" t="s">
        <v>1576</v>
      </c>
      <c r="C19" s="1571" t="s">
        <v>1577</v>
      </c>
      <c r="D19" s="1572"/>
      <c r="E19" s="1570">
        <v>0.9</v>
      </c>
      <c r="F19" s="1573" t="s">
        <v>1578</v>
      </c>
      <c r="G19" s="1574"/>
      <c r="H19" s="1566"/>
      <c r="I19" s="1566"/>
    </row>
    <row r="20" spans="1:9" s="1575" customFormat="1" ht="19.5" customHeight="1">
      <c r="A20" s="3741"/>
      <c r="B20" s="3741"/>
      <c r="C20" s="1571" t="s">
        <v>1579</v>
      </c>
      <c r="D20" s="1572"/>
      <c r="E20" s="1570">
        <v>1.1000000000000001</v>
      </c>
      <c r="F20" s="1573" t="s">
        <v>1580</v>
      </c>
      <c r="G20" s="1574"/>
      <c r="H20" s="1566"/>
      <c r="I20" s="1566"/>
    </row>
    <row r="21" spans="1:9" s="1575" customFormat="1" ht="19.5" customHeight="1">
      <c r="A21" s="3741"/>
      <c r="B21" s="3741"/>
      <c r="C21" s="1571" t="s">
        <v>1581</v>
      </c>
      <c r="D21" s="1572"/>
      <c r="E21" s="1570">
        <v>0.8</v>
      </c>
      <c r="F21" s="1573" t="s">
        <v>1582</v>
      </c>
      <c r="G21" s="1574"/>
      <c r="H21" s="1566"/>
      <c r="I21" s="1566"/>
    </row>
    <row r="22" spans="1:9" s="1575" customFormat="1" ht="19.5" customHeight="1">
      <c r="A22" s="3741"/>
      <c r="B22" s="3741"/>
      <c r="C22" s="1571" t="s">
        <v>1583</v>
      </c>
      <c r="D22" s="1572"/>
      <c r="E22" s="1570">
        <v>0.5</v>
      </c>
      <c r="F22" s="1573"/>
      <c r="G22" s="1574"/>
      <c r="H22" s="1566"/>
      <c r="I22" s="1566"/>
    </row>
    <row r="23" spans="1:9" s="1575" customFormat="1" ht="19.5" customHeight="1">
      <c r="A23" s="3741" t="s">
        <v>1197</v>
      </c>
      <c r="B23" s="1570" t="s">
        <v>1573</v>
      </c>
      <c r="C23" s="1571" t="s">
        <v>1584</v>
      </c>
      <c r="D23" s="1572"/>
      <c r="E23" s="1570">
        <v>1</v>
      </c>
      <c r="F23" s="1573" t="s">
        <v>1585</v>
      </c>
      <c r="G23" s="1574"/>
      <c r="H23" s="1566"/>
      <c r="I23" s="1566"/>
    </row>
    <row r="24" spans="1:9" s="1575" customFormat="1" ht="19.5" customHeight="1">
      <c r="A24" s="3741"/>
      <c r="B24" s="3741" t="s">
        <v>1576</v>
      </c>
      <c r="C24" s="1571" t="s">
        <v>1586</v>
      </c>
      <c r="D24" s="1572"/>
      <c r="E24" s="1570">
        <v>0.5</v>
      </c>
      <c r="F24" s="1573"/>
      <c r="G24" s="1574"/>
      <c r="H24" s="1566"/>
      <c r="I24" s="1566"/>
    </row>
    <row r="25" spans="1:9" s="1575" customFormat="1" ht="19.5" customHeight="1">
      <c r="A25" s="3741"/>
      <c r="B25" s="3741"/>
      <c r="C25" s="1571" t="s">
        <v>1587</v>
      </c>
      <c r="D25" s="1572"/>
      <c r="E25" s="1570">
        <v>1.1000000000000001</v>
      </c>
      <c r="F25" s="1573"/>
      <c r="G25" s="1574"/>
      <c r="H25" s="1566"/>
      <c r="I25" s="1566"/>
    </row>
    <row r="26" spans="1:9" s="1575" customFormat="1" ht="19.5" customHeight="1">
      <c r="A26" s="3741"/>
      <c r="B26" s="3741"/>
      <c r="C26" s="1571" t="s">
        <v>1588</v>
      </c>
      <c r="D26" s="1572"/>
      <c r="E26" s="1570">
        <v>1.1000000000000001</v>
      </c>
      <c r="F26" s="1573"/>
      <c r="G26" s="1574"/>
      <c r="H26" s="1566"/>
      <c r="I26" s="1566"/>
    </row>
    <row r="27" spans="1:9" s="1575" customFormat="1" ht="19.5" customHeight="1">
      <c r="A27" s="3741"/>
      <c r="B27" s="3741"/>
      <c r="C27" s="1571" t="s">
        <v>1589</v>
      </c>
      <c r="D27" s="1572"/>
      <c r="E27" s="1570">
        <v>0.9</v>
      </c>
      <c r="F27" s="1573" t="s">
        <v>1590</v>
      </c>
      <c r="G27" s="1574"/>
      <c r="H27" s="1566"/>
      <c r="I27" s="1566"/>
    </row>
    <row r="28" spans="1:9" s="1575" customFormat="1" ht="19.5" customHeight="1">
      <c r="A28" s="3741"/>
      <c r="B28" s="3741"/>
      <c r="C28" s="1571" t="s">
        <v>1591</v>
      </c>
      <c r="D28" s="1572"/>
      <c r="E28" s="1570">
        <v>0.9</v>
      </c>
      <c r="F28" s="1573" t="s">
        <v>1592</v>
      </c>
      <c r="G28" s="1574"/>
      <c r="H28" s="1566"/>
      <c r="I28" s="1566"/>
    </row>
    <row r="29" spans="1:9" s="1575" customFormat="1" ht="19.5" customHeight="1">
      <c r="A29" s="3741"/>
      <c r="B29" s="3741"/>
      <c r="C29" s="1571" t="s">
        <v>1593</v>
      </c>
      <c r="D29" s="1572"/>
      <c r="E29" s="1570">
        <v>0.9</v>
      </c>
      <c r="F29" s="1573" t="s">
        <v>1594</v>
      </c>
      <c r="G29" s="1574"/>
      <c r="H29" s="1566"/>
      <c r="I29" s="1566"/>
    </row>
    <row r="30" spans="1:9" s="1575" customFormat="1" ht="19.5" customHeight="1">
      <c r="A30" s="3741"/>
      <c r="B30" s="3741"/>
      <c r="C30" s="1571" t="s">
        <v>1595</v>
      </c>
      <c r="D30" s="1572"/>
      <c r="E30" s="1570">
        <v>0.9</v>
      </c>
      <c r="F30" s="1573" t="s">
        <v>1596</v>
      </c>
      <c r="G30" s="1574"/>
      <c r="H30" s="1566"/>
      <c r="I30" s="1566"/>
    </row>
    <row r="31" spans="1:9" s="1575" customFormat="1" ht="19.5" customHeight="1">
      <c r="A31" s="3741"/>
      <c r="B31" s="3741"/>
      <c r="C31" s="1571" t="s">
        <v>1597</v>
      </c>
      <c r="D31" s="1572"/>
      <c r="E31" s="1570">
        <v>0.8</v>
      </c>
      <c r="F31" s="1573" t="s">
        <v>1598</v>
      </c>
      <c r="G31" s="1574"/>
      <c r="H31" s="1566"/>
      <c r="I31" s="1566"/>
    </row>
    <row r="32" spans="1:9" s="1575" customFormat="1" ht="19.5" customHeight="1">
      <c r="A32" s="3741"/>
      <c r="B32" s="3741"/>
      <c r="C32" s="1571" t="s">
        <v>1599</v>
      </c>
      <c r="D32" s="1572"/>
      <c r="E32" s="1570">
        <v>0.8</v>
      </c>
      <c r="F32" s="1573" t="s">
        <v>1600</v>
      </c>
      <c r="G32" s="1574"/>
      <c r="H32" s="1566"/>
      <c r="I32" s="1566"/>
    </row>
    <row r="33" spans="1:9" s="1575" customFormat="1" ht="19.5" customHeight="1">
      <c r="A33" s="3741" t="s">
        <v>1198</v>
      </c>
      <c r="B33" s="1570" t="s">
        <v>1573</v>
      </c>
      <c r="C33" s="1571" t="s">
        <v>1601</v>
      </c>
      <c r="D33" s="1572"/>
      <c r="E33" s="1570">
        <v>1</v>
      </c>
      <c r="F33" s="1573" t="s">
        <v>1602</v>
      </c>
      <c r="G33" s="1574"/>
      <c r="H33" s="1566"/>
      <c r="I33" s="1566"/>
    </row>
    <row r="34" spans="1:9" s="1575" customFormat="1" ht="19.5" customHeight="1">
      <c r="A34" s="3741"/>
      <c r="B34" s="1570" t="s">
        <v>1576</v>
      </c>
      <c r="C34" s="1571" t="s">
        <v>1603</v>
      </c>
      <c r="D34" s="1572"/>
      <c r="E34" s="1570">
        <v>1.5</v>
      </c>
      <c r="F34" s="1573" t="s">
        <v>1604</v>
      </c>
      <c r="G34" s="1574"/>
      <c r="H34" s="1566"/>
      <c r="I34" s="1566"/>
    </row>
    <row r="35" spans="1:9" s="1575" customFormat="1" ht="19.5" customHeight="1">
      <c r="A35" s="3741" t="s">
        <v>1199</v>
      </c>
      <c r="B35" s="1570" t="s">
        <v>1573</v>
      </c>
      <c r="C35" s="1571" t="s">
        <v>1605</v>
      </c>
      <c r="D35" s="1572"/>
      <c r="E35" s="1570">
        <v>1</v>
      </c>
      <c r="F35" s="1573" t="s">
        <v>1606</v>
      </c>
      <c r="G35" s="1574"/>
      <c r="H35" s="1566"/>
      <c r="I35" s="1566"/>
    </row>
    <row r="36" spans="1:9" s="1575" customFormat="1" ht="19.5" customHeight="1">
      <c r="A36" s="3741"/>
      <c r="B36" s="3741" t="s">
        <v>1576</v>
      </c>
      <c r="C36" s="1571" t="s">
        <v>1607</v>
      </c>
      <c r="D36" s="1572"/>
      <c r="E36" s="1570">
        <v>1</v>
      </c>
      <c r="F36" s="1573" t="s">
        <v>1608</v>
      </c>
      <c r="G36" s="1574"/>
      <c r="H36" s="1566"/>
      <c r="I36" s="1566"/>
    </row>
    <row r="37" spans="1:9" s="1575" customFormat="1" ht="19.5" customHeight="1">
      <c r="A37" s="3741"/>
      <c r="B37" s="3741"/>
      <c r="C37" s="1571" t="s">
        <v>1609</v>
      </c>
      <c r="D37" s="1572"/>
      <c r="E37" s="1570">
        <v>1.5</v>
      </c>
      <c r="F37" s="1573" t="s">
        <v>1610</v>
      </c>
      <c r="G37" s="1574"/>
      <c r="H37" s="1566"/>
      <c r="I37" s="1566"/>
    </row>
    <row r="38" spans="1:9" s="1575" customFormat="1" ht="19.5" customHeight="1">
      <c r="A38" s="3741"/>
      <c r="B38" s="3741"/>
      <c r="C38" s="1571" t="s">
        <v>1611</v>
      </c>
      <c r="D38" s="1572"/>
      <c r="E38" s="1570">
        <v>1</v>
      </c>
      <c r="F38" s="1573" t="s">
        <v>1612</v>
      </c>
      <c r="G38" s="1574"/>
      <c r="H38" s="1566"/>
      <c r="I38" s="1566"/>
    </row>
    <row r="39" spans="1:9" s="1575" customFormat="1" ht="19.5" customHeight="1">
      <c r="A39" s="3741"/>
      <c r="B39" s="3741"/>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4.4">
      <c r="A60" s="1765"/>
      <c r="B60" s="1765"/>
      <c r="C60" s="1765" t="s">
        <v>1758</v>
      </c>
      <c r="D60" s="1765"/>
      <c r="E60" s="1583" t="s">
        <v>23</v>
      </c>
      <c r="F60" s="1765" t="s">
        <v>23</v>
      </c>
    </row>
    <row r="61" spans="1:8" s="1566" customFormat="1" ht="36">
      <c r="A61" s="1570">
        <v>1</v>
      </c>
      <c r="B61" s="3741" t="s">
        <v>1627</v>
      </c>
      <c r="C61" s="1496" t="s">
        <v>1628</v>
      </c>
      <c r="D61" s="1496" t="s">
        <v>1629</v>
      </c>
      <c r="E61" s="1583">
        <v>0.5</v>
      </c>
      <c r="F61" s="1570">
        <v>80</v>
      </c>
    </row>
    <row r="62" spans="1:8" s="1566" customFormat="1" ht="36">
      <c r="A62" s="1570">
        <v>2</v>
      </c>
      <c r="B62" s="3741"/>
      <c r="C62" s="1496" t="s">
        <v>1630</v>
      </c>
      <c r="D62" s="1496" t="s">
        <v>1631</v>
      </c>
      <c r="E62" s="1583">
        <v>0.5</v>
      </c>
      <c r="F62" s="1570">
        <v>80</v>
      </c>
    </row>
    <row r="63" spans="1:8" s="1566" customFormat="1" ht="48">
      <c r="A63" s="1570">
        <v>3</v>
      </c>
      <c r="B63" s="3741"/>
      <c r="C63" s="1496" t="s">
        <v>1632</v>
      </c>
      <c r="D63" s="1496" t="s">
        <v>1633</v>
      </c>
      <c r="E63" s="1583">
        <v>0.5</v>
      </c>
      <c r="F63" s="1570">
        <v>80</v>
      </c>
    </row>
    <row r="64" spans="1:8" s="1566" customFormat="1" ht="48">
      <c r="A64" s="1570">
        <v>4</v>
      </c>
      <c r="B64" s="3741"/>
      <c r="C64" s="1496" t="s">
        <v>1634</v>
      </c>
      <c r="D64" s="1496" t="s">
        <v>1635</v>
      </c>
      <c r="E64" s="1583">
        <v>0.4</v>
      </c>
      <c r="F64" s="1570">
        <v>60</v>
      </c>
    </row>
    <row r="65" spans="1:6" s="1566" customFormat="1" ht="48">
      <c r="A65" s="1570">
        <v>5</v>
      </c>
      <c r="B65" s="3741"/>
      <c r="C65" s="1496" t="s">
        <v>1636</v>
      </c>
      <c r="D65" s="1496" t="s">
        <v>1637</v>
      </c>
      <c r="E65" s="1583">
        <v>0.2</v>
      </c>
      <c r="F65" s="1570">
        <v>30</v>
      </c>
    </row>
    <row r="66" spans="1:6" s="1566" customFormat="1" ht="48">
      <c r="A66" s="1570">
        <v>6</v>
      </c>
      <c r="B66" s="3741"/>
      <c r="C66" s="1496" t="s">
        <v>1638</v>
      </c>
      <c r="D66" s="1496" t="s">
        <v>1639</v>
      </c>
      <c r="E66" s="1583">
        <v>0.3</v>
      </c>
      <c r="F66" s="1570">
        <v>50</v>
      </c>
    </row>
    <row r="67" spans="1:6" s="1566" customFormat="1" ht="48">
      <c r="A67" s="1570">
        <v>7</v>
      </c>
      <c r="B67" s="3741"/>
      <c r="C67" s="1496" t="s">
        <v>1640</v>
      </c>
      <c r="D67" s="1496" t="s">
        <v>1641</v>
      </c>
      <c r="E67" s="1583">
        <v>0.2</v>
      </c>
      <c r="F67" s="1570">
        <v>30</v>
      </c>
    </row>
    <row r="68" spans="1:6" s="1566" customFormat="1" ht="48">
      <c r="A68" s="1570">
        <v>8</v>
      </c>
      <c r="B68" s="3741"/>
      <c r="C68" s="1496" t="s">
        <v>1642</v>
      </c>
      <c r="D68" s="1496" t="s">
        <v>1643</v>
      </c>
      <c r="E68" s="1583">
        <v>0.2</v>
      </c>
      <c r="F68" s="1570">
        <v>30</v>
      </c>
    </row>
    <row r="69" spans="1:6" s="1566" customFormat="1" ht="48">
      <c r="A69" s="1570">
        <v>9</v>
      </c>
      <c r="B69" s="3741"/>
      <c r="C69" s="1496" t="s">
        <v>1644</v>
      </c>
      <c r="D69" s="1496" t="s">
        <v>1645</v>
      </c>
      <c r="E69" s="1583">
        <v>0.2</v>
      </c>
      <c r="F69" s="1570">
        <v>30</v>
      </c>
    </row>
    <row r="70" spans="1:6" s="1566" customFormat="1" ht="60">
      <c r="A70" s="1570">
        <v>10</v>
      </c>
      <c r="B70" s="3741"/>
      <c r="C70" s="1496" t="s">
        <v>1646</v>
      </c>
      <c r="D70" s="1496" t="s">
        <v>1647</v>
      </c>
      <c r="E70" s="1583">
        <v>0.2</v>
      </c>
      <c r="F70" s="1570">
        <v>30</v>
      </c>
    </row>
    <row r="71" spans="1:6" s="1566" customFormat="1" ht="60">
      <c r="A71" s="1570">
        <v>11</v>
      </c>
      <c r="B71" s="3741"/>
      <c r="C71" s="1496" t="s">
        <v>1648</v>
      </c>
      <c r="D71" s="1496" t="s">
        <v>1649</v>
      </c>
      <c r="E71" s="1583">
        <v>0.2</v>
      </c>
      <c r="F71" s="1570">
        <v>30</v>
      </c>
    </row>
    <row r="72" spans="1:6" s="1566" customFormat="1" ht="36">
      <c r="A72" s="1570">
        <v>12</v>
      </c>
      <c r="B72" s="3741"/>
      <c r="C72" s="1496" t="s">
        <v>1650</v>
      </c>
      <c r="D72" s="1496" t="s">
        <v>1651</v>
      </c>
      <c r="E72" s="1583">
        <v>0.5</v>
      </c>
      <c r="F72" s="1570">
        <v>80</v>
      </c>
    </row>
    <row r="73" spans="1:6" s="1566" customFormat="1" ht="36">
      <c r="A73" s="1570">
        <v>13</v>
      </c>
      <c r="B73" s="3741"/>
      <c r="C73" s="1496" t="s">
        <v>1652</v>
      </c>
      <c r="D73" s="1496" t="s">
        <v>1653</v>
      </c>
      <c r="E73" s="1583">
        <v>0.4</v>
      </c>
      <c r="F73" s="1570">
        <v>60</v>
      </c>
    </row>
    <row r="74" spans="1:6" s="1566" customFormat="1" ht="36">
      <c r="A74" s="1570">
        <v>14</v>
      </c>
      <c r="B74" s="3741"/>
      <c r="C74" s="1496" t="s">
        <v>1654</v>
      </c>
      <c r="D74" s="1496" t="s">
        <v>1655</v>
      </c>
      <c r="E74" s="1583">
        <v>0.2</v>
      </c>
      <c r="F74" s="1570">
        <v>30</v>
      </c>
    </row>
    <row r="75" spans="1:6" s="1566" customFormat="1" ht="36">
      <c r="A75" s="1570">
        <v>15</v>
      </c>
      <c r="B75" s="3741"/>
      <c r="C75" s="1496" t="s">
        <v>1656</v>
      </c>
      <c r="D75" s="1496" t="s">
        <v>1657</v>
      </c>
      <c r="E75" s="1583">
        <v>0.2</v>
      </c>
      <c r="F75" s="1570">
        <v>30</v>
      </c>
    </row>
    <row r="76" spans="1:6" s="1566" customFormat="1" ht="36">
      <c r="A76" s="1570">
        <v>16</v>
      </c>
      <c r="B76" s="3741" t="s">
        <v>1658</v>
      </c>
      <c r="C76" s="1496" t="s">
        <v>1659</v>
      </c>
      <c r="D76" s="1496" t="s">
        <v>1660</v>
      </c>
      <c r="E76" s="1583">
        <v>0.5</v>
      </c>
      <c r="F76" s="1570">
        <v>80</v>
      </c>
    </row>
    <row r="77" spans="1:6" s="1566" customFormat="1" ht="36">
      <c r="A77" s="1570">
        <v>17</v>
      </c>
      <c r="B77" s="3741"/>
      <c r="C77" s="1496" t="s">
        <v>1661</v>
      </c>
      <c r="D77" s="1496" t="s">
        <v>1662</v>
      </c>
      <c r="E77" s="1583">
        <v>0.5</v>
      </c>
      <c r="F77" s="1570">
        <v>80</v>
      </c>
    </row>
    <row r="78" spans="1:6" s="1566" customFormat="1" ht="36">
      <c r="A78" s="1570">
        <v>18</v>
      </c>
      <c r="B78" s="3741"/>
      <c r="C78" s="1496" t="s">
        <v>1663</v>
      </c>
      <c r="D78" s="1496" t="s">
        <v>1664</v>
      </c>
      <c r="E78" s="1583">
        <v>0.2</v>
      </c>
      <c r="F78" s="1570">
        <v>30</v>
      </c>
    </row>
    <row r="79" spans="1:6" s="1566" customFormat="1" ht="36">
      <c r="A79" s="1570">
        <v>19</v>
      </c>
      <c r="B79" s="3741"/>
      <c r="C79" s="1496" t="s">
        <v>1665</v>
      </c>
      <c r="D79" s="1496" t="s">
        <v>1666</v>
      </c>
      <c r="E79" s="1583">
        <v>0.5</v>
      </c>
      <c r="F79" s="1570">
        <v>80</v>
      </c>
    </row>
    <row r="80" spans="1:6" s="1566" customFormat="1" ht="36">
      <c r="A80" s="1570">
        <v>20</v>
      </c>
      <c r="B80" s="3741"/>
      <c r="C80" s="1496" t="s">
        <v>1667</v>
      </c>
      <c r="D80" s="1496" t="s">
        <v>1668</v>
      </c>
      <c r="E80" s="1583">
        <v>0.2</v>
      </c>
      <c r="F80" s="1570">
        <v>30</v>
      </c>
    </row>
    <row r="81" spans="1:6" s="1566" customFormat="1" ht="36">
      <c r="A81" s="1570">
        <v>21</v>
      </c>
      <c r="B81" s="3741"/>
      <c r="C81" s="1496" t="s">
        <v>1669</v>
      </c>
      <c r="D81" s="1496" t="s">
        <v>1670</v>
      </c>
      <c r="E81" s="1583">
        <v>0.2</v>
      </c>
      <c r="F81" s="1570">
        <v>30</v>
      </c>
    </row>
    <row r="82" spans="1:6" s="1566" customFormat="1" ht="60">
      <c r="A82" s="1570">
        <v>22</v>
      </c>
      <c r="B82" s="3741"/>
      <c r="C82" s="1496" t="s">
        <v>1671</v>
      </c>
      <c r="D82" s="1496" t="s">
        <v>1672</v>
      </c>
      <c r="E82" s="1583">
        <v>0.2</v>
      </c>
      <c r="F82" s="1570">
        <v>30</v>
      </c>
    </row>
    <row r="83" spans="1:6" s="1566" customFormat="1" ht="60">
      <c r="A83" s="1570">
        <v>23</v>
      </c>
      <c r="B83" s="3741"/>
      <c r="C83" s="1496" t="s">
        <v>1673</v>
      </c>
      <c r="D83" s="1496" t="s">
        <v>1674</v>
      </c>
      <c r="E83" s="1583">
        <v>0.2</v>
      </c>
      <c r="F83" s="1570">
        <v>30</v>
      </c>
    </row>
    <row r="84" spans="1:6" s="1566" customFormat="1" ht="48">
      <c r="A84" s="1570">
        <v>24</v>
      </c>
      <c r="B84" s="3741"/>
      <c r="C84" s="1496" t="s">
        <v>1675</v>
      </c>
      <c r="D84" s="1496" t="s">
        <v>1676</v>
      </c>
      <c r="E84" s="1583">
        <v>0.2</v>
      </c>
      <c r="F84" s="1570">
        <v>30</v>
      </c>
    </row>
    <row r="85" spans="1:6" s="1566" customFormat="1" ht="36">
      <c r="A85" s="1570">
        <v>25</v>
      </c>
      <c r="B85" s="3741"/>
      <c r="C85" s="1496" t="s">
        <v>1677</v>
      </c>
      <c r="D85" s="1496" t="s">
        <v>1678</v>
      </c>
      <c r="E85" s="1583">
        <v>0.5</v>
      </c>
      <c r="F85" s="1570">
        <v>80</v>
      </c>
    </row>
    <row r="86" spans="1:6" s="1566" customFormat="1" ht="36">
      <c r="A86" s="1570">
        <v>26</v>
      </c>
      <c r="B86" s="3741"/>
      <c r="C86" s="1496" t="s">
        <v>1679</v>
      </c>
      <c r="D86" s="1496" t="s">
        <v>1680</v>
      </c>
      <c r="E86" s="1583">
        <v>0.2</v>
      </c>
      <c r="F86" s="1570">
        <v>30</v>
      </c>
    </row>
    <row r="87" spans="1:6" s="1566" customFormat="1" ht="36">
      <c r="A87" s="1570">
        <v>27</v>
      </c>
      <c r="B87" s="3741"/>
      <c r="C87" s="1496" t="s">
        <v>1681</v>
      </c>
      <c r="D87" s="1496" t="s">
        <v>1682</v>
      </c>
      <c r="E87" s="1583">
        <v>0.2</v>
      </c>
      <c r="F87" s="1570">
        <v>30</v>
      </c>
    </row>
    <row r="88" spans="1:6" s="1566" customFormat="1" ht="36">
      <c r="A88" s="1570">
        <v>28</v>
      </c>
      <c r="B88" s="3741"/>
      <c r="C88" s="1496" t="s">
        <v>1683</v>
      </c>
      <c r="D88" s="1496" t="s">
        <v>1684</v>
      </c>
      <c r="E88" s="1583">
        <v>0.2</v>
      </c>
      <c r="F88" s="1570">
        <v>30</v>
      </c>
    </row>
    <row r="89" spans="1:6" s="1566" customFormat="1" ht="36">
      <c r="A89" s="1570">
        <v>29</v>
      </c>
      <c r="B89" s="3741"/>
      <c r="C89" s="1496" t="s">
        <v>1685</v>
      </c>
      <c r="D89" s="1496" t="s">
        <v>1686</v>
      </c>
      <c r="E89" s="1583">
        <v>0.2</v>
      </c>
      <c r="F89" s="1570">
        <v>30</v>
      </c>
    </row>
    <row r="90" spans="1:6" s="1566" customFormat="1" ht="36">
      <c r="A90" s="1570">
        <v>30</v>
      </c>
      <c r="B90" s="3741"/>
      <c r="C90" s="1496" t="s">
        <v>1687</v>
      </c>
      <c r="D90" s="1496" t="s">
        <v>1688</v>
      </c>
      <c r="E90" s="1583">
        <v>0.2</v>
      </c>
      <c r="F90" s="1570">
        <v>30</v>
      </c>
    </row>
    <row r="91" spans="1:6" s="1566" customFormat="1" ht="48">
      <c r="A91" s="1570">
        <v>31</v>
      </c>
      <c r="B91" s="3741"/>
      <c r="C91" s="1496" t="s">
        <v>1689</v>
      </c>
      <c r="D91" s="1496" t="s">
        <v>1690</v>
      </c>
      <c r="E91" s="1583">
        <v>0.2</v>
      </c>
      <c r="F91" s="1570">
        <v>30</v>
      </c>
    </row>
    <row r="92" spans="1:6" s="1566" customFormat="1" ht="36">
      <c r="A92" s="1570">
        <v>32</v>
      </c>
      <c r="B92" s="3741" t="s">
        <v>1691</v>
      </c>
      <c r="C92" s="1570" t="s">
        <v>1692</v>
      </c>
      <c r="D92" s="1496" t="s">
        <v>1693</v>
      </c>
      <c r="E92" s="1583">
        <v>0.2</v>
      </c>
      <c r="F92" s="1570">
        <v>30</v>
      </c>
    </row>
    <row r="93" spans="1:6" s="1566" customFormat="1" ht="36">
      <c r="A93" s="1570">
        <v>33</v>
      </c>
      <c r="B93" s="3741"/>
      <c r="C93" s="1570" t="s">
        <v>1694</v>
      </c>
      <c r="D93" s="1496" t="s">
        <v>1695</v>
      </c>
      <c r="E93" s="1583">
        <v>0.2</v>
      </c>
      <c r="F93" s="1570">
        <v>30</v>
      </c>
    </row>
    <row r="94" spans="1:6" s="1566" customFormat="1" ht="60">
      <c r="A94" s="1570">
        <v>34</v>
      </c>
      <c r="B94" s="3741"/>
      <c r="C94" s="1570" t="s">
        <v>1696</v>
      </c>
      <c r="D94" s="1496" t="s">
        <v>1697</v>
      </c>
      <c r="E94" s="1583">
        <v>0.2</v>
      </c>
      <c r="F94" s="1570">
        <v>30</v>
      </c>
    </row>
    <row r="95" spans="1:6" s="1566" customFormat="1" ht="48">
      <c r="A95" s="1570">
        <v>35</v>
      </c>
      <c r="B95" s="3741"/>
      <c r="C95" s="1570" t="s">
        <v>1698</v>
      </c>
      <c r="D95" s="1496" t="s">
        <v>1699</v>
      </c>
      <c r="E95" s="1583">
        <v>0.2</v>
      </c>
      <c r="F95" s="1570">
        <v>30</v>
      </c>
    </row>
    <row r="96" spans="1:6" s="1566" customFormat="1" ht="72">
      <c r="A96" s="1570">
        <v>36</v>
      </c>
      <c r="B96" s="3741"/>
      <c r="C96" s="1496" t="s">
        <v>1700</v>
      </c>
      <c r="D96" s="1496" t="s">
        <v>1701</v>
      </c>
      <c r="E96" s="1583">
        <v>0.2</v>
      </c>
      <c r="F96" s="1570">
        <v>30</v>
      </c>
    </row>
    <row r="97" spans="1:6" s="1566" customFormat="1" ht="36">
      <c r="A97" s="1570">
        <v>37</v>
      </c>
      <c r="B97" s="3741"/>
      <c r="C97" s="1570" t="s">
        <v>1702</v>
      </c>
      <c r="D97" s="1496" t="s">
        <v>1703</v>
      </c>
      <c r="E97" s="1583">
        <v>0.2</v>
      </c>
      <c r="F97" s="1570">
        <v>30</v>
      </c>
    </row>
    <row r="98" spans="1:6" s="1566" customFormat="1" ht="36">
      <c r="A98" s="1570">
        <v>38</v>
      </c>
      <c r="B98" s="3741"/>
      <c r="C98" s="1570" t="s">
        <v>1704</v>
      </c>
      <c r="D98" s="1496" t="s">
        <v>1705</v>
      </c>
      <c r="E98" s="1583">
        <v>0.2</v>
      </c>
      <c r="F98" s="1570">
        <v>30</v>
      </c>
    </row>
    <row r="99" spans="1:6" s="1566" customFormat="1" ht="36">
      <c r="A99" s="1570">
        <v>39</v>
      </c>
      <c r="B99" s="3741" t="s">
        <v>1706</v>
      </c>
      <c r="C99" s="1570" t="s">
        <v>1707</v>
      </c>
      <c r="D99" s="1496" t="s">
        <v>1708</v>
      </c>
      <c r="E99" s="1583">
        <v>0.3</v>
      </c>
      <c r="F99" s="1570">
        <v>50</v>
      </c>
    </row>
    <row r="100" spans="1:6" s="1566" customFormat="1" ht="36">
      <c r="A100" s="1570">
        <v>40</v>
      </c>
      <c r="B100" s="3741"/>
      <c r="C100" s="1570" t="s">
        <v>1709</v>
      </c>
      <c r="D100" s="1496" t="s">
        <v>1710</v>
      </c>
      <c r="E100" s="1583">
        <v>0.2</v>
      </c>
      <c r="F100" s="1570">
        <v>30</v>
      </c>
    </row>
    <row r="101" spans="1:6" s="1566" customFormat="1" ht="36">
      <c r="A101" s="1570">
        <v>41</v>
      </c>
      <c r="B101" s="3741"/>
      <c r="C101" s="1570" t="s">
        <v>1711</v>
      </c>
      <c r="D101" s="1496" t="s">
        <v>1708</v>
      </c>
      <c r="E101" s="1583">
        <v>0.2</v>
      </c>
      <c r="F101" s="1570">
        <v>30</v>
      </c>
    </row>
    <row r="102" spans="1:6" s="1566" customFormat="1" ht="72">
      <c r="A102" s="1570">
        <v>42</v>
      </c>
      <c r="B102" s="1570" t="s">
        <v>1712</v>
      </c>
      <c r="C102" s="1496" t="s">
        <v>1713</v>
      </c>
      <c r="D102" s="1496" t="s">
        <v>1714</v>
      </c>
      <c r="E102" s="1583">
        <v>0.2</v>
      </c>
      <c r="F102" s="1570">
        <v>30</v>
      </c>
    </row>
    <row r="103" spans="1:6" s="1566" customFormat="1" ht="36">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48">
      <c r="A105" s="1570">
        <v>45</v>
      </c>
      <c r="B105" s="3741" t="s">
        <v>1721</v>
      </c>
      <c r="C105" s="1570" t="s">
        <v>1722</v>
      </c>
      <c r="D105" s="1496" t="s">
        <v>1723</v>
      </c>
      <c r="E105" s="1583">
        <v>0.2</v>
      </c>
      <c r="F105" s="1570">
        <v>30</v>
      </c>
    </row>
    <row r="106" spans="1:6" s="1566" customFormat="1" ht="48">
      <c r="A106" s="1570">
        <v>46</v>
      </c>
      <c r="B106" s="3741"/>
      <c r="C106" s="1570" t="s">
        <v>1724</v>
      </c>
      <c r="D106" s="1496" t="s">
        <v>1725</v>
      </c>
      <c r="E106" s="1583">
        <v>0.2</v>
      </c>
      <c r="F106" s="1570">
        <v>30</v>
      </c>
    </row>
    <row r="107" spans="1:6" s="1566" customFormat="1" ht="36">
      <c r="A107" s="1570">
        <v>47</v>
      </c>
      <c r="B107" s="3741" t="s">
        <v>1726</v>
      </c>
      <c r="C107" s="1570" t="s">
        <v>1727</v>
      </c>
      <c r="D107" s="1496" t="s">
        <v>1728</v>
      </c>
      <c r="E107" s="1583">
        <v>0.3</v>
      </c>
      <c r="F107" s="1570">
        <v>50</v>
      </c>
    </row>
    <row r="108" spans="1:6" s="1566" customFormat="1" ht="48">
      <c r="A108" s="1570">
        <v>48</v>
      </c>
      <c r="B108" s="3741"/>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48">
      <c r="A110" s="1570">
        <v>50</v>
      </c>
      <c r="B110" s="1570" t="s">
        <v>1734</v>
      </c>
      <c r="C110" s="1570" t="s">
        <v>1735</v>
      </c>
      <c r="D110" s="1496" t="s">
        <v>1736</v>
      </c>
      <c r="E110" s="1583">
        <v>0.2</v>
      </c>
      <c r="F110" s="1570">
        <v>30</v>
      </c>
    </row>
    <row r="111" spans="1:6" s="1566" customFormat="1" ht="48">
      <c r="A111" s="1570">
        <v>51</v>
      </c>
      <c r="B111" s="3741" t="s">
        <v>1737</v>
      </c>
      <c r="C111" s="1570" t="s">
        <v>1738</v>
      </c>
      <c r="D111" s="1496" t="s">
        <v>1739</v>
      </c>
      <c r="E111" s="1583">
        <v>0.2</v>
      </c>
      <c r="F111" s="1570">
        <v>30</v>
      </c>
    </row>
    <row r="112" spans="1:6" s="1566" customFormat="1" ht="36">
      <c r="A112" s="1570">
        <v>52</v>
      </c>
      <c r="B112" s="3741"/>
      <c r="C112" s="1570" t="s">
        <v>1740</v>
      </c>
      <c r="D112" s="1496" t="s">
        <v>1741</v>
      </c>
      <c r="E112" s="1583">
        <v>0.2</v>
      </c>
      <c r="F112" s="1570">
        <v>30</v>
      </c>
    </row>
    <row r="113" spans="1:6" s="1566" customFormat="1" ht="36">
      <c r="A113" s="1570">
        <v>53</v>
      </c>
      <c r="B113" s="3741"/>
      <c r="C113" s="1570" t="s">
        <v>1742</v>
      </c>
      <c r="D113" s="1496" t="s">
        <v>1743</v>
      </c>
      <c r="E113" s="1583">
        <v>0.2</v>
      </c>
      <c r="F113" s="1570">
        <v>30</v>
      </c>
    </row>
    <row r="114" spans="1:6" ht="48">
      <c r="A114" s="1570">
        <v>54</v>
      </c>
      <c r="B114" s="1570" t="s">
        <v>1744</v>
      </c>
      <c r="C114" s="1570" t="s">
        <v>1745</v>
      </c>
      <c r="D114" s="1496" t="s">
        <v>1746</v>
      </c>
      <c r="E114" s="1583">
        <v>0.2</v>
      </c>
      <c r="F114" s="1570">
        <v>30</v>
      </c>
    </row>
    <row r="115" spans="1:6" ht="36">
      <c r="A115" s="1570">
        <v>55</v>
      </c>
      <c r="B115" s="1570" t="s">
        <v>1747</v>
      </c>
      <c r="C115" s="1570" t="s">
        <v>1748</v>
      </c>
      <c r="D115" s="1496" t="s">
        <v>1749</v>
      </c>
      <c r="E115" s="1583">
        <v>0.2</v>
      </c>
      <c r="F115" s="1570">
        <v>30</v>
      </c>
    </row>
    <row r="116" spans="1:6" ht="36">
      <c r="A116" s="1570">
        <v>56</v>
      </c>
      <c r="B116" s="3741" t="s">
        <v>1750</v>
      </c>
      <c r="C116" s="1570" t="s">
        <v>1751</v>
      </c>
      <c r="D116" s="1496" t="s">
        <v>1752</v>
      </c>
      <c r="E116" s="1583">
        <v>0.2</v>
      </c>
      <c r="F116" s="1570">
        <v>30</v>
      </c>
    </row>
    <row r="117" spans="1:6" ht="36">
      <c r="A117" s="1570">
        <v>57</v>
      </c>
      <c r="B117" s="3741"/>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4.4">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1620"/>
    <col min="2" max="16384" width="9" style="1595"/>
  </cols>
  <sheetData>
    <row r="1" spans="1:14" ht="15.6">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5.6">
      <c r="A103" s="1593" t="s">
        <v>1774</v>
      </c>
      <c r="B103" s="1594"/>
      <c r="C103" s="1594"/>
      <c r="D103" s="1594"/>
      <c r="E103" s="1594"/>
      <c r="F103" s="1594"/>
      <c r="G103" s="1594"/>
      <c r="H103" s="1594"/>
      <c r="I103" s="1594"/>
      <c r="J103" s="1594"/>
      <c r="K103" s="1594"/>
      <c r="L103" s="1594"/>
      <c r="M103" s="1594"/>
      <c r="N103" s="1594"/>
    </row>
    <row r="104" spans="1:14" ht="15.6">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5.6">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5.6">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4.4"/>
  <cols>
    <col min="1" max="1" width="23.33203125" customWidth="1"/>
    <col min="2" max="2" width="12.44140625" customWidth="1"/>
    <col min="3" max="3" width="12.109375" customWidth="1"/>
    <col min="4" max="4" width="14.109375" customWidth="1"/>
    <col min="5" max="5" width="12.44140625" customWidth="1"/>
  </cols>
  <sheetData>
    <row r="1" spans="1:5" ht="20.399999999999999">
      <c r="A1" s="2781" t="s">
        <v>3048</v>
      </c>
    </row>
    <row r="2" spans="1:5" ht="15.6">
      <c r="A2" s="3339" t="s">
        <v>208</v>
      </c>
      <c r="B2" s="3336">
        <f ca="1">SUMIF(B6:B13,"&lt;&gt;#ref!",B6:B13)</f>
        <v>17889</v>
      </c>
      <c r="C2" s="3339" t="s">
        <v>2664</v>
      </c>
      <c r="D2" s="3339" t="s">
        <v>3043</v>
      </c>
      <c r="E2" s="3336" t="e">
        <f ca="1">SUM(E6:E13)</f>
        <v>#REF!</v>
      </c>
    </row>
    <row r="3" spans="1:5" ht="15.6">
      <c r="A3" s="3339" t="s">
        <v>8</v>
      </c>
      <c r="B3" s="3336" t="e">
        <f ca="1">ROUND(B2*10000/E2,0)</f>
        <v>#REF!</v>
      </c>
      <c r="C3" s="3339" t="s">
        <v>2665</v>
      </c>
      <c r="D3" s="3337"/>
      <c r="E3" s="3337"/>
    </row>
    <row r="4" spans="1:5" ht="15.6">
      <c r="A4" s="3340"/>
      <c r="B4" s="3337"/>
      <c r="C4" s="3337"/>
      <c r="D4" s="3337"/>
      <c r="E4" s="3337"/>
    </row>
    <row r="5" spans="1:5" ht="31.2">
      <c r="A5" s="3341" t="s">
        <v>3046</v>
      </c>
      <c r="B5" s="3339" t="s">
        <v>3044</v>
      </c>
      <c r="C5" s="3336"/>
      <c r="D5" s="3337"/>
      <c r="E5" s="3339" t="s">
        <v>3045</v>
      </c>
    </row>
    <row r="6" spans="1:5" ht="15.6">
      <c r="A6" s="3342" t="s">
        <v>3047</v>
      </c>
      <c r="B6" s="3338">
        <f ca="1">SUMIF(INDIRECT("'"&amp;A6&amp;"'"&amp;"!A:A"),"总价",INDIRECT("'"&amp;A6&amp;"'"&amp;"!B:B"))</f>
        <v>17889</v>
      </c>
      <c r="C6" s="3339" t="s">
        <v>2664</v>
      </c>
      <c r="D6" s="3337"/>
      <c r="E6" s="2787">
        <f ca="1">SUMIF(INDIRECT("'"&amp;A6&amp;"'"&amp;"!C:C"),"建筑面积",INDIRECT("'"&amp;A6&amp;"'"&amp;"!D:D"))</f>
        <v>151095.50000000003</v>
      </c>
    </row>
    <row r="7" spans="1:5" ht="15.6">
      <c r="A7" s="3342"/>
      <c r="B7" s="3338" t="e">
        <f ca="1">SUMIF(INDIRECT("'"&amp;A7&amp;"'"&amp;"!A:A"),"总价",INDIRECT("'"&amp;A7&amp;"'"&amp;"!B:B"))</f>
        <v>#REF!</v>
      </c>
      <c r="C7" s="3339" t="s">
        <v>2664</v>
      </c>
      <c r="D7" s="3337"/>
      <c r="E7" s="2787" t="e">
        <f t="shared" ref="E7:E13" ca="1" si="0">SUMIF(INDIRECT("'"&amp;A7&amp;"'"&amp;"!C:C"),"建筑面积",INDIRECT("'"&amp;A7&amp;"'"&amp;"!D:D"))</f>
        <v>#REF!</v>
      </c>
    </row>
    <row r="8" spans="1:5" ht="15.6">
      <c r="A8" s="3342"/>
      <c r="B8" s="3338" t="e">
        <f t="shared" ref="B8:B13" ca="1" si="1">SUMIF(INDIRECT("'"&amp;A8&amp;"'"&amp;"!A:A"),"总价",INDIRECT("'"&amp;A8&amp;"'"&amp;"!B:B"))</f>
        <v>#REF!</v>
      </c>
      <c r="C8" s="3339" t="s">
        <v>2664</v>
      </c>
      <c r="D8" s="3337"/>
      <c r="E8" s="2787" t="e">
        <f t="shared" ca="1" si="0"/>
        <v>#REF!</v>
      </c>
    </row>
    <row r="9" spans="1:5" ht="15.6">
      <c r="A9" s="3342"/>
      <c r="B9" s="3338" t="e">
        <f t="shared" ca="1" si="1"/>
        <v>#REF!</v>
      </c>
      <c r="C9" s="3339" t="s">
        <v>2664</v>
      </c>
      <c r="D9" s="3337"/>
      <c r="E9" s="2787" t="e">
        <f t="shared" ca="1" si="0"/>
        <v>#REF!</v>
      </c>
    </row>
    <row r="10" spans="1:5" ht="15.6">
      <c r="A10" s="3342"/>
      <c r="B10" s="3338" t="e">
        <f t="shared" ca="1" si="1"/>
        <v>#REF!</v>
      </c>
      <c r="C10" s="3339" t="s">
        <v>2664</v>
      </c>
      <c r="D10" s="3337"/>
      <c r="E10" s="2787" t="e">
        <f t="shared" ca="1" si="0"/>
        <v>#REF!</v>
      </c>
    </row>
    <row r="11" spans="1:5" ht="15.6">
      <c r="A11" s="3342"/>
      <c r="B11" s="3338" t="e">
        <f t="shared" ca="1" si="1"/>
        <v>#REF!</v>
      </c>
      <c r="C11" s="3339" t="s">
        <v>2664</v>
      </c>
      <c r="D11" s="3337"/>
      <c r="E11" s="2787" t="e">
        <f t="shared" ca="1" si="0"/>
        <v>#REF!</v>
      </c>
    </row>
    <row r="12" spans="1:5" ht="15.6">
      <c r="A12" s="3342"/>
      <c r="B12" s="3338" t="e">
        <f t="shared" ca="1" si="1"/>
        <v>#REF!</v>
      </c>
      <c r="C12" s="3339" t="s">
        <v>2664</v>
      </c>
      <c r="D12" s="3337"/>
      <c r="E12" s="2787" t="e">
        <f t="shared" ca="1" si="0"/>
        <v>#REF!</v>
      </c>
    </row>
    <row r="13" spans="1:5" ht="15.6">
      <c r="A13" s="3342"/>
      <c r="B13" s="3338" t="e">
        <f t="shared" ca="1" si="1"/>
        <v>#REF!</v>
      </c>
      <c r="C13" s="3339" t="s">
        <v>2664</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3.2"/>
  <cols>
    <col min="1" max="1" width="9" style="2927"/>
    <col min="2" max="6" width="9" style="2927" customWidth="1"/>
    <col min="7" max="7" width="9" style="2942"/>
    <col min="8" max="8" width="9" style="2927"/>
    <col min="9" max="12" width="9" style="2927" customWidth="1"/>
    <col min="13" max="13" width="2.21875" style="2927" customWidth="1"/>
    <col min="14" max="14" width="9" style="2942" customWidth="1"/>
    <col min="15" max="17" width="9" style="2927" customWidth="1"/>
    <col min="18" max="18" width="2.33203125" style="2927" customWidth="1"/>
    <col min="19" max="19" width="7.109375" style="2942" customWidth="1"/>
    <col min="20" max="22" width="7.109375" style="2927" customWidth="1"/>
    <col min="23" max="23" width="24.21875" style="2927" customWidth="1"/>
    <col min="24" max="25" width="9" style="2927"/>
    <col min="26" max="27" width="11.6640625" style="2927" customWidth="1"/>
    <col min="28" max="28" width="9" style="2927"/>
    <col min="29" max="29" width="2" style="2927" customWidth="1"/>
    <col min="30" max="16384" width="9" style="2927"/>
  </cols>
  <sheetData>
    <row r="1" spans="1:34" s="2897" customFormat="1">
      <c r="B1" s="3755" t="s">
        <v>2705</v>
      </c>
      <c r="C1" s="3755"/>
      <c r="D1" s="3755"/>
      <c r="E1" s="3755"/>
      <c r="F1" s="3755"/>
      <c r="G1" s="3754" t="s">
        <v>2706</v>
      </c>
      <c r="H1" s="3754"/>
      <c r="I1" s="3754"/>
      <c r="J1" s="3754"/>
      <c r="K1" s="3754"/>
      <c r="L1" s="3754"/>
      <c r="N1" s="3754" t="s">
        <v>2707</v>
      </c>
      <c r="O1" s="3754"/>
      <c r="P1" s="3754"/>
      <c r="Q1" s="3754"/>
      <c r="R1" s="2898"/>
      <c r="S1" s="3754" t="s">
        <v>2708</v>
      </c>
      <c r="T1" s="3754"/>
      <c r="U1" s="3754"/>
      <c r="V1" s="3754"/>
      <c r="X1" s="3753" t="s">
        <v>2709</v>
      </c>
      <c r="Y1" s="3754"/>
      <c r="Z1" s="3754"/>
      <c r="AA1" s="3754"/>
      <c r="AB1" s="3754"/>
      <c r="AD1" s="3753" t="s">
        <v>2710</v>
      </c>
      <c r="AE1" s="3754"/>
      <c r="AF1" s="3754"/>
      <c r="AG1" s="3754"/>
      <c r="AH1" s="3754"/>
    </row>
    <row r="2" spans="1:34" s="2899" customFormat="1" ht="15" thickBot="1">
      <c r="B2" s="2900" t="s">
        <v>2711</v>
      </c>
      <c r="C2" s="2900" t="s">
        <v>2712</v>
      </c>
      <c r="D2" s="2901" t="s">
        <v>2713</v>
      </c>
      <c r="E2" s="2901" t="s">
        <v>2714</v>
      </c>
      <c r="F2" s="2900" t="s">
        <v>2715</v>
      </c>
      <c r="G2" s="2902"/>
      <c r="H2" s="2903"/>
      <c r="I2" s="2900" t="s">
        <v>2711</v>
      </c>
      <c r="J2" s="2901" t="s">
        <v>3049</v>
      </c>
      <c r="K2" s="2901" t="s">
        <v>1844</v>
      </c>
      <c r="L2" s="2900" t="s">
        <v>2715</v>
      </c>
      <c r="N2" s="2900" t="s">
        <v>2711</v>
      </c>
      <c r="O2" s="2901" t="s">
        <v>3049</v>
      </c>
      <c r="P2" s="2901" t="s">
        <v>1844</v>
      </c>
      <c r="Q2" s="2900" t="s">
        <v>2715</v>
      </c>
      <c r="R2" s="2904"/>
      <c r="S2" s="2900" t="s">
        <v>2711</v>
      </c>
      <c r="T2" s="2901" t="s">
        <v>3049</v>
      </c>
      <c r="U2" s="2901" t="s">
        <v>1844</v>
      </c>
      <c r="V2" s="2900" t="s">
        <v>2715</v>
      </c>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2716</v>
      </c>
      <c r="B4" s="2914"/>
      <c r="C4" s="2914"/>
      <c r="D4" s="2914"/>
      <c r="E4" s="2914"/>
      <c r="F4" s="2914"/>
      <c r="G4" s="3756">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1"/>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51"/>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8" thickBot="1">
      <c r="A7" s="2913" t="s">
        <v>2718</v>
      </c>
      <c r="B7" s="2933">
        <f>B8*(1+N7)</f>
        <v>405.524</v>
      </c>
      <c r="C7" s="2933">
        <f>C8*(1+O7)</f>
        <v>307.79840000000002</v>
      </c>
      <c r="D7" s="2933">
        <f>C7</f>
        <v>307.79840000000002</v>
      </c>
      <c r="E7" s="2933">
        <f>E8*(1+P7)</f>
        <v>574.67759999999998</v>
      </c>
      <c r="F7" s="2933">
        <f>F8*(1+Q7)</f>
        <v>270.20280000000002</v>
      </c>
      <c r="G7" s="3752"/>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6">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1"/>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1"/>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8"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2"/>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8" thickBot="1">
      <c r="A12" s="2913" t="s">
        <v>1156</v>
      </c>
      <c r="B12" s="2925">
        <v>333</v>
      </c>
      <c r="C12" s="2925">
        <v>277</v>
      </c>
      <c r="D12" s="2925">
        <f t="shared" si="16"/>
        <v>277</v>
      </c>
      <c r="E12" s="2925">
        <v>459</v>
      </c>
      <c r="F12" s="2926">
        <v>249</v>
      </c>
      <c r="G12" s="3750">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1"/>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1"/>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2"/>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8" thickBot="1">
      <c r="A16" s="2913" t="s">
        <v>1152</v>
      </c>
      <c r="B16" s="2946">
        <v>318</v>
      </c>
      <c r="C16" s="2946">
        <v>268</v>
      </c>
      <c r="D16" s="2946">
        <f t="shared" si="16"/>
        <v>268</v>
      </c>
      <c r="E16" s="2946">
        <v>437</v>
      </c>
      <c r="F16" s="2947">
        <v>237</v>
      </c>
      <c r="G16" s="3750">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1"/>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8"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1"/>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8"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2"/>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2720</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8" thickBot="1">
      <c r="A20" s="2913" t="s">
        <v>2721</v>
      </c>
      <c r="B20" s="2925">
        <v>299</v>
      </c>
      <c r="C20" s="2925">
        <v>252</v>
      </c>
      <c r="D20" s="2925">
        <f t="shared" si="16"/>
        <v>252</v>
      </c>
      <c r="E20" s="2925">
        <v>409</v>
      </c>
      <c r="F20" s="2926">
        <v>227</v>
      </c>
      <c r="G20" s="3757">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8"/>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2723</v>
      </c>
      <c r="B22" s="2933">
        <f t="shared" si="25"/>
        <v>288.2649053828776</v>
      </c>
      <c r="C22" s="2933">
        <f t="shared" si="25"/>
        <v>243.64564425013293</v>
      </c>
      <c r="D22" s="2933">
        <f t="shared" si="16"/>
        <v>243.64564425013293</v>
      </c>
      <c r="E22" s="2933">
        <f t="shared" si="26"/>
        <v>393.31080825986544</v>
      </c>
      <c r="F22" s="2933">
        <f t="shared" si="26"/>
        <v>223.07903790551154</v>
      </c>
      <c r="G22" s="3758"/>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2724</v>
      </c>
      <c r="B23" s="2933">
        <f t="shared" si="25"/>
        <v>282.50186729015837</v>
      </c>
      <c r="C23" s="2933">
        <f t="shared" si="25"/>
        <v>238.09796174155468</v>
      </c>
      <c r="D23" s="2933">
        <f t="shared" si="16"/>
        <v>238.09796174155468</v>
      </c>
      <c r="E23" s="2933">
        <f t="shared" si="26"/>
        <v>385.33438646014054</v>
      </c>
      <c r="F23" s="2933">
        <f t="shared" si="26"/>
        <v>221.55034055567739</v>
      </c>
      <c r="G23" s="3759"/>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8" thickBot="1">
      <c r="A24" s="2913" t="s">
        <v>2725</v>
      </c>
      <c r="B24" s="2967">
        <v>278</v>
      </c>
      <c r="C24" s="2967">
        <v>234</v>
      </c>
      <c r="D24" s="2967">
        <f t="shared" si="16"/>
        <v>234</v>
      </c>
      <c r="E24" s="2967">
        <v>379</v>
      </c>
      <c r="F24" s="2968">
        <v>220</v>
      </c>
      <c r="G24" s="3750">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2726</v>
      </c>
      <c r="B25" s="2933">
        <f>B24/(1+N24)</f>
        <v>275.49301357645425</v>
      </c>
      <c r="C25" s="2933">
        <f>C24/(1+O24)</f>
        <v>232.41954707985698</v>
      </c>
      <c r="D25" s="2933">
        <f t="shared" si="16"/>
        <v>232.41954707985698</v>
      </c>
      <c r="E25" s="2933">
        <f t="shared" ref="E25:F27" si="27">E24/(1+P24)</f>
        <v>375.32184591008121</v>
      </c>
      <c r="F25" s="2933">
        <f t="shared" si="27"/>
        <v>218.03766105054513</v>
      </c>
      <c r="G25" s="3751"/>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2727</v>
      </c>
      <c r="B26" s="2933">
        <f>B25/(1+N25)</f>
        <v>275.24529281292263</v>
      </c>
      <c r="C26" s="2933">
        <f>C25/(1+O25)</f>
        <v>231.74747938962707</v>
      </c>
      <c r="D26" s="2933">
        <f t="shared" si="16"/>
        <v>231.74747938962707</v>
      </c>
      <c r="E26" s="2933">
        <f t="shared" si="27"/>
        <v>375.35938184826603</v>
      </c>
      <c r="F26" s="2933">
        <f t="shared" si="27"/>
        <v>216.78033510692495</v>
      </c>
      <c r="G26" s="3751"/>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8" thickBot="1">
      <c r="A27" s="2913" t="s">
        <v>2728</v>
      </c>
      <c r="B27" s="2933">
        <f>B26/(1+N26)</f>
        <v>275.19025476197027</v>
      </c>
      <c r="C27" s="2969">
        <v>232</v>
      </c>
      <c r="D27" s="2969">
        <f t="shared" si="16"/>
        <v>232</v>
      </c>
      <c r="E27" s="2933">
        <f t="shared" si="27"/>
        <v>375.65990977608692</v>
      </c>
      <c r="F27" s="2933">
        <f t="shared" si="27"/>
        <v>214.12518283971252</v>
      </c>
      <c r="G27" s="3752"/>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8" thickBot="1">
      <c r="A28" s="2913" t="s">
        <v>2729</v>
      </c>
      <c r="B28" s="2925">
        <v>275</v>
      </c>
      <c r="C28" s="2925">
        <v>232</v>
      </c>
      <c r="D28" s="2925">
        <f t="shared" si="16"/>
        <v>232</v>
      </c>
      <c r="E28" s="2925">
        <v>376</v>
      </c>
      <c r="F28" s="2926">
        <v>213</v>
      </c>
      <c r="G28" s="3750">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1">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2731</v>
      </c>
      <c r="B30" s="2933">
        <f t="shared" si="28"/>
        <v>275.19335084830601</v>
      </c>
      <c r="C30" s="2933">
        <f t="shared" si="28"/>
        <v>230.18088050139744</v>
      </c>
      <c r="D30" s="2933">
        <f t="shared" si="16"/>
        <v>230.18088050139744</v>
      </c>
      <c r="E30" s="2933">
        <f t="shared" si="29"/>
        <v>377.58482925212331</v>
      </c>
      <c r="F30" s="2933">
        <f t="shared" si="29"/>
        <v>210.90687997847917</v>
      </c>
      <c r="G30" s="3751">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8" thickBot="1">
      <c r="A31" s="2913" t="s">
        <v>2732</v>
      </c>
      <c r="B31" s="2933">
        <f t="shared" si="28"/>
        <v>276.29854502841971</v>
      </c>
      <c r="C31" s="2933">
        <f t="shared" si="28"/>
        <v>229.79023709833027</v>
      </c>
      <c r="D31" s="2933">
        <f t="shared" si="16"/>
        <v>229.79023709833027</v>
      </c>
      <c r="E31" s="2933">
        <f t="shared" si="29"/>
        <v>379.78759731655936</v>
      </c>
      <c r="F31" s="2933">
        <f t="shared" si="29"/>
        <v>211.32953905659235</v>
      </c>
      <c r="G31" s="3752">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8" thickBot="1">
      <c r="A32" s="2913" t="s">
        <v>2733</v>
      </c>
      <c r="B32" s="2925">
        <v>269</v>
      </c>
      <c r="C32" s="2925">
        <v>221</v>
      </c>
      <c r="D32" s="2925">
        <f t="shared" si="16"/>
        <v>221</v>
      </c>
      <c r="E32" s="2925">
        <v>373</v>
      </c>
      <c r="F32" s="2926">
        <v>196</v>
      </c>
      <c r="G32" s="3750">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1">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2735</v>
      </c>
      <c r="B34" s="2933">
        <f t="shared" si="30"/>
        <v>242.95398227588385</v>
      </c>
      <c r="C34" s="2933">
        <f t="shared" si="30"/>
        <v>199.59137053614126</v>
      </c>
      <c r="D34" s="2933">
        <f t="shared" si="16"/>
        <v>199.59137053614126</v>
      </c>
      <c r="E34" s="2933">
        <f t="shared" si="31"/>
        <v>335.92189522342125</v>
      </c>
      <c r="F34" s="2933">
        <f t="shared" si="31"/>
        <v>183.10139991109489</v>
      </c>
      <c r="G34" s="3751">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8" thickBot="1">
      <c r="A35" s="2913" t="s">
        <v>2736</v>
      </c>
      <c r="B35" s="2933">
        <f t="shared" si="30"/>
        <v>232.06990378821649</v>
      </c>
      <c r="C35" s="2933">
        <f t="shared" si="30"/>
        <v>192.74878854286936</v>
      </c>
      <c r="D35" s="2933">
        <f t="shared" si="16"/>
        <v>192.74878854286936</v>
      </c>
      <c r="E35" s="2933">
        <f t="shared" si="31"/>
        <v>319.71247284992984</v>
      </c>
      <c r="F35" s="2933">
        <f t="shared" si="31"/>
        <v>175.67053622862409</v>
      </c>
      <c r="G35" s="3752">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8" thickBot="1">
      <c r="A36" s="2913" t="s">
        <v>2737</v>
      </c>
      <c r="B36" s="2925">
        <v>220</v>
      </c>
      <c r="C36" s="2925">
        <v>187</v>
      </c>
      <c r="D36" s="2925">
        <f t="shared" si="16"/>
        <v>187</v>
      </c>
      <c r="E36" s="2925">
        <v>301</v>
      </c>
      <c r="F36" s="2926">
        <v>168</v>
      </c>
      <c r="G36" s="3750">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1">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2739</v>
      </c>
      <c r="B38" s="2933">
        <f t="shared" si="32"/>
        <v>210.630522469011</v>
      </c>
      <c r="C38" s="2933">
        <f t="shared" si="32"/>
        <v>181.69567812247232</v>
      </c>
      <c r="D38" s="2933">
        <f t="shared" si="16"/>
        <v>181.69567812247232</v>
      </c>
      <c r="E38" s="2933">
        <f t="shared" si="33"/>
        <v>286.13517466736738</v>
      </c>
      <c r="F38" s="2933">
        <f t="shared" si="33"/>
        <v>165.47535084591149</v>
      </c>
      <c r="G38" s="3751">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2740</v>
      </c>
      <c r="B39" s="2933">
        <f t="shared" si="32"/>
        <v>208.83454537875372</v>
      </c>
      <c r="C39" s="2933">
        <f t="shared" si="32"/>
        <v>183.77230517090351</v>
      </c>
      <c r="D39" s="2933">
        <f t="shared" si="16"/>
        <v>183.77230517090351</v>
      </c>
      <c r="E39" s="2933">
        <f t="shared" si="33"/>
        <v>281.10342338870947</v>
      </c>
      <c r="F39" s="2933">
        <f t="shared" si="33"/>
        <v>168.97309388942256</v>
      </c>
      <c r="G39" s="3752">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8" thickBot="1">
      <c r="A40" s="2913" t="s">
        <v>2741</v>
      </c>
      <c r="B40" s="2967">
        <v>214</v>
      </c>
      <c r="C40" s="2967">
        <v>188</v>
      </c>
      <c r="D40" s="2967">
        <f t="shared" si="16"/>
        <v>188</v>
      </c>
      <c r="E40" s="2967">
        <v>289</v>
      </c>
      <c r="F40" s="2968">
        <v>166</v>
      </c>
      <c r="G40" s="3750">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1">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2743</v>
      </c>
      <c r="B42" s="2933">
        <f t="shared" si="34"/>
        <v>206.31694671589116</v>
      </c>
      <c r="C42" s="2933">
        <f t="shared" si="34"/>
        <v>183.61041121036101</v>
      </c>
      <c r="D42" s="2933">
        <f t="shared" si="16"/>
        <v>183.61041121036101</v>
      </c>
      <c r="E42" s="2933">
        <f t="shared" si="35"/>
        <v>276.66850301795557</v>
      </c>
      <c r="F42" s="2933">
        <f t="shared" si="35"/>
        <v>165.1360938278614</v>
      </c>
      <c r="G42" s="3751">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8" thickBot="1">
      <c r="A43" s="2913" t="s">
        <v>2744</v>
      </c>
      <c r="B43" s="2970">
        <f t="shared" si="34"/>
        <v>196.62341248059772</v>
      </c>
      <c r="C43" s="2970">
        <f t="shared" si="34"/>
        <v>170.99125648199012</v>
      </c>
      <c r="D43" s="2970">
        <f t="shared" si="16"/>
        <v>170.99125648199012</v>
      </c>
      <c r="E43" s="2970">
        <f t="shared" si="35"/>
        <v>266.07857570490052</v>
      </c>
      <c r="F43" s="2970">
        <f t="shared" si="35"/>
        <v>154.53499328828505</v>
      </c>
      <c r="G43" s="3752">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8" thickBot="1">
      <c r="A44" s="2913" t="s">
        <v>2745</v>
      </c>
      <c r="B44" s="2925">
        <v>188</v>
      </c>
      <c r="C44" s="2925">
        <v>165</v>
      </c>
      <c r="D44" s="2925">
        <f t="shared" si="16"/>
        <v>165</v>
      </c>
      <c r="E44" s="2925">
        <v>254</v>
      </c>
      <c r="F44" s="2926">
        <v>148</v>
      </c>
      <c r="G44" s="3750">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1">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2747</v>
      </c>
      <c r="B46" s="2933">
        <f t="shared" si="38"/>
        <v>168.82017748715555</v>
      </c>
      <c r="C46" s="2933">
        <f t="shared" si="38"/>
        <v>148.06267029972753</v>
      </c>
      <c r="D46" s="2933">
        <f t="shared" si="16"/>
        <v>148.06267029972753</v>
      </c>
      <c r="E46" s="2933">
        <f t="shared" si="39"/>
        <v>216.46288379323747</v>
      </c>
      <c r="F46" s="2933">
        <f t="shared" si="39"/>
        <v>134.23529411764704</v>
      </c>
      <c r="G46" s="3751">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2748</v>
      </c>
      <c r="B47" s="2933">
        <f t="shared" si="38"/>
        <v>163.84913591779542</v>
      </c>
      <c r="C47" s="2933">
        <f t="shared" si="38"/>
        <v>145.0283378746594</v>
      </c>
      <c r="D47" s="2933">
        <f t="shared" si="16"/>
        <v>145.0283378746594</v>
      </c>
      <c r="E47" s="2933">
        <f t="shared" si="39"/>
        <v>204.95180722891567</v>
      </c>
      <c r="F47" s="2933">
        <f t="shared" si="39"/>
        <v>125.95920303605313</v>
      </c>
      <c r="G47" s="3752">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8" thickBot="1">
      <c r="A48" s="2913" t="s">
        <v>2749</v>
      </c>
      <c r="B48" s="2946">
        <v>159</v>
      </c>
      <c r="C48" s="2946">
        <v>141</v>
      </c>
      <c r="D48" s="2946">
        <f t="shared" si="16"/>
        <v>141</v>
      </c>
      <c r="E48" s="2946">
        <v>195</v>
      </c>
      <c r="F48" s="2947">
        <v>122</v>
      </c>
      <c r="G48" s="3750">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1">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2751</v>
      </c>
      <c r="B50" s="2933">
        <f t="shared" si="42"/>
        <v>146.57412060301507</v>
      </c>
      <c r="C50" s="2933">
        <f t="shared" si="42"/>
        <v>136.46831955922866</v>
      </c>
      <c r="D50" s="2933">
        <f t="shared" si="16"/>
        <v>136.46831955922866</v>
      </c>
      <c r="E50" s="2933">
        <f t="shared" si="43"/>
        <v>166.73864894795128</v>
      </c>
      <c r="F50" s="2933">
        <f t="shared" si="43"/>
        <v>115.05882352941177</v>
      </c>
      <c r="G50" s="3751">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2752</v>
      </c>
      <c r="B51" s="2933">
        <f t="shared" si="42"/>
        <v>144.04145728643215</v>
      </c>
      <c r="C51" s="2933">
        <f t="shared" si="42"/>
        <v>136.12396694214877</v>
      </c>
      <c r="D51" s="2933">
        <f t="shared" si="16"/>
        <v>136.12396694214877</v>
      </c>
      <c r="E51" s="2933">
        <f t="shared" si="43"/>
        <v>158.32225913621264</v>
      </c>
      <c r="F51" s="2933">
        <f t="shared" si="43"/>
        <v>114.04278074866311</v>
      </c>
      <c r="G51" s="3752">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8" thickBot="1">
      <c r="A52" s="2913" t="s">
        <v>2753</v>
      </c>
      <c r="B52" s="2946">
        <v>138</v>
      </c>
      <c r="C52" s="2946">
        <v>131</v>
      </c>
      <c r="D52" s="2946">
        <f t="shared" si="16"/>
        <v>131</v>
      </c>
      <c r="E52" s="2946">
        <v>155</v>
      </c>
      <c r="F52" s="2947">
        <v>114</v>
      </c>
      <c r="G52" s="3750">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1">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2755</v>
      </c>
      <c r="B54" s="2933">
        <f t="shared" si="46"/>
        <v>124.29032258064517</v>
      </c>
      <c r="C54" s="2933">
        <f t="shared" si="46"/>
        <v>123.8968609865471</v>
      </c>
      <c r="D54" s="2933">
        <f t="shared" si="16"/>
        <v>123.8968609865471</v>
      </c>
      <c r="E54" s="2933">
        <f t="shared" si="47"/>
        <v>138.00507614213197</v>
      </c>
      <c r="F54" s="2933">
        <f t="shared" si="47"/>
        <v>107.96106557377048</v>
      </c>
      <c r="G54" s="3751">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2756</v>
      </c>
      <c r="B55" s="2933">
        <f t="shared" si="46"/>
        <v>122.57204301075269</v>
      </c>
      <c r="C55" s="2933">
        <f t="shared" si="46"/>
        <v>123.4932735426009</v>
      </c>
      <c r="D55" s="2933">
        <f t="shared" si="16"/>
        <v>123.4932735426009</v>
      </c>
      <c r="E55" s="2933">
        <f t="shared" si="47"/>
        <v>129.82233502538071</v>
      </c>
      <c r="F55" s="2933">
        <f t="shared" si="47"/>
        <v>107.39446721311475</v>
      </c>
      <c r="G55" s="3752">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8" thickBot="1">
      <c r="A56" s="2913" t="s">
        <v>2757</v>
      </c>
      <c r="B56" s="2967">
        <v>121</v>
      </c>
      <c r="C56" s="2967">
        <v>122</v>
      </c>
      <c r="D56" s="2967">
        <f t="shared" si="16"/>
        <v>122</v>
      </c>
      <c r="E56" s="2967">
        <v>124</v>
      </c>
      <c r="F56" s="2968">
        <v>107</v>
      </c>
      <c r="G56" s="3750">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1">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2759</v>
      </c>
      <c r="B58" s="2933">
        <f t="shared" si="50"/>
        <v>116.99099099099099</v>
      </c>
      <c r="C58" s="2933">
        <f t="shared" si="50"/>
        <v>118.84848484848486</v>
      </c>
      <c r="D58" s="2933">
        <f t="shared" si="16"/>
        <v>118.84848484848486</v>
      </c>
      <c r="E58" s="2933">
        <f t="shared" si="51"/>
        <v>117.60960960960961</v>
      </c>
      <c r="F58" s="2933">
        <f t="shared" si="51"/>
        <v>104</v>
      </c>
      <c r="G58" s="3751">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8" thickBot="1">
      <c r="A59" s="2913" t="s">
        <v>2760</v>
      </c>
      <c r="B59" s="2970">
        <f t="shared" si="50"/>
        <v>112.48648648648648</v>
      </c>
      <c r="C59" s="2970">
        <f t="shared" si="50"/>
        <v>115.21212121212122</v>
      </c>
      <c r="D59" s="2970">
        <f t="shared" si="16"/>
        <v>115.21212121212122</v>
      </c>
      <c r="E59" s="2970">
        <f t="shared" si="51"/>
        <v>110.4024024024024</v>
      </c>
      <c r="F59" s="2970">
        <f t="shared" si="51"/>
        <v>104</v>
      </c>
      <c r="G59" s="3752">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8" thickBot="1">
      <c r="A60" s="2913" t="s">
        <v>2761</v>
      </c>
      <c r="B60" s="2988">
        <v>111</v>
      </c>
      <c r="C60" s="2988">
        <v>114</v>
      </c>
      <c r="D60" s="2988">
        <f t="shared" si="16"/>
        <v>114</v>
      </c>
      <c r="E60" s="2988">
        <v>108</v>
      </c>
      <c r="F60" s="2989">
        <v>104</v>
      </c>
      <c r="G60" s="3750">
        <v>2003</v>
      </c>
      <c r="H60" s="2978">
        <v>4</v>
      </c>
      <c r="I60" s="2990"/>
      <c r="J60" s="2990"/>
      <c r="K60" s="2990"/>
      <c r="L60" s="2990"/>
      <c r="N60" s="2991"/>
      <c r="O60" s="2990"/>
      <c r="P60" s="2990"/>
      <c r="Q60" s="2990"/>
      <c r="S60" s="2991"/>
      <c r="T60" s="2990"/>
      <c r="U60" s="2990"/>
      <c r="V60" s="2990"/>
      <c r="X60" s="2982"/>
      <c r="Y60" s="2982"/>
      <c r="Z60" s="2982"/>
    </row>
    <row r="61" spans="1:26">
      <c r="A61" s="2913" t="s">
        <v>2762</v>
      </c>
      <c r="B61" s="2992">
        <f t="shared" ref="B61:C63" si="52">B62+(B$60-B$64)/4</f>
        <v>109.75</v>
      </c>
      <c r="C61" s="2992">
        <f t="shared" si="52"/>
        <v>112.25</v>
      </c>
      <c r="D61" s="2992">
        <f t="shared" si="16"/>
        <v>112.25</v>
      </c>
      <c r="E61" s="2992">
        <f t="shared" ref="E61:F63" si="53">E62+(E$60-E$64)/4</f>
        <v>107.25</v>
      </c>
      <c r="F61" s="2992">
        <f t="shared" si="53"/>
        <v>103.5</v>
      </c>
      <c r="G61" s="3751">
        <v>2003</v>
      </c>
      <c r="H61" s="2943">
        <v>3</v>
      </c>
      <c r="I61" s="2990"/>
      <c r="J61" s="2990"/>
      <c r="K61" s="2990"/>
      <c r="L61" s="2990"/>
      <c r="X61" s="2982"/>
      <c r="Y61" s="2982"/>
      <c r="Z61" s="2982"/>
    </row>
    <row r="62" spans="1:26">
      <c r="A62" s="2913" t="s">
        <v>2763</v>
      </c>
      <c r="B62" s="2992">
        <f t="shared" si="52"/>
        <v>108.5</v>
      </c>
      <c r="C62" s="2992">
        <f t="shared" si="52"/>
        <v>110.5</v>
      </c>
      <c r="D62" s="2992">
        <f t="shared" si="16"/>
        <v>110.5</v>
      </c>
      <c r="E62" s="2992">
        <f t="shared" si="53"/>
        <v>106.5</v>
      </c>
      <c r="F62" s="2992">
        <f t="shared" si="53"/>
        <v>103</v>
      </c>
      <c r="G62" s="3751">
        <v>2003</v>
      </c>
      <c r="H62" s="2919">
        <v>2</v>
      </c>
      <c r="I62" s="2990"/>
      <c r="J62" s="2990"/>
      <c r="K62" s="2990"/>
      <c r="L62" s="2990"/>
      <c r="X62" s="2982"/>
      <c r="Y62" s="2982"/>
      <c r="Z62" s="2982"/>
    </row>
    <row r="63" spans="1:26" ht="13.8" thickBot="1">
      <c r="A63" s="2913" t="s">
        <v>2764</v>
      </c>
      <c r="B63" s="2992">
        <f t="shared" si="52"/>
        <v>107.25</v>
      </c>
      <c r="C63" s="2992">
        <f t="shared" si="52"/>
        <v>108.75</v>
      </c>
      <c r="D63" s="2992">
        <f t="shared" si="16"/>
        <v>108.75</v>
      </c>
      <c r="E63" s="2992">
        <f t="shared" si="53"/>
        <v>105.75</v>
      </c>
      <c r="F63" s="2992">
        <f t="shared" si="53"/>
        <v>102.5</v>
      </c>
      <c r="G63" s="3752">
        <v>2003</v>
      </c>
      <c r="H63" s="2993">
        <v>1</v>
      </c>
      <c r="I63" s="2990"/>
      <c r="J63" s="2990"/>
      <c r="K63" s="2990"/>
      <c r="L63" s="2990"/>
      <c r="S63" s="2928"/>
      <c r="T63" s="2929"/>
      <c r="U63" s="2929"/>
      <c r="X63" s="2982"/>
      <c r="Y63" s="2982"/>
      <c r="Z63" s="2982"/>
    </row>
    <row r="64" spans="1:26" ht="13.8" thickBot="1">
      <c r="A64" s="2913" t="s">
        <v>2765</v>
      </c>
      <c r="B64" s="2994">
        <v>106</v>
      </c>
      <c r="C64" s="2994">
        <v>107</v>
      </c>
      <c r="D64" s="2994">
        <f t="shared" si="16"/>
        <v>107</v>
      </c>
      <c r="E64" s="2994">
        <v>105</v>
      </c>
      <c r="F64" s="2995">
        <v>102</v>
      </c>
      <c r="G64" s="3750">
        <v>2002</v>
      </c>
      <c r="H64" s="2938">
        <v>4</v>
      </c>
      <c r="I64" s="2990"/>
      <c r="J64" s="2990"/>
      <c r="K64" s="2990"/>
      <c r="L64" s="2990"/>
      <c r="N64" s="2991"/>
      <c r="O64" s="2990"/>
      <c r="P64" s="2990"/>
      <c r="Q64" s="2990"/>
      <c r="S64" s="2991"/>
      <c r="T64" s="2990"/>
      <c r="U64" s="2990"/>
      <c r="V64" s="2990"/>
      <c r="X64" s="2982"/>
      <c r="Y64" s="2982"/>
      <c r="Z64" s="2982"/>
    </row>
    <row r="65" spans="1:26">
      <c r="A65" s="2913" t="s">
        <v>2766</v>
      </c>
      <c r="B65" s="2992">
        <f t="shared" ref="B65:C67" si="54">B66+(B$64-B$68)/4</f>
        <v>105</v>
      </c>
      <c r="C65" s="2992">
        <f t="shared" si="54"/>
        <v>106</v>
      </c>
      <c r="D65" s="2992">
        <f t="shared" si="16"/>
        <v>106</v>
      </c>
      <c r="E65" s="2992">
        <f t="shared" ref="E65:F67" si="55">E66+(E$64-E$68)/4</f>
        <v>104.5</v>
      </c>
      <c r="F65" s="2992">
        <f t="shared" si="55"/>
        <v>101.5</v>
      </c>
      <c r="G65" s="3751">
        <v>2002</v>
      </c>
      <c r="H65" s="2943">
        <v>3</v>
      </c>
      <c r="I65" s="2990"/>
      <c r="J65" s="2990"/>
      <c r="K65" s="2990"/>
      <c r="L65" s="2990"/>
      <c r="X65" s="2982"/>
      <c r="Y65" s="2982"/>
      <c r="Z65" s="2982"/>
    </row>
    <row r="66" spans="1:26">
      <c r="A66" s="2913" t="s">
        <v>2767</v>
      </c>
      <c r="B66" s="2992">
        <f t="shared" si="54"/>
        <v>104</v>
      </c>
      <c r="C66" s="2992">
        <f t="shared" si="54"/>
        <v>105</v>
      </c>
      <c r="D66" s="2992">
        <f t="shared" si="16"/>
        <v>105</v>
      </c>
      <c r="E66" s="2992">
        <f t="shared" si="55"/>
        <v>104</v>
      </c>
      <c r="F66" s="2992">
        <f t="shared" si="55"/>
        <v>101</v>
      </c>
      <c r="G66" s="3751">
        <v>2002</v>
      </c>
      <c r="H66" s="2919">
        <v>2</v>
      </c>
      <c r="I66" s="2990"/>
      <c r="J66" s="2990"/>
      <c r="K66" s="2990"/>
      <c r="L66" s="2990"/>
      <c r="X66" s="2982"/>
      <c r="Y66" s="2982"/>
      <c r="Z66" s="2982"/>
    </row>
    <row r="67" spans="1:26" s="2954" customFormat="1" ht="13.8" thickBot="1">
      <c r="A67" s="2950" t="s">
        <v>2768</v>
      </c>
      <c r="B67" s="2996">
        <f t="shared" si="54"/>
        <v>103</v>
      </c>
      <c r="C67" s="2996">
        <f t="shared" si="54"/>
        <v>104</v>
      </c>
      <c r="D67" s="2996">
        <f t="shared" si="16"/>
        <v>104</v>
      </c>
      <c r="E67" s="2996">
        <f t="shared" si="55"/>
        <v>103.5</v>
      </c>
      <c r="F67" s="2996">
        <f t="shared" si="55"/>
        <v>100.5</v>
      </c>
      <c r="G67" s="3752">
        <v>2002</v>
      </c>
      <c r="H67" s="2997">
        <v>1</v>
      </c>
      <c r="I67" s="2998"/>
      <c r="J67" s="2998"/>
      <c r="K67" s="2998"/>
      <c r="L67" s="2998"/>
      <c r="N67" s="2999"/>
      <c r="S67" s="2999"/>
      <c r="X67" s="3000"/>
      <c r="Y67" s="3000"/>
      <c r="Z67" s="3000"/>
    </row>
    <row r="68" spans="1:26" ht="13.8"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2769</v>
      </c>
      <c r="G70" s="3006"/>
      <c r="N70" s="3006"/>
      <c r="S70" s="3006"/>
    </row>
    <row r="71" spans="1:26" s="3005" customFormat="1">
      <c r="A71" s="3005" t="s">
        <v>2770</v>
      </c>
      <c r="G71" s="3006"/>
      <c r="N71" s="3006"/>
      <c r="S71" s="3006"/>
    </row>
    <row r="72" spans="1:26" s="3005" customFormat="1">
      <c r="A72" s="3005" t="s">
        <v>2771</v>
      </c>
      <c r="G72" s="3006"/>
      <c r="I72" s="3007"/>
      <c r="J72" s="3007"/>
      <c r="K72" s="3007"/>
      <c r="L72" s="3007"/>
      <c r="N72" s="3008"/>
      <c r="O72" s="3007"/>
      <c r="P72" s="3007"/>
      <c r="Q72" s="3007"/>
      <c r="S72" s="3008"/>
      <c r="T72" s="3007"/>
      <c r="U72" s="3007"/>
      <c r="V72" s="3007"/>
    </row>
    <row r="73" spans="1:26" s="3005" customFormat="1">
      <c r="A73" s="3005" t="s">
        <v>2772</v>
      </c>
      <c r="G73" s="3006"/>
      <c r="N73" s="3006"/>
      <c r="S73" s="3006"/>
    </row>
    <row r="80" spans="1:26" ht="13.8" thickBot="1"/>
    <row r="81" spans="14:22" s="2927" customFormat="1">
      <c r="N81" s="2942"/>
      <c r="S81" s="3009" t="s">
        <v>2773</v>
      </c>
      <c r="T81" s="3010" t="s">
        <v>2774</v>
      </c>
      <c r="U81" s="3010" t="s">
        <v>2775</v>
      </c>
      <c r="V81" s="3010" t="s">
        <v>2776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8"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ColWidth="9" defaultRowHeight="13.2"/>
  <cols>
    <col min="1" max="1" width="11.44140625" style="469" customWidth="1"/>
    <col min="2" max="2" width="9.2187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3" t="s">
        <v>2379</v>
      </c>
      <c r="D1" s="3764"/>
      <c r="E1" s="3764"/>
      <c r="F1" s="3764"/>
      <c r="G1" s="3764"/>
      <c r="H1" s="3764"/>
      <c r="I1" s="3764"/>
      <c r="J1" s="3764"/>
      <c r="K1" s="3764"/>
      <c r="L1" s="3764"/>
      <c r="M1" s="3764"/>
      <c r="N1" s="3764"/>
      <c r="O1" s="3764"/>
      <c r="P1" s="3764"/>
      <c r="Q1" s="3764"/>
      <c r="R1" s="3764"/>
      <c r="S1" s="3765"/>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8"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3019</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8"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3018</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8"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3017</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8"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3016</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8"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3015</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8"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3014</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8"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8"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3052</v>
      </c>
      <c r="E19" s="3348"/>
      <c r="F19" s="3348"/>
      <c r="G19" s="3348"/>
      <c r="H19" s="2536"/>
      <c r="I19" s="499"/>
      <c r="J19" s="499"/>
      <c r="K19" s="499"/>
      <c r="L19" s="499"/>
      <c r="M19" s="499"/>
      <c r="N19" s="499"/>
      <c r="O19" s="499"/>
      <c r="P19" s="499"/>
      <c r="Q19" s="499"/>
      <c r="R19" s="1414"/>
      <c r="S19" s="468"/>
    </row>
    <row r="20" spans="1:45" ht="16.2" thickBot="1">
      <c r="A20" s="1122" t="s">
        <v>519</v>
      </c>
      <c r="B20" s="672" t="e">
        <f ca="1">IF(D20="——",S22,S22-F20)</f>
        <v>#REF!</v>
      </c>
      <c r="C20" s="499"/>
      <c r="D20" s="3349" t="s">
        <v>3053</v>
      </c>
      <c r="E20" s="3350"/>
      <c r="F20" s="2439" t="e">
        <f ca="1">SUMIF(INDIRECT("'"&amp;H20&amp;"'"&amp;"!A:A"),"承租人权益价值",INDIRECT("'"&amp;H20&amp;"'"&amp;"!c:c"))</f>
        <v>#REF!</v>
      </c>
      <c r="G20" s="3351" t="s">
        <v>3040</v>
      </c>
      <c r="H20" s="3352"/>
      <c r="I20" s="499"/>
      <c r="J20" s="499"/>
      <c r="K20" s="499"/>
      <c r="L20" s="499"/>
      <c r="M20" s="499"/>
      <c r="N20" s="499"/>
      <c r="O20" s="499"/>
      <c r="P20" s="499"/>
      <c r="Q20" s="499"/>
      <c r="R20" s="1414"/>
      <c r="S20" s="468"/>
    </row>
    <row r="21" spans="1:45" ht="15.6">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60" t="s">
        <v>169</v>
      </c>
      <c r="D22" s="3761"/>
      <c r="E22" s="3761"/>
      <c r="F22" s="3761"/>
      <c r="G22" s="3761"/>
      <c r="H22" s="3761"/>
      <c r="I22" s="3761"/>
      <c r="J22" s="3761"/>
      <c r="K22" s="3761"/>
      <c r="L22" s="3761"/>
      <c r="M22" s="3761"/>
      <c r="N22" s="3761"/>
      <c r="O22" s="3761"/>
      <c r="P22" s="3761"/>
      <c r="Q22" s="3762"/>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ColWidth="9" defaultRowHeight="14.4"/>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2026</v>
      </c>
      <c r="B1" s="1961"/>
      <c r="C1" s="1961"/>
      <c r="D1" s="1961"/>
      <c r="E1" s="1961"/>
    </row>
    <row r="2" spans="1:5" ht="78" customHeight="1">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6"/>
      <c r="C2" s="3396"/>
      <c r="D2" s="3396"/>
      <c r="E2" s="3396"/>
    </row>
    <row r="3" spans="1:5" ht="17.399999999999999">
      <c r="A3" s="3397" t="str">
        <f>IF(项目基本情况!B9="房地产市场价值","估价结果一览表（市场价值不需“结果表-1”）","估价结果一览表")</f>
        <v>估价结果一览表</v>
      </c>
      <c r="B3" s="3397"/>
      <c r="C3" s="3397"/>
      <c r="D3" s="3397"/>
      <c r="E3" s="3397"/>
    </row>
    <row r="4" spans="1:5" ht="18" thickBot="1">
      <c r="A4" s="1973"/>
      <c r="B4" s="3395" t="s">
        <v>2031</v>
      </c>
      <c r="C4" s="3395"/>
      <c r="D4" s="3395"/>
      <c r="E4" s="1973"/>
    </row>
    <row r="5" spans="1:5" ht="16.2" thickTop="1">
      <c r="A5" s="1961"/>
      <c r="B5" s="3393" t="s">
        <v>2027</v>
      </c>
      <c r="C5" s="1963" t="s">
        <v>2032</v>
      </c>
      <c r="D5" s="1964">
        <f ca="1">结果表!H101</f>
        <v>65546</v>
      </c>
      <c r="E5" s="1961"/>
    </row>
    <row r="6" spans="1:5" ht="15.6">
      <c r="A6" s="1961"/>
      <c r="B6" s="3393"/>
      <c r="C6" s="1963" t="s">
        <v>2866</v>
      </c>
      <c r="D6" s="1964" t="str">
        <f ca="1">NUMBERSTRING(INT(D5*10000),2)&amp;"元整"</f>
        <v>陆亿伍仟伍佰肆拾陆万元整</v>
      </c>
      <c r="E6" s="1961"/>
    </row>
    <row r="7" spans="1:5" ht="15.6">
      <c r="A7" s="1961"/>
      <c r="B7" s="3398"/>
      <c r="C7" s="1965" t="s">
        <v>2033</v>
      </c>
      <c r="D7" s="1966">
        <f ca="1">结果表!H102</f>
        <v>3701</v>
      </c>
      <c r="E7" s="1961"/>
    </row>
    <row r="8" spans="1:5" ht="15.6">
      <c r="A8" s="1961"/>
      <c r="B8" s="3399" t="str">
        <f>结果表!E103</f>
        <v>2.估价师知悉的法定优先受偿款</v>
      </c>
      <c r="C8" s="1967" t="s">
        <v>2034</v>
      </c>
      <c r="D8" s="1966">
        <f>结果表!H103</f>
        <v>0</v>
      </c>
      <c r="E8" s="1961"/>
    </row>
    <row r="9" spans="1:5" ht="15.6">
      <c r="A9" s="1961"/>
      <c r="B9" s="3401"/>
      <c r="C9" s="1963" t="s">
        <v>2866</v>
      </c>
      <c r="D9" s="1964" t="str">
        <f>NUMBERSTRING(INT(D8*10000),2)&amp;"元整"</f>
        <v>零元整</v>
      </c>
      <c r="E9" s="1961"/>
    </row>
    <row r="10" spans="1:5" ht="15.6">
      <c r="A10" s="1961"/>
      <c r="B10" s="1968" t="s">
        <v>2028</v>
      </c>
      <c r="C10" s="1969" t="s">
        <v>2034</v>
      </c>
      <c r="D10" s="1970">
        <f>结果表!H104</f>
        <v>0</v>
      </c>
      <c r="E10" s="1961"/>
    </row>
    <row r="11" spans="1:5" ht="15.6">
      <c r="A11" s="1961"/>
      <c r="B11" s="1968" t="s">
        <v>2029</v>
      </c>
      <c r="C11" s="1969" t="s">
        <v>2034</v>
      </c>
      <c r="D11" s="1970">
        <f>结果表!H105</f>
        <v>0</v>
      </c>
      <c r="E11" s="1961"/>
    </row>
    <row r="12" spans="1:5" ht="15.6">
      <c r="A12" s="1961"/>
      <c r="B12" s="1968" t="s">
        <v>2030</v>
      </c>
      <c r="C12" s="1969" t="s">
        <v>2034</v>
      </c>
      <c r="D12" s="1970">
        <f>结果表!H106</f>
        <v>0</v>
      </c>
      <c r="E12" s="1961"/>
    </row>
    <row r="13" spans="1:5" ht="15.6">
      <c r="A13" s="1961"/>
      <c r="B13" s="3392" t="str">
        <f>结果表!E107</f>
        <v>3.房地产抵押价值</v>
      </c>
      <c r="C13" s="1971" t="s">
        <v>2032</v>
      </c>
      <c r="D13" s="1974">
        <f ca="1">结果表!H107</f>
        <v>65546</v>
      </c>
      <c r="E13" s="1961"/>
    </row>
    <row r="14" spans="1:5" ht="15.6">
      <c r="A14" s="1961"/>
      <c r="B14" s="3393"/>
      <c r="C14" s="1963" t="s">
        <v>2866</v>
      </c>
      <c r="D14" s="1964" t="str">
        <f ca="1">NUMBERSTRING(INT(D13*10000),2)&amp;"元整"</f>
        <v>陆亿伍仟伍佰肆拾陆万元整</v>
      </c>
      <c r="E14" s="1961"/>
    </row>
    <row r="15" spans="1:5" ht="15.6">
      <c r="A15" s="1961"/>
      <c r="B15" s="3398"/>
      <c r="C15" s="1965" t="s">
        <v>2033</v>
      </c>
      <c r="D15" s="2076">
        <f ca="1">结果表!H108</f>
        <v>3701</v>
      </c>
      <c r="E15" s="1961"/>
    </row>
    <row r="16" spans="1:5" ht="15.6">
      <c r="A16" s="1961"/>
      <c r="B16" s="3399" t="str">
        <f>结果表!E109</f>
        <v>——</v>
      </c>
      <c r="C16" s="1971" t="s">
        <v>2032</v>
      </c>
      <c r="D16" s="2077" t="str">
        <f>结果表!H109</f>
        <v>——</v>
      </c>
      <c r="E16" s="1961"/>
    </row>
    <row r="17" spans="1:5" ht="15.6">
      <c r="A17" s="1961"/>
      <c r="B17" s="3400"/>
      <c r="C17" s="1963" t="s">
        <v>2866</v>
      </c>
      <c r="D17" s="1964" t="e">
        <f>NUMBERSTRING(INT(D16*10000),2)&amp;"元整"</f>
        <v>#VALUE!</v>
      </c>
      <c r="E17" s="1961"/>
    </row>
    <row r="18" spans="1:5" ht="15.6">
      <c r="A18" s="1961"/>
      <c r="B18" s="3401"/>
      <c r="C18" s="1965" t="s">
        <v>2033</v>
      </c>
      <c r="D18" s="2076" t="str">
        <f>结果表!H110</f>
        <v>——</v>
      </c>
      <c r="E18" s="1961"/>
    </row>
    <row r="19" spans="1:5" ht="15.6">
      <c r="A19" s="1961"/>
      <c r="B19" s="3392" t="str">
        <f>结果表!E111</f>
        <v>——</v>
      </c>
      <c r="C19" s="1971" t="s">
        <v>2032</v>
      </c>
      <c r="D19" s="1966" t="str">
        <f>结果表!H111</f>
        <v>——</v>
      </c>
      <c r="E19" s="1961"/>
    </row>
    <row r="20" spans="1:5" ht="15.6">
      <c r="A20" s="1961"/>
      <c r="B20" s="3393"/>
      <c r="C20" s="1963" t="s">
        <v>2866</v>
      </c>
      <c r="D20" s="1964" t="e">
        <f>NUMBERSTRING(INT(D19*10000),2)&amp;"元整"</f>
        <v>#VALUE!</v>
      </c>
      <c r="E20" s="1961"/>
    </row>
    <row r="21" spans="1:5" ht="16.2" thickBot="1">
      <c r="A21" s="1961"/>
      <c r="B21" s="3394"/>
      <c r="C21" s="2078" t="s">
        <v>2033</v>
      </c>
      <c r="D21" s="2079" t="str">
        <f>结果表!H112</f>
        <v>——</v>
      </c>
      <c r="E21" s="1961"/>
    </row>
    <row r="22" spans="1:5" ht="15" thickTop="1">
      <c r="A22" s="1961"/>
      <c r="B22" s="1972" t="s">
        <v>2057</v>
      </c>
      <c r="C22" s="1961"/>
      <c r="D22" s="1961"/>
      <c r="E22" s="1961"/>
    </row>
    <row r="23" spans="1:5">
      <c r="A23" s="1961"/>
      <c r="B23" s="1961"/>
      <c r="C23" s="1961"/>
      <c r="D23" s="1961"/>
      <c r="E23" s="1961"/>
    </row>
    <row r="24" spans="1:5" ht="17.399999999999999">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44" customWidth="1"/>
    <col min="2" max="2" width="29.21875" style="626" customWidth="1"/>
    <col min="3" max="3" width="12.109375" style="626" customWidth="1"/>
    <col min="4" max="5" width="11.21875" style="647" customWidth="1"/>
    <col min="6" max="6" width="9.44140625" style="626" customWidth="1"/>
    <col min="7" max="7" width="31.88671875" style="626" customWidth="1"/>
    <col min="8" max="254" width="9" style="626" customWidth="1"/>
    <col min="255" max="16384" width="8.33203125" style="626"/>
  </cols>
  <sheetData>
    <row r="1" spans="1:7" s="575" customFormat="1" ht="21">
      <c r="A1" s="571" t="s">
        <v>814</v>
      </c>
      <c r="B1" s="572"/>
      <c r="C1" s="573"/>
      <c r="D1" s="573"/>
      <c r="E1" s="573"/>
      <c r="F1" s="573"/>
      <c r="G1" s="574"/>
    </row>
    <row r="2" spans="1:7" s="575" customFormat="1" ht="18" customHeight="1">
      <c r="A2" s="576" t="s">
        <v>815</v>
      </c>
      <c r="B2" s="577">
        <f ca="1">C52</f>
        <v>72560</v>
      </c>
      <c r="C2" s="85" t="s">
        <v>864</v>
      </c>
      <c r="D2" s="574"/>
      <c r="E2" s="574"/>
      <c r="F2" s="574"/>
      <c r="G2" s="574"/>
    </row>
    <row r="3" spans="1:7" s="575" customFormat="1" ht="18" customHeight="1" thickBot="1">
      <c r="A3" s="578" t="s">
        <v>816</v>
      </c>
      <c r="B3" s="579">
        <f ca="1">ROUND(B2*10000/'数据-汇总表'!E3,0)</f>
        <v>4097</v>
      </c>
      <c r="C3" s="85" t="s">
        <v>865</v>
      </c>
      <c r="D3" s="574"/>
      <c r="E3" s="574"/>
      <c r="F3" s="574"/>
      <c r="G3" s="574"/>
    </row>
    <row r="4" spans="1:7" s="583" customFormat="1" ht="16.2">
      <c r="A4" s="580" t="s">
        <v>817</v>
      </c>
      <c r="B4" s="581"/>
      <c r="C4" s="581"/>
      <c r="D4" s="581"/>
      <c r="E4" s="581"/>
      <c r="F4" s="581"/>
      <c r="G4" s="582"/>
    </row>
    <row r="5" spans="1:7" s="589" customFormat="1" ht="13.5" customHeight="1">
      <c r="A5" s="630" t="s">
        <v>2500</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2677</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3365</v>
      </c>
      <c r="D10" s="1906">
        <f>'数据-汇总表'!E6</f>
        <v>177117.85000000003</v>
      </c>
      <c r="E10" s="600">
        <f>'数据-取费表'!B28</f>
        <v>190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f>IF(G19="已包含在土地取得成本中","0",ROUND(D19*E19/10000,0))</f>
        <v>3542</v>
      </c>
      <c r="D19" s="1910">
        <f>'数据-汇总表'!E3</f>
        <v>177117.85000000003</v>
      </c>
      <c r="E19" s="586">
        <f>'数据-取费表'!B31</f>
        <v>200</v>
      </c>
      <c r="F19" s="606"/>
      <c r="G19" s="84" t="s">
        <v>2523</v>
      </c>
    </row>
    <row r="20" spans="1:7" s="589" customFormat="1" ht="13.5" customHeight="1">
      <c r="A20" s="1800" t="s">
        <v>2503</v>
      </c>
      <c r="B20" s="585" t="s">
        <v>835</v>
      </c>
      <c r="C20" s="607">
        <f>ROUND((C5+C19)*F20,0)</f>
        <v>483</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1517</v>
      </c>
      <c r="D22" s="610">
        <f ca="1">C26</f>
        <v>2.9999999999999997E-4</v>
      </c>
      <c r="E22" s="611" t="s">
        <v>857</v>
      </c>
      <c r="F22" s="612">
        <f ca="1">'数据-取费表'!B40</f>
        <v>4.7500000000000001E-2</v>
      </c>
      <c r="G22" s="2618" t="str">
        <f>IF('数据-取费表'!B22&lt;=1,"单利计息","复利计息")</f>
        <v>复利计息</v>
      </c>
    </row>
    <row r="23" spans="1:7" s="589" customFormat="1" ht="13.5" customHeight="1">
      <c r="A23" s="1803" t="s">
        <v>1923</v>
      </c>
      <c r="B23" s="590" t="s">
        <v>2507</v>
      </c>
      <c r="C23" s="2698">
        <f ca="1">ROUND(IF('数据-取费表'!B22&lt;=1,C5*F22*'数据-取费表'!B23,C5*(POWER((1+F22),'数据-取费表'!B23)-1)),0)</f>
        <v>1282</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220</v>
      </c>
      <c r="D24" s="613"/>
      <c r="E24" s="613"/>
      <c r="F24" s="614"/>
      <c r="G24" s="615" t="s">
        <v>840</v>
      </c>
    </row>
    <row r="25" spans="1:7" s="589" customFormat="1" ht="24">
      <c r="A25" s="1803" t="s">
        <v>1922</v>
      </c>
      <c r="B25" s="590" t="s">
        <v>2504</v>
      </c>
      <c r="C25" s="2698">
        <f ca="1">ROUND(IF('数据-取费表'!B22&lt;=1,C20*F22*'数据-取费表'!B23/2,C20*(POWER((1+F22),'数据-取费表'!B23/2)-1)),0)</f>
        <v>15</v>
      </c>
      <c r="D25" s="613"/>
      <c r="E25" s="616"/>
      <c r="F25" s="614"/>
      <c r="G25" s="617" t="s">
        <v>841</v>
      </c>
    </row>
    <row r="26" spans="1:7" s="589" customFormat="1">
      <c r="A26" s="1803" t="s">
        <v>1924</v>
      </c>
      <c r="B26" s="590" t="s">
        <v>2506</v>
      </c>
      <c r="C26" s="613">
        <f ca="1">ROUND(IF('数据-取费表'!B22&lt;=1,F21*F22*'数据-取费表'!B23/2,F21*(POWER((1+F22),'数据-取费表'!B23/2)-1)),4)</f>
        <v>2.9999999999999997E-4</v>
      </c>
      <c r="D26" s="613"/>
      <c r="E26" s="616"/>
      <c r="F26" s="614"/>
      <c r="G26" s="618"/>
    </row>
    <row r="27" spans="1:7" s="589" customFormat="1" ht="26.4">
      <c r="A27" s="1800" t="s">
        <v>1916</v>
      </c>
      <c r="B27" s="619" t="s">
        <v>843</v>
      </c>
      <c r="C27" s="620">
        <f>C28</f>
        <v>1601</v>
      </c>
      <c r="D27" s="610">
        <f>C29</f>
        <v>6.9999999999999999E-4</v>
      </c>
      <c r="E27" s="611" t="s">
        <v>857</v>
      </c>
      <c r="F27" s="621">
        <f>'数据-取费表'!Q16</f>
        <v>0.1</v>
      </c>
      <c r="G27" s="622" t="s">
        <v>2515</v>
      </c>
    </row>
    <row r="28" spans="1:7" s="589" customFormat="1" ht="13.5" customHeight="1">
      <c r="A28" s="1803" t="s">
        <v>1923</v>
      </c>
      <c r="B28" s="623" t="s">
        <v>2508</v>
      </c>
      <c r="C28" s="624">
        <f>ROUND((C5+C19+C20)*F27*'数据-取费表'!B21/'数据-取费表'!B20,0)</f>
        <v>1601</v>
      </c>
      <c r="D28" s="610"/>
      <c r="E28" s="611"/>
      <c r="F28" s="621"/>
      <c r="G28" s="622"/>
    </row>
    <row r="29" spans="1:7" s="589" customFormat="1" ht="13.5" customHeight="1">
      <c r="A29" s="1803" t="s">
        <v>1921</v>
      </c>
      <c r="B29" s="623" t="s">
        <v>2509</v>
      </c>
      <c r="C29" s="613">
        <f>ROUND(C21*F27*'数据-取费表'!B21/'数据-取费表'!B20,4)</f>
        <v>6.9999999999999999E-4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29631</v>
      </c>
      <c r="D31" s="605"/>
      <c r="E31" s="586"/>
      <c r="F31" s="625"/>
      <c r="G31" s="609" t="s">
        <v>2516</v>
      </c>
    </row>
    <row r="32" spans="1:7" s="583" customFormat="1" ht="16.2">
      <c r="A32" s="627" t="s">
        <v>845</v>
      </c>
      <c r="B32" s="628"/>
      <c r="C32" s="628"/>
      <c r="D32" s="628"/>
      <c r="E32" s="628"/>
      <c r="F32" s="628"/>
      <c r="G32" s="629"/>
    </row>
    <row r="33" spans="1:7" s="589" customFormat="1" ht="13.5" customHeight="1">
      <c r="A33" s="630" t="s">
        <v>1911</v>
      </c>
      <c r="B33" s="585" t="s">
        <v>846</v>
      </c>
      <c r="C33" s="631">
        <f>SUM(C34:C38)</f>
        <v>34855</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31150</v>
      </c>
      <c r="D34" s="592"/>
      <c r="E34" s="595"/>
      <c r="F34" s="632">
        <f>IF('数据-取费表'!B24=0,1,'数据-取费表'!N16)</f>
        <v>0.65</v>
      </c>
      <c r="G34" s="594" t="s">
        <v>847</v>
      </c>
    </row>
    <row r="35" spans="1:7" ht="13.5" customHeight="1">
      <c r="A35" s="1803" t="s">
        <v>1925</v>
      </c>
      <c r="B35" s="590" t="s">
        <v>348</v>
      </c>
      <c r="C35" s="595">
        <f>ROUND(C34*F35,0)</f>
        <v>935</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2303</v>
      </c>
      <c r="D37" s="592">
        <f>'数据-汇总表'!E3</f>
        <v>177117.85000000003</v>
      </c>
      <c r="E37" s="624">
        <f>'数据-取费表'!B35</f>
        <v>200</v>
      </c>
      <c r="F37" s="634"/>
      <c r="G37" s="636" t="s">
        <v>850</v>
      </c>
    </row>
    <row r="38" spans="1:7" ht="13.5" customHeight="1">
      <c r="A38" s="1803" t="s">
        <v>1928</v>
      </c>
      <c r="B38" s="590" t="s">
        <v>351</v>
      </c>
      <c r="C38" s="595">
        <f>ROUND(C34*F38,0)</f>
        <v>467</v>
      </c>
      <c r="D38" s="595"/>
      <c r="E38" s="595"/>
      <c r="F38" s="634">
        <f>'数据-取费表'!B36</f>
        <v>1.4999999999999999E-2</v>
      </c>
      <c r="G38" s="594" t="s">
        <v>848</v>
      </c>
    </row>
    <row r="39" spans="1:7" s="589" customFormat="1" ht="13.5" customHeight="1">
      <c r="A39" s="1800" t="s">
        <v>1912</v>
      </c>
      <c r="B39" s="585" t="s">
        <v>835</v>
      </c>
      <c r="C39" s="607">
        <f>ROUND(C33*F20,0)</f>
        <v>697</v>
      </c>
      <c r="D39" s="607"/>
      <c r="E39" s="607"/>
      <c r="F39" s="608"/>
      <c r="G39" s="2618" t="s">
        <v>2517</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1088</v>
      </c>
      <c r="D41" s="610">
        <f ca="1">C44</f>
        <v>2.9999999999999997E-4</v>
      </c>
      <c r="E41" s="611" t="s">
        <v>860</v>
      </c>
      <c r="F41" s="612"/>
      <c r="G41" s="2618" t="str">
        <f>IF('数据-取费表'!B22&lt;=1,"单利计息","复利计息")</f>
        <v>复利计息</v>
      </c>
    </row>
    <row r="42" spans="1:7" ht="13.5" customHeight="1">
      <c r="A42" s="1803" t="s">
        <v>1923</v>
      </c>
      <c r="B42" s="590" t="s">
        <v>2507</v>
      </c>
      <c r="C42" s="613">
        <f ca="1">ROUND(IF('数据-取费表'!B22&lt;=1,C33*F22*'数据-取费表'!B21/2,C33*(POWER((1+F22),'数据-取费表'!B21/2)-1)),0)</f>
        <v>1067</v>
      </c>
      <c r="D42" s="613"/>
      <c r="E42" s="613"/>
      <c r="F42" s="614"/>
      <c r="G42" s="3584" t="s">
        <v>852</v>
      </c>
    </row>
    <row r="43" spans="1:7" ht="13.5" customHeight="1">
      <c r="A43" s="1803" t="s">
        <v>1921</v>
      </c>
      <c r="B43" s="590" t="s">
        <v>2510</v>
      </c>
      <c r="C43" s="613">
        <f ca="1">ROUND(IF('数据-取费表'!B22&lt;=1,C39*F22*'数据-取费表'!B21/2,C39*(POWER((1+F22),'数据-取费表'!B21/2)-1)),0)</f>
        <v>21</v>
      </c>
      <c r="D43" s="613"/>
      <c r="E43" s="613"/>
      <c r="F43" s="614"/>
      <c r="G43" s="3585"/>
    </row>
    <row r="44" spans="1:7" ht="13.5" customHeight="1">
      <c r="A44" s="1803" t="s">
        <v>1922</v>
      </c>
      <c r="B44" s="590" t="s">
        <v>2512</v>
      </c>
      <c r="C44" s="613">
        <f ca="1">ROUND(IF('数据-取费表'!B22&lt;=1,C40*F22*'数据-取费表'!B21/2,C40*(POWER((1+F22),'数据-取费表'!B21/2)-1)),4)</f>
        <v>2.9999999999999997E-4</v>
      </c>
      <c r="D44" s="613"/>
      <c r="E44" s="613"/>
      <c r="F44" s="614"/>
      <c r="G44" s="3586"/>
    </row>
    <row r="45" spans="1:7" s="589" customFormat="1" ht="13.5" customHeight="1">
      <c r="A45" s="1800" t="s">
        <v>1915</v>
      </c>
      <c r="B45" s="619" t="s">
        <v>843</v>
      </c>
      <c r="C45" s="620">
        <f>C46</f>
        <v>3555</v>
      </c>
      <c r="D45" s="610">
        <f>C47</f>
        <v>1E-3</v>
      </c>
      <c r="E45" s="611" t="s">
        <v>860</v>
      </c>
      <c r="F45" s="621"/>
      <c r="G45" s="622" t="s">
        <v>2518</v>
      </c>
    </row>
    <row r="46" spans="1:7" s="589" customFormat="1" ht="13.5" customHeight="1">
      <c r="A46" s="1803" t="s">
        <v>1923</v>
      </c>
      <c r="B46" s="623" t="s">
        <v>2511</v>
      </c>
      <c r="C46" s="624">
        <f>ROUND((C33+C39)*F27,0)</f>
        <v>3555</v>
      </c>
      <c r="D46" s="638"/>
      <c r="E46" s="611"/>
      <c r="F46" s="621"/>
      <c r="G46" s="622"/>
    </row>
    <row r="47" spans="1:7" s="589" customFormat="1" ht="13.5" customHeight="1">
      <c r="A47" s="1803" t="s">
        <v>1921</v>
      </c>
      <c r="B47" s="623" t="s">
        <v>2513</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42929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42929</v>
      </c>
      <c r="D51" s="607"/>
      <c r="E51" s="607"/>
      <c r="F51" s="639"/>
      <c r="G51" s="609" t="s">
        <v>352</v>
      </c>
    </row>
    <row r="52" spans="1:7" s="583" customFormat="1" ht="16.8" thickBot="1">
      <c r="A52" s="640" t="s">
        <v>353</v>
      </c>
      <c r="B52" s="641"/>
      <c r="C52" s="642">
        <f ca="1">C31+C51</f>
        <v>72560</v>
      </c>
      <c r="D52" s="641"/>
      <c r="E52" s="641"/>
      <c r="F52" s="641"/>
      <c r="G52" s="643"/>
    </row>
    <row r="55" spans="1:7" ht="15">
      <c r="B55" s="645" t="s">
        <v>354</v>
      </c>
      <c r="C55" s="646"/>
    </row>
    <row r="56" spans="1:7">
      <c r="B56" s="648" t="s">
        <v>355</v>
      </c>
      <c r="C56" s="649">
        <f ca="1">ROUND(C51/C52,3)</f>
        <v>0.59199999999999997</v>
      </c>
    </row>
    <row r="57" spans="1:7">
      <c r="B57" s="648" t="s">
        <v>356</v>
      </c>
      <c r="C57" s="650">
        <f ca="1">1-C56</f>
        <v>0.40800000000000003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1543" customWidth="1"/>
    <col min="2" max="5" width="10.21875" style="1488" customWidth="1"/>
    <col min="6" max="6" width="9" style="1488"/>
    <col min="7" max="8" width="9" style="1516"/>
    <col min="9" max="16384" width="9" style="1488"/>
  </cols>
  <sheetData>
    <row r="1" spans="1:19">
      <c r="A1" s="3766" t="s">
        <v>1169</v>
      </c>
      <c r="B1" s="3766"/>
      <c r="C1" s="3766"/>
      <c r="D1" s="3766"/>
      <c r="E1" s="3766"/>
      <c r="F1" s="3766"/>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5" thickBot="1">
      <c r="A2" s="3767" t="s">
        <v>1182</v>
      </c>
      <c r="B2" s="3767"/>
      <c r="C2" s="3767"/>
      <c r="D2" s="3767"/>
      <c r="E2" s="3767"/>
      <c r="F2" s="3767"/>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8"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9"/>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2492</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2492</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1543" customWidth="1"/>
    <col min="2" max="2" width="10.21875" style="1488" customWidth="1"/>
  </cols>
  <sheetData>
    <row r="1" spans="1:6">
      <c r="A1" s="3766" t="s">
        <v>2129</v>
      </c>
      <c r="B1" s="3766"/>
    </row>
    <row r="2" spans="1:6" ht="15" thickBot="1">
      <c r="A2" s="2110"/>
      <c r="B2" s="2110"/>
    </row>
    <row r="3" spans="1:6" ht="15" thickBot="1">
      <c r="A3" s="2110"/>
      <c r="B3" s="2110"/>
      <c r="C3" s="2114" t="s">
        <v>2132</v>
      </c>
      <c r="D3" s="2114" t="s">
        <v>2133</v>
      </c>
      <c r="E3" s="2114" t="s">
        <v>2134</v>
      </c>
      <c r="F3" s="2114" t="s">
        <v>2135</v>
      </c>
    </row>
    <row r="4" spans="1:6" ht="15" thickBot="1">
      <c r="A4" s="2112" t="s">
        <v>2130</v>
      </c>
      <c r="B4" s="2113" t="s">
        <v>2131</v>
      </c>
      <c r="C4" s="2114"/>
      <c r="D4" s="2114"/>
      <c r="E4" s="2114"/>
      <c r="F4" s="2114"/>
    </row>
    <row r="5" spans="1:6" ht="15" thickBot="1">
      <c r="A5" s="1528" t="s">
        <v>2136</v>
      </c>
      <c r="B5" s="1529" t="s">
        <v>2137</v>
      </c>
      <c r="C5" s="2115">
        <v>8.8999999999999996E-2</v>
      </c>
      <c r="D5" s="2115">
        <v>7.3999999999999996E-2</v>
      </c>
      <c r="E5" s="2115">
        <v>7.4999999999999997E-2</v>
      </c>
      <c r="F5" s="2116">
        <v>0.1</v>
      </c>
    </row>
    <row r="6" spans="1:6" ht="15" thickBot="1">
      <c r="A6" s="1528" t="s">
        <v>1225</v>
      </c>
      <c r="B6" s="1522" t="s">
        <v>2138</v>
      </c>
      <c r="C6" s="2117">
        <v>0.1</v>
      </c>
      <c r="D6" s="2117">
        <v>9.0999999999999998E-2</v>
      </c>
      <c r="E6" s="2117">
        <v>9.0999999999999998E-2</v>
      </c>
      <c r="F6" s="2118">
        <v>0.1</v>
      </c>
    </row>
    <row r="7" spans="1:6" ht="15" thickBot="1">
      <c r="A7" s="1528" t="s">
        <v>1225</v>
      </c>
      <c r="B7" s="1532" t="s">
        <v>1214</v>
      </c>
      <c r="C7" s="2117">
        <v>8.5999999999999993E-2</v>
      </c>
      <c r="D7" s="2117">
        <v>9.6000000000000002E-2</v>
      </c>
      <c r="E7" s="2117">
        <v>7.5999999999999998E-2</v>
      </c>
      <c r="F7" s="2118">
        <v>0.1</v>
      </c>
    </row>
    <row r="8" spans="1:6" ht="15" thickBot="1">
      <c r="A8" s="1528" t="s">
        <v>1225</v>
      </c>
      <c r="B8" s="1522" t="s">
        <v>1226</v>
      </c>
      <c r="C8" s="2117">
        <v>9.9000000000000005E-2</v>
      </c>
      <c r="D8" s="2117">
        <v>9.8000000000000004E-2</v>
      </c>
      <c r="E8" s="2117">
        <v>9.8000000000000004E-2</v>
      </c>
      <c r="F8" s="2118">
        <v>0.1</v>
      </c>
    </row>
    <row r="9" spans="1:6" ht="15" thickBot="1">
      <c r="A9" s="1538" t="s">
        <v>1225</v>
      </c>
      <c r="B9" s="1533" t="s">
        <v>1238</v>
      </c>
      <c r="C9" s="2119">
        <v>0.05</v>
      </c>
      <c r="D9" s="2127"/>
      <c r="E9" s="2127"/>
      <c r="F9" s="2128"/>
    </row>
    <row r="10" spans="1:6" ht="15" thickBot="1">
      <c r="A10" s="1528" t="s">
        <v>1282</v>
      </c>
      <c r="B10" s="1529" t="s">
        <v>2139</v>
      </c>
      <c r="C10" s="2115">
        <v>8.8999999999999996E-2</v>
      </c>
      <c r="D10" s="2115">
        <v>7.2999999999999995E-2</v>
      </c>
      <c r="E10" s="2115">
        <v>8.2000000000000003E-2</v>
      </c>
      <c r="F10" s="2116">
        <v>0.1</v>
      </c>
    </row>
    <row r="11" spans="1:6" ht="15" thickBot="1">
      <c r="A11" s="1528" t="s">
        <v>1282</v>
      </c>
      <c r="B11" s="1532" t="s">
        <v>1201</v>
      </c>
      <c r="C11" s="2117">
        <v>8.8999999999999996E-2</v>
      </c>
      <c r="D11" s="2117">
        <v>7.2999999999999995E-2</v>
      </c>
      <c r="E11" s="2117">
        <v>8.2000000000000003E-2</v>
      </c>
      <c r="F11" s="2118">
        <v>0.1</v>
      </c>
    </row>
    <row r="12" spans="1:6" ht="15" thickBot="1">
      <c r="A12" s="1528" t="s">
        <v>1282</v>
      </c>
      <c r="B12" s="1532" t="s">
        <v>1137</v>
      </c>
      <c r="C12" s="2117">
        <v>6.0999999999999999E-2</v>
      </c>
      <c r="D12" s="2117">
        <v>7.0999999999999994E-2</v>
      </c>
      <c r="E12" s="2117">
        <v>9.6000000000000002E-2</v>
      </c>
      <c r="F12" s="2118">
        <v>0.1</v>
      </c>
    </row>
    <row r="13" spans="1:6" ht="15" thickBot="1">
      <c r="A13" s="1528" t="s">
        <v>1282</v>
      </c>
      <c r="B13" s="1532" t="s">
        <v>1227</v>
      </c>
      <c r="C13" s="2117">
        <v>6.9000000000000006E-2</v>
      </c>
      <c r="D13" s="2117">
        <v>6.5000000000000002E-2</v>
      </c>
      <c r="E13" s="2117">
        <v>6.6000000000000003E-2</v>
      </c>
      <c r="F13" s="2118">
        <v>0.1</v>
      </c>
    </row>
    <row r="14" spans="1:6" ht="15" thickBot="1">
      <c r="A14" s="1528" t="s">
        <v>1282</v>
      </c>
      <c r="B14" s="1532" t="s">
        <v>1239</v>
      </c>
      <c r="C14" s="2117">
        <v>0.1</v>
      </c>
      <c r="D14" s="2117">
        <v>6.5000000000000002E-2</v>
      </c>
      <c r="E14" s="2117">
        <v>7.0000000000000007E-2</v>
      </c>
      <c r="F14" s="2118">
        <v>0.1</v>
      </c>
    </row>
    <row r="15" spans="1:6" ht="15" thickBot="1">
      <c r="A15" s="1528" t="s">
        <v>1282</v>
      </c>
      <c r="B15" s="1532" t="s">
        <v>1250</v>
      </c>
      <c r="C15" s="2117">
        <v>9.8000000000000004E-2</v>
      </c>
      <c r="D15" s="2117">
        <v>8.8999999999999996E-2</v>
      </c>
      <c r="E15" s="2117">
        <v>8.8999999999999996E-2</v>
      </c>
      <c r="F15" s="2118">
        <v>0.1</v>
      </c>
    </row>
    <row r="16" spans="1:6" ht="15" thickBot="1">
      <c r="A16" s="1528" t="s">
        <v>1282</v>
      </c>
      <c r="B16" s="1532" t="s">
        <v>1261</v>
      </c>
      <c r="C16" s="2117">
        <v>7.0000000000000007E-2</v>
      </c>
      <c r="D16" s="2117">
        <v>9.2999999999999999E-2</v>
      </c>
      <c r="E16" s="2117">
        <v>9.6000000000000002E-2</v>
      </c>
      <c r="F16" s="2118">
        <v>0.1</v>
      </c>
    </row>
    <row r="17" spans="1:6" ht="15" thickBot="1">
      <c r="A17" s="1528" t="s">
        <v>1282</v>
      </c>
      <c r="B17" s="1532" t="s">
        <v>1272</v>
      </c>
      <c r="C17" s="2117">
        <v>9.5000000000000001E-2</v>
      </c>
      <c r="D17" s="2117">
        <v>0.1</v>
      </c>
      <c r="E17" s="2117">
        <v>0.1</v>
      </c>
      <c r="F17" s="2129"/>
    </row>
    <row r="18" spans="1:6" ht="15" thickBot="1">
      <c r="A18" s="1528" t="s">
        <v>1282</v>
      </c>
      <c r="B18" s="1532" t="s">
        <v>1284</v>
      </c>
      <c r="C18" s="2117">
        <v>7.3999999999999996E-2</v>
      </c>
      <c r="D18" s="2117">
        <v>9.9000000000000005E-2</v>
      </c>
      <c r="E18" s="2117">
        <v>0.1</v>
      </c>
      <c r="F18" s="2129"/>
    </row>
    <row r="19" spans="1:6" ht="15" thickBot="1">
      <c r="A19" s="1528" t="s">
        <v>1282</v>
      </c>
      <c r="B19" s="1532" t="s">
        <v>1294</v>
      </c>
      <c r="C19" s="2117">
        <v>9.9000000000000005E-2</v>
      </c>
      <c r="D19" s="2117">
        <v>7.5999999999999998E-2</v>
      </c>
      <c r="E19" s="2117">
        <v>8.6999999999999994E-2</v>
      </c>
      <c r="F19" s="2129"/>
    </row>
    <row r="20" spans="1:6" ht="15" thickBot="1">
      <c r="A20" s="1528" t="s">
        <v>1282</v>
      </c>
      <c r="B20" s="1532" t="s">
        <v>1304</v>
      </c>
      <c r="C20" s="2117">
        <v>9.8000000000000004E-2</v>
      </c>
      <c r="D20" s="2117">
        <v>8.5000000000000006E-2</v>
      </c>
      <c r="E20" s="2117">
        <v>8.2000000000000003E-2</v>
      </c>
      <c r="F20" s="2129"/>
    </row>
    <row r="21" spans="1:6" ht="15" thickBot="1">
      <c r="A21" s="1528" t="s">
        <v>1282</v>
      </c>
      <c r="B21" s="1532" t="s">
        <v>1314</v>
      </c>
      <c r="C21" s="2117">
        <v>6.6000000000000003E-2</v>
      </c>
      <c r="D21" s="2117">
        <v>6.4000000000000001E-2</v>
      </c>
      <c r="E21" s="2117">
        <v>6.5000000000000002E-2</v>
      </c>
      <c r="F21" s="2129"/>
    </row>
    <row r="22" spans="1:6" ht="15" thickBot="1">
      <c r="A22" s="1528" t="s">
        <v>1282</v>
      </c>
      <c r="B22" s="1532" t="s">
        <v>2140</v>
      </c>
      <c r="C22" s="2117">
        <v>0.08</v>
      </c>
      <c r="D22" s="2117">
        <v>9.8000000000000004E-2</v>
      </c>
      <c r="E22" s="2117">
        <v>9.8000000000000004E-2</v>
      </c>
      <c r="F22" s="2129"/>
    </row>
    <row r="23" spans="1:6" ht="15" thickBot="1">
      <c r="A23" s="1528" t="s">
        <v>1282</v>
      </c>
      <c r="B23" s="1532" t="s">
        <v>1335</v>
      </c>
      <c r="C23" s="2117">
        <v>9.9000000000000005E-2</v>
      </c>
      <c r="D23" s="2117">
        <v>9.8000000000000004E-2</v>
      </c>
      <c r="E23" s="2117">
        <v>9.0999999999999998E-2</v>
      </c>
      <c r="F23" s="2129"/>
    </row>
    <row r="24" spans="1:6" ht="15" thickBot="1">
      <c r="A24" s="1528" t="s">
        <v>1282</v>
      </c>
      <c r="B24" s="1532" t="s">
        <v>1346</v>
      </c>
      <c r="C24" s="2117">
        <v>8.8999999999999996E-2</v>
      </c>
      <c r="D24" s="2117">
        <v>9.7000000000000003E-2</v>
      </c>
      <c r="E24" s="2117">
        <v>7.0000000000000007E-2</v>
      </c>
      <c r="F24" s="2129"/>
    </row>
    <row r="25" spans="1:6" ht="15" thickBot="1">
      <c r="A25" s="1528" t="s">
        <v>1282</v>
      </c>
      <c r="B25" s="1532" t="s">
        <v>1356</v>
      </c>
      <c r="C25" s="2117">
        <v>8.8999999999999996E-2</v>
      </c>
      <c r="D25" s="2117">
        <v>0.1</v>
      </c>
      <c r="E25" s="2117">
        <v>8.1000000000000003E-2</v>
      </c>
      <c r="F25" s="2129"/>
    </row>
    <row r="26" spans="1:6" ht="15" thickBot="1">
      <c r="A26" s="1528" t="s">
        <v>1282</v>
      </c>
      <c r="B26" s="1532" t="s">
        <v>1366</v>
      </c>
      <c r="C26" s="2130"/>
      <c r="D26" s="2117">
        <v>9.6000000000000002E-2</v>
      </c>
      <c r="E26" s="2117">
        <v>9.2999999999999999E-2</v>
      </c>
      <c r="F26" s="2129"/>
    </row>
    <row r="27" spans="1:6" ht="15" thickBot="1">
      <c r="A27" s="1528" t="s">
        <v>1282</v>
      </c>
      <c r="B27" s="1532" t="s">
        <v>1376</v>
      </c>
      <c r="C27" s="2130"/>
      <c r="D27" s="2117">
        <v>7.5999999999999998E-2</v>
      </c>
      <c r="E27" s="2117">
        <v>9.1999999999999998E-2</v>
      </c>
      <c r="F27" s="2129"/>
    </row>
    <row r="28" spans="1:6" ht="15" thickBot="1">
      <c r="A28" s="1538" t="s">
        <v>1282</v>
      </c>
      <c r="B28" s="1533" t="s">
        <v>1386</v>
      </c>
      <c r="C28" s="2127"/>
      <c r="D28" s="2119">
        <v>7.5999999999999998E-2</v>
      </c>
      <c r="E28" s="2119">
        <v>9.1999999999999998E-2</v>
      </c>
      <c r="F28" s="2128"/>
    </row>
    <row r="29" spans="1:6" ht="15" thickBot="1">
      <c r="A29" s="1528" t="s">
        <v>1455</v>
      </c>
      <c r="B29" s="1529" t="s">
        <v>2141</v>
      </c>
      <c r="C29" s="2115">
        <v>6.4000000000000001E-2</v>
      </c>
      <c r="D29" s="2115">
        <v>6.5000000000000002E-2</v>
      </c>
      <c r="E29" s="2115">
        <v>6.9000000000000006E-2</v>
      </c>
      <c r="F29" s="2116">
        <v>0.1</v>
      </c>
    </row>
    <row r="30" spans="1:6" ht="15" thickBot="1">
      <c r="A30" s="1528" t="s">
        <v>1455</v>
      </c>
      <c r="B30" s="1532" t="s">
        <v>1202</v>
      </c>
      <c r="C30" s="2117">
        <v>6.4000000000000001E-2</v>
      </c>
      <c r="D30" s="2117">
        <v>9.9000000000000005E-2</v>
      </c>
      <c r="E30" s="2117">
        <v>0.1</v>
      </c>
      <c r="F30" s="2118">
        <v>0.1</v>
      </c>
    </row>
    <row r="31" spans="1:6" ht="15" thickBot="1">
      <c r="A31" s="1528" t="s">
        <v>1455</v>
      </c>
      <c r="B31" s="1532" t="s">
        <v>1215</v>
      </c>
      <c r="C31" s="2117">
        <v>0.1</v>
      </c>
      <c r="D31" s="2117">
        <v>9.5000000000000001E-2</v>
      </c>
      <c r="E31" s="2117">
        <v>8.8999999999999996E-2</v>
      </c>
      <c r="F31" s="2118">
        <v>0.1</v>
      </c>
    </row>
    <row r="32" spans="1:6" ht="15" thickBot="1">
      <c r="A32" s="1528" t="s">
        <v>1455</v>
      </c>
      <c r="B32" s="1532" t="s">
        <v>1228</v>
      </c>
      <c r="C32" s="2117">
        <v>0.05</v>
      </c>
      <c r="D32" s="2117">
        <v>0.05</v>
      </c>
      <c r="E32" s="2117">
        <v>8.7999999999999995E-2</v>
      </c>
      <c r="F32" s="2118">
        <v>0.1</v>
      </c>
    </row>
    <row r="33" spans="1:6" ht="15" thickBot="1">
      <c r="A33" s="1528" t="s">
        <v>1455</v>
      </c>
      <c r="B33" s="1532" t="s">
        <v>1240</v>
      </c>
      <c r="C33" s="2117">
        <v>7.4999999999999997E-2</v>
      </c>
      <c r="D33" s="2117">
        <v>9.4E-2</v>
      </c>
      <c r="E33" s="2117">
        <v>9.7000000000000003E-2</v>
      </c>
      <c r="F33" s="2118">
        <v>0.1</v>
      </c>
    </row>
    <row r="34" spans="1:6" ht="15" thickBot="1">
      <c r="A34" s="1528" t="s">
        <v>1455</v>
      </c>
      <c r="B34" s="1532" t="s">
        <v>1251</v>
      </c>
      <c r="C34" s="2117">
        <v>9.8000000000000004E-2</v>
      </c>
      <c r="D34" s="2117">
        <v>8.5999999999999993E-2</v>
      </c>
      <c r="E34" s="2117">
        <v>9.7000000000000003E-2</v>
      </c>
      <c r="F34" s="2118">
        <v>0.1</v>
      </c>
    </row>
    <row r="35" spans="1:6" ht="15" thickBot="1">
      <c r="A35" s="1528" t="s">
        <v>1455</v>
      </c>
      <c r="B35" s="1532" t="s">
        <v>1262</v>
      </c>
      <c r="C35" s="2117">
        <v>5.8999999999999997E-2</v>
      </c>
      <c r="D35" s="2117">
        <v>6.5000000000000002E-2</v>
      </c>
      <c r="E35" s="2117">
        <v>7.0000000000000007E-2</v>
      </c>
      <c r="F35" s="2118">
        <v>0.1</v>
      </c>
    </row>
    <row r="36" spans="1:6" ht="15" thickBot="1">
      <c r="A36" s="1528" t="s">
        <v>1455</v>
      </c>
      <c r="B36" s="1532" t="s">
        <v>1273</v>
      </c>
      <c r="C36" s="2117">
        <v>6.3E-2</v>
      </c>
      <c r="D36" s="2117">
        <v>0.1</v>
      </c>
      <c r="E36" s="2117">
        <v>0.1</v>
      </c>
      <c r="F36" s="2118">
        <v>0.1</v>
      </c>
    </row>
    <row r="37" spans="1:6" ht="15" thickBot="1">
      <c r="A37" s="1528" t="s">
        <v>1455</v>
      </c>
      <c r="B37" s="1532" t="s">
        <v>1285</v>
      </c>
      <c r="C37" s="2117">
        <v>7.3999999999999996E-2</v>
      </c>
      <c r="D37" s="2117">
        <v>0.1</v>
      </c>
      <c r="E37" s="2117">
        <v>0.1</v>
      </c>
      <c r="F37" s="2118">
        <v>0.1</v>
      </c>
    </row>
    <row r="38" spans="1:6" ht="15" thickBot="1">
      <c r="A38" s="1528" t="s">
        <v>1455</v>
      </c>
      <c r="B38" s="1532" t="s">
        <v>1295</v>
      </c>
      <c r="C38" s="2117">
        <v>0.1</v>
      </c>
      <c r="D38" s="2117">
        <v>9.6000000000000002E-2</v>
      </c>
      <c r="E38" s="2117">
        <v>9.6000000000000002E-2</v>
      </c>
      <c r="F38" s="2129"/>
    </row>
    <row r="39" spans="1:6" ht="15" thickBot="1">
      <c r="A39" s="1528" t="s">
        <v>1455</v>
      </c>
      <c r="B39" s="1532" t="s">
        <v>1305</v>
      </c>
      <c r="C39" s="2117">
        <v>0.1</v>
      </c>
      <c r="D39" s="2117">
        <v>9.6000000000000002E-2</v>
      </c>
      <c r="E39" s="2117">
        <v>9.6000000000000002E-2</v>
      </c>
      <c r="F39" s="2129"/>
    </row>
    <row r="40" spans="1:6" ht="15" thickBot="1">
      <c r="A40" s="1528" t="s">
        <v>1455</v>
      </c>
      <c r="B40" s="1532" t="s">
        <v>1315</v>
      </c>
      <c r="C40" s="2117">
        <v>9.6000000000000002E-2</v>
      </c>
      <c r="D40" s="2117">
        <v>0.1</v>
      </c>
      <c r="E40" s="2117">
        <v>9.9000000000000005E-2</v>
      </c>
      <c r="F40" s="2129"/>
    </row>
    <row r="41" spans="1:6" ht="15" thickBot="1">
      <c r="A41" s="1528" t="s">
        <v>1455</v>
      </c>
      <c r="B41" s="1532" t="s">
        <v>1325</v>
      </c>
      <c r="C41" s="2117">
        <v>9.6000000000000002E-2</v>
      </c>
      <c r="D41" s="2117">
        <v>9.8000000000000004E-2</v>
      </c>
      <c r="E41" s="2117">
        <v>9.8000000000000004E-2</v>
      </c>
      <c r="F41" s="2129"/>
    </row>
    <row r="42" spans="1:6" ht="15" thickBot="1">
      <c r="A42" s="1528" t="s">
        <v>1455</v>
      </c>
      <c r="B42" s="1532" t="s">
        <v>1336</v>
      </c>
      <c r="C42" s="2117">
        <v>0.1</v>
      </c>
      <c r="D42" s="2117">
        <v>8.7999999999999995E-2</v>
      </c>
      <c r="E42" s="2117">
        <v>0.1</v>
      </c>
      <c r="F42" s="2129"/>
    </row>
    <row r="43" spans="1:6" ht="15" thickBot="1">
      <c r="A43" s="1528" t="s">
        <v>1455</v>
      </c>
      <c r="B43" s="1532" t="s">
        <v>1347</v>
      </c>
      <c r="C43" s="2117">
        <v>9.8000000000000004E-2</v>
      </c>
      <c r="D43" s="2117">
        <v>9.7000000000000003E-2</v>
      </c>
      <c r="E43" s="2117">
        <v>9.6000000000000002E-2</v>
      </c>
      <c r="F43" s="2129"/>
    </row>
    <row r="44" spans="1:6" ht="15" thickBot="1">
      <c r="A44" s="1528" t="s">
        <v>1455</v>
      </c>
      <c r="B44" s="1532" t="s">
        <v>1357</v>
      </c>
      <c r="C44" s="2117">
        <v>8.5999999999999993E-2</v>
      </c>
      <c r="D44" s="2117">
        <v>7.9000000000000001E-2</v>
      </c>
      <c r="E44" s="2117">
        <v>7.0999999999999994E-2</v>
      </c>
      <c r="F44" s="2129"/>
    </row>
    <row r="45" spans="1:6" ht="15" thickBot="1">
      <c r="A45" s="1528" t="s">
        <v>1455</v>
      </c>
      <c r="B45" s="1532" t="s">
        <v>1367</v>
      </c>
      <c r="C45" s="2117">
        <v>9.8000000000000004E-2</v>
      </c>
      <c r="D45" s="2117">
        <v>9.6000000000000002E-2</v>
      </c>
      <c r="E45" s="2117">
        <v>9.6000000000000002E-2</v>
      </c>
      <c r="F45" s="2129"/>
    </row>
    <row r="46" spans="1:6" ht="15" thickBot="1">
      <c r="A46" s="1528" t="s">
        <v>1455</v>
      </c>
      <c r="B46" s="1532" t="s">
        <v>1377</v>
      </c>
      <c r="C46" s="2117">
        <v>8.5999999999999993E-2</v>
      </c>
      <c r="D46" s="2117">
        <v>9.8000000000000004E-2</v>
      </c>
      <c r="E46" s="2117">
        <v>8.7999999999999995E-2</v>
      </c>
      <c r="F46" s="2129"/>
    </row>
    <row r="47" spans="1:6" ht="15" thickBot="1">
      <c r="A47" s="1528" t="s">
        <v>1455</v>
      </c>
      <c r="B47" s="1532" t="s">
        <v>1387</v>
      </c>
      <c r="C47" s="2117">
        <v>9.6000000000000002E-2</v>
      </c>
      <c r="D47" s="2130"/>
      <c r="E47" s="2117">
        <v>6.9000000000000006E-2</v>
      </c>
      <c r="F47" s="2129"/>
    </row>
    <row r="48" spans="1:6" ht="15" thickBot="1">
      <c r="A48" s="1538" t="s">
        <v>1455</v>
      </c>
      <c r="B48" s="1533" t="s">
        <v>1396</v>
      </c>
      <c r="C48" s="2119">
        <v>9.8000000000000004E-2</v>
      </c>
      <c r="D48" s="2127"/>
      <c r="E48" s="2119">
        <v>9.5000000000000001E-2</v>
      </c>
      <c r="F48" s="2128"/>
    </row>
    <row r="49" spans="1:6" ht="15" thickBot="1">
      <c r="A49" s="1528" t="s">
        <v>1136</v>
      </c>
      <c r="B49" s="1529" t="s">
        <v>2142</v>
      </c>
      <c r="C49" s="2115">
        <v>9.7000000000000003E-2</v>
      </c>
      <c r="D49" s="2115">
        <v>9.5000000000000001E-2</v>
      </c>
      <c r="E49" s="2115">
        <v>9.7000000000000003E-2</v>
      </c>
      <c r="F49" s="2116">
        <v>0.1</v>
      </c>
    </row>
    <row r="50" spans="1:6" ht="15" thickBot="1">
      <c r="A50" s="1528" t="s">
        <v>1136</v>
      </c>
      <c r="B50" s="1522" t="s">
        <v>1203</v>
      </c>
      <c r="C50" s="2117">
        <v>7.4999999999999997E-2</v>
      </c>
      <c r="D50" s="2117">
        <v>9.5000000000000001E-2</v>
      </c>
      <c r="E50" s="2117">
        <v>0.1</v>
      </c>
      <c r="F50" s="2118">
        <v>0.1</v>
      </c>
    </row>
    <row r="51" spans="1:6" ht="15" thickBot="1">
      <c r="A51" s="1528" t="s">
        <v>1136</v>
      </c>
      <c r="B51" s="1522" t="s">
        <v>1216</v>
      </c>
      <c r="C51" s="2117">
        <v>9.8000000000000004E-2</v>
      </c>
      <c r="D51" s="2117">
        <v>8.8999999999999996E-2</v>
      </c>
      <c r="E51" s="2117">
        <v>0.1</v>
      </c>
      <c r="F51" s="2118">
        <v>0.1</v>
      </c>
    </row>
    <row r="52" spans="1:6" ht="15" thickBot="1">
      <c r="A52" s="1528" t="s">
        <v>1136</v>
      </c>
      <c r="B52" s="1522" t="s">
        <v>1229</v>
      </c>
      <c r="C52" s="2117">
        <v>9.8000000000000004E-2</v>
      </c>
      <c r="D52" s="2117">
        <v>9.7000000000000003E-2</v>
      </c>
      <c r="E52" s="2117">
        <v>8.1000000000000003E-2</v>
      </c>
      <c r="F52" s="2118">
        <v>0.1</v>
      </c>
    </row>
    <row r="53" spans="1:6" ht="15" thickBot="1">
      <c r="A53" s="1528" t="s">
        <v>1136</v>
      </c>
      <c r="B53" s="1522" t="s">
        <v>1241</v>
      </c>
      <c r="C53" s="2117">
        <v>9.7000000000000003E-2</v>
      </c>
      <c r="D53" s="2117">
        <v>7.5999999999999998E-2</v>
      </c>
      <c r="E53" s="2117">
        <v>7.0999999999999994E-2</v>
      </c>
      <c r="F53" s="2118">
        <v>0.1</v>
      </c>
    </row>
    <row r="54" spans="1:6" ht="15" thickBot="1">
      <c r="A54" s="1528" t="s">
        <v>1136</v>
      </c>
      <c r="B54" s="1522" t="s">
        <v>1252</v>
      </c>
      <c r="C54" s="2117">
        <v>7.5999999999999998E-2</v>
      </c>
      <c r="D54" s="2117">
        <v>0.1</v>
      </c>
      <c r="E54" s="2117">
        <v>9.9000000000000005E-2</v>
      </c>
      <c r="F54" s="2118">
        <v>0.1</v>
      </c>
    </row>
    <row r="55" spans="1:6" ht="15" thickBot="1">
      <c r="A55" s="1528" t="s">
        <v>1136</v>
      </c>
      <c r="B55" s="1522" t="s">
        <v>1263</v>
      </c>
      <c r="C55" s="2117">
        <v>0.1</v>
      </c>
      <c r="D55" s="2117">
        <v>0.1</v>
      </c>
      <c r="E55" s="2117">
        <v>9.6000000000000002E-2</v>
      </c>
      <c r="F55" s="2118">
        <v>0.1</v>
      </c>
    </row>
    <row r="56" spans="1:6" ht="15" thickBot="1">
      <c r="A56" s="1528" t="s">
        <v>1136</v>
      </c>
      <c r="B56" s="1522" t="s">
        <v>1274</v>
      </c>
      <c r="C56" s="2117">
        <v>0.1</v>
      </c>
      <c r="D56" s="2117">
        <v>9.6000000000000002E-2</v>
      </c>
      <c r="E56" s="2117">
        <v>5.1999999999999998E-2</v>
      </c>
      <c r="F56" s="2118">
        <v>0.1</v>
      </c>
    </row>
    <row r="57" spans="1:6" ht="15" thickBot="1">
      <c r="A57" s="1528" t="s">
        <v>1136</v>
      </c>
      <c r="B57" s="1522" t="s">
        <v>1286</v>
      </c>
      <c r="C57" s="2117">
        <v>9.7000000000000003E-2</v>
      </c>
      <c r="D57" s="2117">
        <v>9.6000000000000002E-2</v>
      </c>
      <c r="E57" s="2117">
        <v>9.6000000000000002E-2</v>
      </c>
      <c r="F57" s="2118">
        <v>0.1</v>
      </c>
    </row>
    <row r="58" spans="1:6" ht="15" thickBot="1">
      <c r="A58" s="1528" t="s">
        <v>1136</v>
      </c>
      <c r="B58" s="1522" t="s">
        <v>1296</v>
      </c>
      <c r="C58" s="2117">
        <v>9.6000000000000002E-2</v>
      </c>
      <c r="D58" s="2117">
        <v>9.9000000000000005E-2</v>
      </c>
      <c r="E58" s="2117">
        <v>9.6000000000000002E-2</v>
      </c>
      <c r="F58" s="2118">
        <v>0.1</v>
      </c>
    </row>
    <row r="59" spans="1:6" ht="15" thickBot="1">
      <c r="A59" s="1528" t="s">
        <v>1136</v>
      </c>
      <c r="B59" s="1522" t="s">
        <v>1306</v>
      </c>
      <c r="C59" s="2117">
        <v>7.1999999999999995E-2</v>
      </c>
      <c r="D59" s="2117">
        <v>9.6000000000000002E-2</v>
      </c>
      <c r="E59" s="2117">
        <v>7.0999999999999994E-2</v>
      </c>
      <c r="F59" s="2118">
        <v>0.1</v>
      </c>
    </row>
    <row r="60" spans="1:6" ht="15" thickBot="1">
      <c r="A60" s="1528" t="s">
        <v>1136</v>
      </c>
      <c r="B60" s="1522" t="s">
        <v>1316</v>
      </c>
      <c r="C60" s="2117">
        <v>9.6000000000000002E-2</v>
      </c>
      <c r="D60" s="2117">
        <v>8.8999999999999996E-2</v>
      </c>
      <c r="E60" s="2117">
        <v>9.6000000000000002E-2</v>
      </c>
      <c r="F60" s="2118">
        <v>0.1</v>
      </c>
    </row>
    <row r="61" spans="1:6" ht="15" thickBot="1">
      <c r="A61" s="1528" t="s">
        <v>1136</v>
      </c>
      <c r="B61" s="1522" t="s">
        <v>1326</v>
      </c>
      <c r="C61" s="2117">
        <v>8.8999999999999996E-2</v>
      </c>
      <c r="D61" s="2117">
        <v>9.8000000000000004E-2</v>
      </c>
      <c r="E61" s="2117">
        <v>8.7999999999999995E-2</v>
      </c>
      <c r="F61" s="2129"/>
    </row>
    <row r="62" spans="1:6" ht="15" thickBot="1">
      <c r="A62" s="1528" t="s">
        <v>1136</v>
      </c>
      <c r="B62" s="1522" t="s">
        <v>1337</v>
      </c>
      <c r="C62" s="2117">
        <v>9.8000000000000004E-2</v>
      </c>
      <c r="D62" s="2117">
        <v>9.2999999999999999E-2</v>
      </c>
      <c r="E62" s="2117">
        <v>9.7000000000000003E-2</v>
      </c>
      <c r="F62" s="2129"/>
    </row>
    <row r="63" spans="1:6" ht="15" thickBot="1">
      <c r="A63" s="1528" t="s">
        <v>1136</v>
      </c>
      <c r="B63" s="1522" t="s">
        <v>1348</v>
      </c>
      <c r="C63" s="2117">
        <v>9.6000000000000002E-2</v>
      </c>
      <c r="D63" s="2117">
        <v>9.8000000000000004E-2</v>
      </c>
      <c r="E63" s="2117">
        <v>0.09</v>
      </c>
      <c r="F63" s="2129"/>
    </row>
    <row r="64" spans="1:6" ht="15" thickBot="1">
      <c r="A64" s="1528" t="s">
        <v>1136</v>
      </c>
      <c r="B64" s="1522" t="s">
        <v>1358</v>
      </c>
      <c r="C64" s="2117">
        <v>9.9000000000000005E-2</v>
      </c>
      <c r="D64" s="2117">
        <v>9.7000000000000003E-2</v>
      </c>
      <c r="E64" s="2117">
        <v>9.9000000000000005E-2</v>
      </c>
      <c r="F64" s="2129"/>
    </row>
    <row r="65" spans="1:6" ht="15" thickBot="1">
      <c r="A65" s="1528" t="s">
        <v>1136</v>
      </c>
      <c r="B65" s="1522" t="s">
        <v>1368</v>
      </c>
      <c r="C65" s="2117">
        <v>9.8000000000000004E-2</v>
      </c>
      <c r="D65" s="2117">
        <v>9.6000000000000002E-2</v>
      </c>
      <c r="E65" s="2117">
        <v>9.6000000000000002E-2</v>
      </c>
      <c r="F65" s="2129"/>
    </row>
    <row r="66" spans="1:6" ht="15" thickBot="1">
      <c r="A66" s="1528" t="s">
        <v>1136</v>
      </c>
      <c r="B66" s="1522" t="s">
        <v>1378</v>
      </c>
      <c r="C66" s="2117">
        <v>9.6000000000000002E-2</v>
      </c>
      <c r="D66" s="2117">
        <v>9.1999999999999998E-2</v>
      </c>
      <c r="E66" s="2117">
        <v>9.6000000000000002E-2</v>
      </c>
      <c r="F66" s="2129"/>
    </row>
    <row r="67" spans="1:6" ht="15" thickBot="1">
      <c r="A67" s="1528" t="s">
        <v>1136</v>
      </c>
      <c r="B67" s="1522" t="s">
        <v>1388</v>
      </c>
      <c r="C67" s="2117">
        <v>9.4E-2</v>
      </c>
      <c r="D67" s="2117">
        <v>0.1</v>
      </c>
      <c r="E67" s="2117">
        <v>8.7999999999999995E-2</v>
      </c>
      <c r="F67" s="2129"/>
    </row>
    <row r="68" spans="1:6" ht="15" thickBot="1">
      <c r="A68" s="1528" t="s">
        <v>1136</v>
      </c>
      <c r="B68" s="1522" t="s">
        <v>1397</v>
      </c>
      <c r="C68" s="2117">
        <v>0.1</v>
      </c>
      <c r="D68" s="2117">
        <v>8.7999999999999995E-2</v>
      </c>
      <c r="E68" s="2117">
        <v>9.7000000000000003E-2</v>
      </c>
      <c r="F68" s="2129"/>
    </row>
    <row r="69" spans="1:6" ht="15" thickBot="1">
      <c r="A69" s="1528" t="s">
        <v>1136</v>
      </c>
      <c r="B69" s="1522" t="s">
        <v>1406</v>
      </c>
      <c r="C69" s="2117">
        <v>6.4000000000000001E-2</v>
      </c>
      <c r="D69" s="2117">
        <v>0.1</v>
      </c>
      <c r="E69" s="2117">
        <v>0.1</v>
      </c>
      <c r="F69" s="2129"/>
    </row>
    <row r="70" spans="1:6" ht="15" thickBot="1">
      <c r="A70" s="1528" t="s">
        <v>1136</v>
      </c>
      <c r="B70" s="1522" t="s">
        <v>1414</v>
      </c>
      <c r="C70" s="2117">
        <v>9.0999999999999998E-2</v>
      </c>
      <c r="D70" s="2130"/>
      <c r="E70" s="2130"/>
      <c r="F70" s="2129"/>
    </row>
    <row r="71" spans="1:6" ht="15" thickBot="1">
      <c r="A71" s="1528" t="s">
        <v>1136</v>
      </c>
      <c r="B71" s="1522" t="s">
        <v>1421</v>
      </c>
      <c r="C71" s="2117">
        <v>0.1</v>
      </c>
      <c r="D71" s="2130"/>
      <c r="E71" s="2130"/>
      <c r="F71" s="2129"/>
    </row>
    <row r="72" spans="1:6" ht="24.6" thickBot="1">
      <c r="A72" s="1528" t="s">
        <v>1136</v>
      </c>
      <c r="B72" s="1522" t="s">
        <v>2143</v>
      </c>
      <c r="C72" s="2130"/>
      <c r="D72" s="2130"/>
      <c r="E72" s="2130"/>
      <c r="F72" s="2118">
        <v>0.05</v>
      </c>
    </row>
    <row r="73" spans="1:6" ht="24.6" thickBot="1">
      <c r="A73" s="1528" t="s">
        <v>1136</v>
      </c>
      <c r="B73" s="1522" t="s">
        <v>2144</v>
      </c>
      <c r="C73" s="2130"/>
      <c r="D73" s="2130"/>
      <c r="E73" s="2130"/>
      <c r="F73" s="2118">
        <v>0.05</v>
      </c>
    </row>
    <row r="74" spans="1:6" ht="24.6" thickBot="1">
      <c r="A74" s="1528" t="s">
        <v>1136</v>
      </c>
      <c r="B74" s="1522" t="s">
        <v>2145</v>
      </c>
      <c r="C74" s="2130"/>
      <c r="D74" s="2130"/>
      <c r="E74" s="2130"/>
      <c r="F74" s="2118">
        <v>0.05</v>
      </c>
    </row>
    <row r="75" spans="1:6" ht="24.6" thickBot="1">
      <c r="A75" s="1538" t="s">
        <v>1136</v>
      </c>
      <c r="B75" s="1534" t="s">
        <v>2146</v>
      </c>
      <c r="C75" s="2127"/>
      <c r="D75" s="2127"/>
      <c r="E75" s="2127"/>
      <c r="F75" s="2120">
        <v>0.05</v>
      </c>
    </row>
    <row r="76" spans="1:6" ht="15" thickBot="1">
      <c r="A76" s="1528" t="s">
        <v>1536</v>
      </c>
      <c r="B76" s="1529" t="s">
        <v>2147</v>
      </c>
      <c r="C76" s="2115">
        <v>0.1</v>
      </c>
      <c r="D76" s="2115">
        <v>0.1</v>
      </c>
      <c r="E76" s="2115">
        <v>0.1</v>
      </c>
      <c r="F76" s="2116">
        <v>0.1</v>
      </c>
    </row>
    <row r="77" spans="1:6" ht="15" thickBot="1">
      <c r="A77" s="1528" t="s">
        <v>1536</v>
      </c>
      <c r="B77" s="1522" t="s">
        <v>1204</v>
      </c>
      <c r="C77" s="2117">
        <v>8.7999999999999995E-2</v>
      </c>
      <c r="D77" s="2117">
        <v>8.6999999999999994E-2</v>
      </c>
      <c r="E77" s="2117">
        <v>7.9000000000000001E-2</v>
      </c>
      <c r="F77" s="2118">
        <v>0.1</v>
      </c>
    </row>
    <row r="78" spans="1:6" ht="15" thickBot="1">
      <c r="A78" s="1528" t="s">
        <v>1536</v>
      </c>
      <c r="B78" s="1522" t="s">
        <v>1217</v>
      </c>
      <c r="C78" s="2117">
        <v>8.6999999999999994E-2</v>
      </c>
      <c r="D78" s="2117">
        <v>8.4000000000000005E-2</v>
      </c>
      <c r="E78" s="2117">
        <v>9.6000000000000002E-2</v>
      </c>
      <c r="F78" s="2118">
        <v>0.1</v>
      </c>
    </row>
    <row r="79" spans="1:6" ht="15" thickBot="1">
      <c r="A79" s="1528" t="s">
        <v>1536</v>
      </c>
      <c r="B79" s="1522" t="s">
        <v>1230</v>
      </c>
      <c r="C79" s="2117">
        <v>9.8000000000000004E-2</v>
      </c>
      <c r="D79" s="2117">
        <v>9.8000000000000004E-2</v>
      </c>
      <c r="E79" s="2117">
        <v>9.0999999999999998E-2</v>
      </c>
      <c r="F79" s="2118">
        <v>0.1</v>
      </c>
    </row>
    <row r="80" spans="1:6" ht="15" thickBot="1">
      <c r="A80" s="1528" t="s">
        <v>1536</v>
      </c>
      <c r="B80" s="1522" t="s">
        <v>1242</v>
      </c>
      <c r="C80" s="2117">
        <v>9.6000000000000002E-2</v>
      </c>
      <c r="D80" s="2117">
        <v>9.6000000000000002E-2</v>
      </c>
      <c r="E80" s="2117">
        <v>0.1</v>
      </c>
      <c r="F80" s="2118">
        <v>0.1</v>
      </c>
    </row>
    <row r="81" spans="1:6" ht="15" thickBot="1">
      <c r="A81" s="1528" t="s">
        <v>1536</v>
      </c>
      <c r="B81" s="1522" t="s">
        <v>1253</v>
      </c>
      <c r="C81" s="2117">
        <v>9.9000000000000005E-2</v>
      </c>
      <c r="D81" s="2117">
        <v>9.9000000000000005E-2</v>
      </c>
      <c r="E81" s="2117">
        <v>9.8000000000000004E-2</v>
      </c>
      <c r="F81" s="2118">
        <v>0.1</v>
      </c>
    </row>
    <row r="82" spans="1:6" ht="15" thickBot="1">
      <c r="A82" s="1528" t="s">
        <v>1536</v>
      </c>
      <c r="B82" s="1522" t="s">
        <v>1264</v>
      </c>
      <c r="C82" s="2117">
        <v>9.9000000000000005E-2</v>
      </c>
      <c r="D82" s="2117">
        <v>9.9000000000000005E-2</v>
      </c>
      <c r="E82" s="2117">
        <v>9.7000000000000003E-2</v>
      </c>
      <c r="F82" s="2118">
        <v>0.1</v>
      </c>
    </row>
    <row r="83" spans="1:6" ht="15" thickBot="1">
      <c r="A83" s="1528" t="s">
        <v>1536</v>
      </c>
      <c r="B83" s="1522" t="s">
        <v>1275</v>
      </c>
      <c r="C83" s="2117">
        <v>9.8000000000000004E-2</v>
      </c>
      <c r="D83" s="2117">
        <v>9.8000000000000004E-2</v>
      </c>
      <c r="E83" s="2117">
        <v>9.8000000000000004E-2</v>
      </c>
      <c r="F83" s="2118">
        <v>0.1</v>
      </c>
    </row>
    <row r="84" spans="1:6" ht="15" thickBot="1">
      <c r="A84" s="1528" t="s">
        <v>1536</v>
      </c>
      <c r="B84" s="1522" t="s">
        <v>1287</v>
      </c>
      <c r="C84" s="2117">
        <v>9.9000000000000005E-2</v>
      </c>
      <c r="D84" s="2117">
        <v>9.9000000000000005E-2</v>
      </c>
      <c r="E84" s="2117">
        <v>9.9000000000000005E-2</v>
      </c>
      <c r="F84" s="2118">
        <v>0.1</v>
      </c>
    </row>
    <row r="85" spans="1:6" ht="15" thickBot="1">
      <c r="A85" s="1528" t="s">
        <v>1536</v>
      </c>
      <c r="B85" s="1522" t="s">
        <v>1297</v>
      </c>
      <c r="C85" s="2117">
        <v>9.9000000000000005E-2</v>
      </c>
      <c r="D85" s="2117">
        <v>9.9000000000000005E-2</v>
      </c>
      <c r="E85" s="2117">
        <v>9.9000000000000005E-2</v>
      </c>
      <c r="F85" s="2118">
        <v>0.1</v>
      </c>
    </row>
    <row r="86" spans="1:6" ht="15" thickBot="1">
      <c r="A86" s="1528" t="s">
        <v>1536</v>
      </c>
      <c r="B86" s="1522" t="s">
        <v>1307</v>
      </c>
      <c r="C86" s="2117">
        <v>0.1</v>
      </c>
      <c r="D86" s="2117">
        <v>0.1</v>
      </c>
      <c r="E86" s="2117">
        <v>7.6999999999999999E-2</v>
      </c>
      <c r="F86" s="2118">
        <v>0.1</v>
      </c>
    </row>
    <row r="87" spans="1:6" ht="15" thickBot="1">
      <c r="A87" s="1528" t="s">
        <v>1536</v>
      </c>
      <c r="B87" s="1522" t="s">
        <v>1317</v>
      </c>
      <c r="C87" s="2117">
        <v>0.1</v>
      </c>
      <c r="D87" s="2117">
        <v>0.1</v>
      </c>
      <c r="E87" s="2117">
        <v>9.8000000000000004E-2</v>
      </c>
      <c r="F87" s="2129"/>
    </row>
    <row r="88" spans="1:6" ht="15" thickBot="1">
      <c r="A88" s="1528" t="s">
        <v>1536</v>
      </c>
      <c r="B88" s="1522" t="s">
        <v>1327</v>
      </c>
      <c r="C88" s="2117">
        <v>9.1999999999999998E-2</v>
      </c>
      <c r="D88" s="2117">
        <v>8.5000000000000006E-2</v>
      </c>
      <c r="E88" s="2117">
        <v>9.6000000000000002E-2</v>
      </c>
      <c r="F88" s="2129"/>
    </row>
    <row r="89" spans="1:6" ht="15" thickBot="1">
      <c r="A89" s="1528" t="s">
        <v>1536</v>
      </c>
      <c r="B89" s="1522" t="s">
        <v>1338</v>
      </c>
      <c r="C89" s="2117">
        <v>0.1</v>
      </c>
      <c r="D89" s="2117">
        <v>0.1</v>
      </c>
      <c r="E89" s="2117">
        <v>9.7000000000000003E-2</v>
      </c>
      <c r="F89" s="2129"/>
    </row>
    <row r="90" spans="1:6" ht="15" thickBot="1">
      <c r="A90" s="1528" t="s">
        <v>1536</v>
      </c>
      <c r="B90" s="1522" t="s">
        <v>1349</v>
      </c>
      <c r="C90" s="2117">
        <v>9.8000000000000004E-2</v>
      </c>
      <c r="D90" s="2117">
        <v>9.8000000000000004E-2</v>
      </c>
      <c r="E90" s="2117">
        <v>8.7999999999999995E-2</v>
      </c>
      <c r="F90" s="2129"/>
    </row>
    <row r="91" spans="1:6" ht="15" thickBot="1">
      <c r="A91" s="1528" t="s">
        <v>1536</v>
      </c>
      <c r="B91" s="1522" t="s">
        <v>1359</v>
      </c>
      <c r="C91" s="2117">
        <v>9.9000000000000005E-2</v>
      </c>
      <c r="D91" s="2117">
        <v>9.9000000000000005E-2</v>
      </c>
      <c r="E91" s="2117">
        <v>9.0999999999999998E-2</v>
      </c>
      <c r="F91" s="2129"/>
    </row>
    <row r="92" spans="1:6" ht="15" thickBot="1">
      <c r="A92" s="1528" t="s">
        <v>1536</v>
      </c>
      <c r="B92" s="1522" t="s">
        <v>1369</v>
      </c>
      <c r="C92" s="2117">
        <v>9.6000000000000002E-2</v>
      </c>
      <c r="D92" s="2117">
        <v>9.6000000000000002E-2</v>
      </c>
      <c r="E92" s="2117">
        <v>7.2999999999999995E-2</v>
      </c>
      <c r="F92" s="2129"/>
    </row>
    <row r="93" spans="1:6" ht="15" thickBot="1">
      <c r="A93" s="1528" t="s">
        <v>1536</v>
      </c>
      <c r="B93" s="1522" t="s">
        <v>1379</v>
      </c>
      <c r="C93" s="2117">
        <v>9.6000000000000002E-2</v>
      </c>
      <c r="D93" s="2117">
        <v>9.6000000000000002E-2</v>
      </c>
      <c r="E93" s="2117">
        <v>9.9000000000000005E-2</v>
      </c>
      <c r="F93" s="2129"/>
    </row>
    <row r="94" spans="1:6" ht="15" thickBot="1">
      <c r="A94" s="1528" t="s">
        <v>1536</v>
      </c>
      <c r="B94" s="1522" t="s">
        <v>1389</v>
      </c>
      <c r="C94" s="2117">
        <v>7.5999999999999998E-2</v>
      </c>
      <c r="D94" s="2117">
        <v>7.3999999999999996E-2</v>
      </c>
      <c r="E94" s="2117">
        <v>9.7000000000000003E-2</v>
      </c>
      <c r="F94" s="2129"/>
    </row>
    <row r="95" spans="1:6" ht="15" thickBot="1">
      <c r="A95" s="1528" t="s">
        <v>1536</v>
      </c>
      <c r="B95" s="1522" t="s">
        <v>1398</v>
      </c>
      <c r="C95" s="2117">
        <v>9.9000000000000005E-2</v>
      </c>
      <c r="D95" s="2117">
        <v>9.4E-2</v>
      </c>
      <c r="E95" s="2117">
        <v>9.6000000000000002E-2</v>
      </c>
      <c r="F95" s="2129"/>
    </row>
    <row r="96" spans="1:6" ht="15" thickBot="1">
      <c r="A96" s="1528" t="s">
        <v>1536</v>
      </c>
      <c r="B96" s="1522" t="s">
        <v>1407</v>
      </c>
      <c r="C96" s="2117">
        <v>9.9000000000000005E-2</v>
      </c>
      <c r="D96" s="2117">
        <v>9.9000000000000005E-2</v>
      </c>
      <c r="E96" s="2117">
        <v>9.9000000000000005E-2</v>
      </c>
      <c r="F96" s="2129"/>
    </row>
    <row r="97" spans="1:6" ht="15" thickBot="1">
      <c r="A97" s="1528" t="s">
        <v>1536</v>
      </c>
      <c r="B97" s="1522" t="s">
        <v>1415</v>
      </c>
      <c r="C97" s="2117">
        <v>9.8000000000000004E-2</v>
      </c>
      <c r="D97" s="2117">
        <v>9.8000000000000004E-2</v>
      </c>
      <c r="E97" s="2117">
        <v>9.7000000000000003E-2</v>
      </c>
      <c r="F97" s="2129"/>
    </row>
    <row r="98" spans="1:6" ht="15" thickBot="1">
      <c r="A98" s="1528" t="s">
        <v>1536</v>
      </c>
      <c r="B98" s="1522" t="s">
        <v>1422</v>
      </c>
      <c r="C98" s="2117">
        <v>0.1</v>
      </c>
      <c r="D98" s="2117">
        <v>0.1</v>
      </c>
      <c r="E98" s="2117">
        <v>9.7000000000000003E-2</v>
      </c>
      <c r="F98" s="2129"/>
    </row>
    <row r="99" spans="1:6" ht="15" thickBot="1">
      <c r="A99" s="1528" t="s">
        <v>1536</v>
      </c>
      <c r="B99" s="1522" t="s">
        <v>1429</v>
      </c>
      <c r="C99" s="2117">
        <v>0.1</v>
      </c>
      <c r="D99" s="2117">
        <v>0.1</v>
      </c>
      <c r="E99" s="2130"/>
      <c r="F99" s="2129"/>
    </row>
    <row r="100" spans="1:6" ht="15" thickBot="1">
      <c r="A100" s="1528" t="s">
        <v>1536</v>
      </c>
      <c r="B100" s="1522" t="s">
        <v>1436</v>
      </c>
      <c r="C100" s="2117">
        <v>0.09</v>
      </c>
      <c r="D100" s="2117">
        <v>8.8999999999999996E-2</v>
      </c>
      <c r="E100" s="2130"/>
      <c r="F100" s="2129"/>
    </row>
    <row r="101" spans="1:6" ht="15" thickBot="1">
      <c r="A101" s="1528" t="s">
        <v>1536</v>
      </c>
      <c r="B101" s="1522" t="s">
        <v>1443</v>
      </c>
      <c r="C101" s="2117">
        <v>9.8000000000000004E-2</v>
      </c>
      <c r="D101" s="2117">
        <v>9.7000000000000003E-2</v>
      </c>
      <c r="E101" s="2130"/>
      <c r="F101" s="2129"/>
    </row>
    <row r="102" spans="1:6" ht="24.6" thickBot="1">
      <c r="A102" s="1528" t="s">
        <v>1536</v>
      </c>
      <c r="B102" s="1522" t="s">
        <v>2148</v>
      </c>
      <c r="C102" s="2130"/>
      <c r="D102" s="2130"/>
      <c r="E102" s="2130"/>
      <c r="F102" s="2118">
        <v>0.05</v>
      </c>
    </row>
    <row r="103" spans="1:6" ht="24.6" thickBot="1">
      <c r="A103" s="1528" t="s">
        <v>1536</v>
      </c>
      <c r="B103" s="1522" t="s">
        <v>2149</v>
      </c>
      <c r="C103" s="2130"/>
      <c r="D103" s="2130"/>
      <c r="E103" s="2130"/>
      <c r="F103" s="2118">
        <v>0.05</v>
      </c>
    </row>
    <row r="104" spans="1:6" ht="15" thickBot="1">
      <c r="A104" s="1528" t="s">
        <v>1536</v>
      </c>
      <c r="B104" s="1522" t="s">
        <v>2150</v>
      </c>
      <c r="C104" s="2130"/>
      <c r="D104" s="2130"/>
      <c r="E104" s="2130"/>
      <c r="F104" s="2118">
        <v>0.05</v>
      </c>
    </row>
    <row r="105" spans="1:6" ht="24.6" thickBot="1">
      <c r="A105" s="1528" t="s">
        <v>1536</v>
      </c>
      <c r="B105" s="1522" t="s">
        <v>2151</v>
      </c>
      <c r="C105" s="2130"/>
      <c r="D105" s="2130"/>
      <c r="E105" s="2130"/>
      <c r="F105" s="2118">
        <v>0.05</v>
      </c>
    </row>
    <row r="106" spans="1:6" ht="24.6" thickBot="1">
      <c r="A106" s="1528" t="s">
        <v>1536</v>
      </c>
      <c r="B106" s="1522" t="s">
        <v>2152</v>
      </c>
      <c r="C106" s="2130"/>
      <c r="D106" s="2130"/>
      <c r="E106" s="2130"/>
      <c r="F106" s="2118">
        <v>0.05</v>
      </c>
    </row>
    <row r="107" spans="1:6" ht="24.6" thickBot="1">
      <c r="A107" s="1528" t="s">
        <v>1536</v>
      </c>
      <c r="B107" s="1522" t="s">
        <v>2153</v>
      </c>
      <c r="C107" s="2130"/>
      <c r="D107" s="2130"/>
      <c r="E107" s="2130"/>
      <c r="F107" s="2118">
        <v>0.05</v>
      </c>
    </row>
    <row r="108" spans="1:6" ht="24.6" thickBot="1">
      <c r="A108" s="1528" t="s">
        <v>1536</v>
      </c>
      <c r="B108" s="1522" t="s">
        <v>2154</v>
      </c>
      <c r="C108" s="2130"/>
      <c r="D108" s="2130"/>
      <c r="E108" s="2130"/>
      <c r="F108" s="2118">
        <v>0.05</v>
      </c>
    </row>
    <row r="109" spans="1:6" ht="24.6" thickBot="1">
      <c r="A109" s="1538" t="s">
        <v>1536</v>
      </c>
      <c r="B109" s="1534" t="s">
        <v>2155</v>
      </c>
      <c r="C109" s="2127"/>
      <c r="D109" s="2127"/>
      <c r="E109" s="2127"/>
      <c r="F109" s="2120">
        <v>0.05</v>
      </c>
    </row>
    <row r="110" spans="1:6" ht="15" thickBot="1">
      <c r="A110" s="1528" t="s">
        <v>203</v>
      </c>
      <c r="B110" s="1529" t="s">
        <v>2156</v>
      </c>
      <c r="C110" s="2115">
        <v>0.129</v>
      </c>
      <c r="D110" s="2115">
        <v>0.129</v>
      </c>
      <c r="E110" s="2115">
        <v>0.126</v>
      </c>
      <c r="F110" s="2116">
        <v>0.13</v>
      </c>
    </row>
    <row r="111" spans="1:6" ht="15" thickBot="1">
      <c r="A111" s="1528" t="s">
        <v>203</v>
      </c>
      <c r="B111" s="1522" t="s">
        <v>1205</v>
      </c>
      <c r="C111" s="2117">
        <v>0.11</v>
      </c>
      <c r="D111" s="2117">
        <v>0.11</v>
      </c>
      <c r="E111" s="2117">
        <v>9.9000000000000005E-2</v>
      </c>
      <c r="F111" s="2118">
        <v>0.128</v>
      </c>
    </row>
    <row r="112" spans="1:6" ht="15" thickBot="1">
      <c r="A112" s="1528" t="s">
        <v>203</v>
      </c>
      <c r="B112" s="1522" t="s">
        <v>1218</v>
      </c>
      <c r="C112" s="2117">
        <v>0.125</v>
      </c>
      <c r="D112" s="2117">
        <v>0.125</v>
      </c>
      <c r="E112" s="2117">
        <v>0.12</v>
      </c>
      <c r="F112" s="2118">
        <v>0.125</v>
      </c>
    </row>
    <row r="113" spans="1:6" ht="15" thickBot="1">
      <c r="A113" s="1528" t="s">
        <v>203</v>
      </c>
      <c r="B113" s="1522" t="s">
        <v>1231</v>
      </c>
      <c r="C113" s="2117">
        <v>0.13</v>
      </c>
      <c r="D113" s="2117">
        <v>0.13</v>
      </c>
      <c r="E113" s="2117">
        <v>0.13</v>
      </c>
      <c r="F113" s="2118">
        <v>0.13</v>
      </c>
    </row>
    <row r="114" spans="1:6" ht="15" thickBot="1">
      <c r="A114" s="1528" t="s">
        <v>203</v>
      </c>
      <c r="B114" s="1522" t="s">
        <v>1243</v>
      </c>
      <c r="C114" s="2117">
        <v>0.123</v>
      </c>
      <c r="D114" s="2117">
        <v>0.123</v>
      </c>
      <c r="E114" s="2117">
        <v>0.12</v>
      </c>
      <c r="F114" s="2118">
        <v>0.13</v>
      </c>
    </row>
    <row r="115" spans="1:6" ht="15" thickBot="1">
      <c r="A115" s="1528" t="s">
        <v>203</v>
      </c>
      <c r="B115" s="1522" t="s">
        <v>1254</v>
      </c>
      <c r="C115" s="2117">
        <v>0.125</v>
      </c>
      <c r="D115" s="2117">
        <v>0.125</v>
      </c>
      <c r="E115" s="2117">
        <v>0.11700000000000001</v>
      </c>
      <c r="F115" s="2118">
        <v>0.13</v>
      </c>
    </row>
    <row r="116" spans="1:6" ht="15" thickBot="1">
      <c r="A116" s="1528" t="s">
        <v>203</v>
      </c>
      <c r="B116" s="1522" t="s">
        <v>1265</v>
      </c>
      <c r="C116" s="2117">
        <v>0.11700000000000001</v>
      </c>
      <c r="D116" s="2117">
        <v>0.11700000000000001</v>
      </c>
      <c r="E116" s="2117">
        <v>8.7999999999999995E-2</v>
      </c>
      <c r="F116" s="2118">
        <v>0.13</v>
      </c>
    </row>
    <row r="117" spans="1:6" ht="15" thickBot="1">
      <c r="A117" s="1528" t="s">
        <v>203</v>
      </c>
      <c r="B117" s="1522" t="s">
        <v>1276</v>
      </c>
      <c r="C117" s="2117">
        <v>0.13</v>
      </c>
      <c r="D117" s="2117">
        <v>0.13</v>
      </c>
      <c r="E117" s="2117">
        <v>0.129</v>
      </c>
      <c r="F117" s="2118">
        <v>0.13</v>
      </c>
    </row>
    <row r="118" spans="1:6" ht="15" thickBot="1">
      <c r="A118" s="1528" t="s">
        <v>203</v>
      </c>
      <c r="B118" s="1522" t="s">
        <v>1288</v>
      </c>
      <c r="C118" s="2117">
        <v>0.123</v>
      </c>
      <c r="D118" s="2117">
        <v>0.123</v>
      </c>
      <c r="E118" s="2117">
        <v>0.11600000000000001</v>
      </c>
      <c r="F118" s="2118">
        <v>0.13</v>
      </c>
    </row>
    <row r="119" spans="1:6" ht="15" thickBot="1">
      <c r="A119" s="1528" t="s">
        <v>203</v>
      </c>
      <c r="B119" s="1522" t="s">
        <v>1298</v>
      </c>
      <c r="C119" s="2117">
        <v>0.127</v>
      </c>
      <c r="D119" s="2117">
        <v>0.127</v>
      </c>
      <c r="E119" s="2117">
        <v>0.124</v>
      </c>
      <c r="F119" s="2118">
        <v>0.13</v>
      </c>
    </row>
    <row r="120" spans="1:6" ht="15" thickBot="1">
      <c r="A120" s="1528" t="s">
        <v>203</v>
      </c>
      <c r="B120" s="1522" t="s">
        <v>1308</v>
      </c>
      <c r="C120" s="2117">
        <v>0.125</v>
      </c>
      <c r="D120" s="2117">
        <v>0.125</v>
      </c>
      <c r="E120" s="2117">
        <v>0.122</v>
      </c>
      <c r="F120" s="2118">
        <v>0.13</v>
      </c>
    </row>
    <row r="121" spans="1:6" ht="15" thickBot="1">
      <c r="A121" s="1528" t="s">
        <v>203</v>
      </c>
      <c r="B121" s="1522" t="s">
        <v>1318</v>
      </c>
      <c r="C121" s="2117">
        <v>0.13</v>
      </c>
      <c r="D121" s="2117">
        <v>0.13</v>
      </c>
      <c r="E121" s="2117">
        <v>0.13</v>
      </c>
      <c r="F121" s="2118">
        <v>0.13</v>
      </c>
    </row>
    <row r="122" spans="1:6" ht="15" thickBot="1">
      <c r="A122" s="1528" t="s">
        <v>203</v>
      </c>
      <c r="B122" s="1522" t="s">
        <v>1328</v>
      </c>
      <c r="C122" s="2117">
        <v>0.13</v>
      </c>
      <c r="D122" s="2117">
        <v>0.13</v>
      </c>
      <c r="E122" s="2117">
        <v>0.125</v>
      </c>
      <c r="F122" s="2118">
        <v>0.13</v>
      </c>
    </row>
    <row r="123" spans="1:6" ht="15" thickBot="1">
      <c r="A123" s="1528" t="s">
        <v>203</v>
      </c>
      <c r="B123" s="1522" t="s">
        <v>1339</v>
      </c>
      <c r="C123" s="2117">
        <v>0.129</v>
      </c>
      <c r="D123" s="2117">
        <v>0.129</v>
      </c>
      <c r="E123" s="2117">
        <v>0.123</v>
      </c>
      <c r="F123" s="2118">
        <v>0.13</v>
      </c>
    </row>
    <row r="124" spans="1:6" ht="15" thickBot="1">
      <c r="A124" s="1528" t="s">
        <v>203</v>
      </c>
      <c r="B124" s="1522" t="s">
        <v>1350</v>
      </c>
      <c r="C124" s="2117">
        <v>0.10199999999999999</v>
      </c>
      <c r="D124" s="2117">
        <v>0.10100000000000001</v>
      </c>
      <c r="E124" s="2117">
        <v>0.08</v>
      </c>
      <c r="F124" s="2129"/>
    </row>
    <row r="125" spans="1:6" ht="15" thickBot="1">
      <c r="A125" s="1528" t="s">
        <v>203</v>
      </c>
      <c r="B125" s="1522" t="s">
        <v>1360</v>
      </c>
      <c r="C125" s="2117">
        <v>0.13</v>
      </c>
      <c r="D125" s="2117">
        <v>0.13</v>
      </c>
      <c r="E125" s="2117">
        <v>0.129</v>
      </c>
      <c r="F125" s="2129"/>
    </row>
    <row r="126" spans="1:6" ht="15" thickBot="1">
      <c r="A126" s="1528" t="s">
        <v>203</v>
      </c>
      <c r="B126" s="1522" t="s">
        <v>1370</v>
      </c>
      <c r="C126" s="2117">
        <v>0.13</v>
      </c>
      <c r="D126" s="2117">
        <v>0.13</v>
      </c>
      <c r="E126" s="2117">
        <v>0.126</v>
      </c>
      <c r="F126" s="2129"/>
    </row>
    <row r="127" spans="1:6" ht="15" thickBot="1">
      <c r="A127" s="1528" t="s">
        <v>203</v>
      </c>
      <c r="B127" s="1522" t="s">
        <v>1380</v>
      </c>
      <c r="C127" s="2117">
        <v>0.125</v>
      </c>
      <c r="D127" s="2117">
        <v>0.125</v>
      </c>
      <c r="E127" s="2117">
        <v>0.121</v>
      </c>
      <c r="F127" s="2129"/>
    </row>
    <row r="128" spans="1:6" ht="15" thickBot="1">
      <c r="A128" s="1528" t="s">
        <v>203</v>
      </c>
      <c r="B128" s="1522" t="s">
        <v>1390</v>
      </c>
      <c r="C128" s="2117">
        <v>0.12</v>
      </c>
      <c r="D128" s="2117">
        <v>0.12</v>
      </c>
      <c r="E128" s="2117">
        <v>0.105</v>
      </c>
      <c r="F128" s="2129"/>
    </row>
    <row r="129" spans="1:6" ht="15" thickBot="1">
      <c r="A129" s="1528" t="s">
        <v>203</v>
      </c>
      <c r="B129" s="1522" t="s">
        <v>1399</v>
      </c>
      <c r="C129" s="2117">
        <v>0.13</v>
      </c>
      <c r="D129" s="2117">
        <v>0.13</v>
      </c>
      <c r="E129" s="2117">
        <v>0.126</v>
      </c>
      <c r="F129" s="2129"/>
    </row>
    <row r="130" spans="1:6" ht="15" thickBot="1">
      <c r="A130" s="1528" t="s">
        <v>203</v>
      </c>
      <c r="B130" s="1522" t="s">
        <v>1408</v>
      </c>
      <c r="C130" s="2117">
        <v>0.125</v>
      </c>
      <c r="D130" s="2117">
        <v>0.125</v>
      </c>
      <c r="E130" s="2117">
        <v>0.122</v>
      </c>
      <c r="F130" s="2129"/>
    </row>
    <row r="131" spans="1:6" ht="15" thickBot="1">
      <c r="A131" s="1528" t="s">
        <v>203</v>
      </c>
      <c r="B131" s="1522" t="s">
        <v>1416</v>
      </c>
      <c r="C131" s="2117">
        <v>0.127</v>
      </c>
      <c r="D131" s="2117">
        <v>0.126</v>
      </c>
      <c r="E131" s="2117">
        <v>0.123</v>
      </c>
      <c r="F131" s="2129"/>
    </row>
    <row r="132" spans="1:6" ht="15" thickBot="1">
      <c r="A132" s="1528" t="s">
        <v>203</v>
      </c>
      <c r="B132" s="1522" t="s">
        <v>1423</v>
      </c>
      <c r="C132" s="2117">
        <v>9.0999999999999998E-2</v>
      </c>
      <c r="D132" s="2117">
        <v>0.121</v>
      </c>
      <c r="E132" s="2117">
        <v>9.9000000000000005E-2</v>
      </c>
      <c r="F132" s="2129"/>
    </row>
    <row r="133" spans="1:6" ht="15" thickBot="1">
      <c r="A133" s="1528" t="s">
        <v>203</v>
      </c>
      <c r="B133" s="1522" t="s">
        <v>1430</v>
      </c>
      <c r="C133" s="2117">
        <v>0.13</v>
      </c>
      <c r="D133" s="2117">
        <v>0.13</v>
      </c>
      <c r="E133" s="2117">
        <v>0.129</v>
      </c>
      <c r="F133" s="2129"/>
    </row>
    <row r="134" spans="1:6" ht="15" thickBot="1">
      <c r="A134" s="1528" t="s">
        <v>203</v>
      </c>
      <c r="B134" s="1522" t="s">
        <v>2157</v>
      </c>
      <c r="C134" s="2117">
        <v>6.8000000000000005E-2</v>
      </c>
      <c r="D134" s="2117">
        <v>6.5000000000000002E-2</v>
      </c>
      <c r="E134" s="2117">
        <v>6.5000000000000002E-2</v>
      </c>
      <c r="F134" s="2118">
        <v>0.13</v>
      </c>
    </row>
    <row r="135" spans="1:6" ht="15" thickBot="1">
      <c r="A135" s="1528" t="s">
        <v>203</v>
      </c>
      <c r="B135" s="1522" t="s">
        <v>1444</v>
      </c>
      <c r="C135" s="2117">
        <v>0.123</v>
      </c>
      <c r="D135" s="2117">
        <v>0.123</v>
      </c>
      <c r="E135" s="2117">
        <v>0.11</v>
      </c>
      <c r="F135" s="2129"/>
    </row>
    <row r="136" spans="1:6" ht="15" thickBot="1">
      <c r="A136" s="1528" t="s">
        <v>203</v>
      </c>
      <c r="B136" s="1522" t="s">
        <v>1451</v>
      </c>
      <c r="C136" s="2117">
        <v>0.13</v>
      </c>
      <c r="D136" s="2117">
        <v>0.13</v>
      </c>
      <c r="E136" s="2117">
        <v>0.125</v>
      </c>
      <c r="F136" s="2129"/>
    </row>
    <row r="137" spans="1:6" ht="15" thickBot="1">
      <c r="A137" s="1528" t="s">
        <v>203</v>
      </c>
      <c r="B137" s="1522" t="s">
        <v>1458</v>
      </c>
      <c r="C137" s="2117">
        <v>0.121</v>
      </c>
      <c r="D137" s="2117">
        <v>0.122</v>
      </c>
      <c r="E137" s="2117">
        <v>0.115</v>
      </c>
      <c r="F137" s="2129"/>
    </row>
    <row r="138" spans="1:6" ht="15" thickBot="1">
      <c r="A138" s="1528" t="s">
        <v>203</v>
      </c>
      <c r="B138" s="1522" t="s">
        <v>2158</v>
      </c>
      <c r="C138" s="2117">
        <v>0.105</v>
      </c>
      <c r="D138" s="2117">
        <v>0.125</v>
      </c>
      <c r="E138" s="2117">
        <v>0.112</v>
      </c>
      <c r="F138" s="2129"/>
    </row>
    <row r="139" spans="1:6" ht="15" thickBot="1">
      <c r="A139" s="1528" t="s">
        <v>203</v>
      </c>
      <c r="B139" s="1522" t="s">
        <v>2159</v>
      </c>
      <c r="C139" s="2117">
        <v>0.127</v>
      </c>
      <c r="D139" s="2117">
        <v>0.127</v>
      </c>
      <c r="E139" s="2117">
        <v>0.122</v>
      </c>
      <c r="F139" s="2118">
        <v>0.13</v>
      </c>
    </row>
    <row r="140" spans="1:6" ht="15" thickBot="1">
      <c r="A140" s="1528" t="s">
        <v>203</v>
      </c>
      <c r="B140" s="1522" t="s">
        <v>2160</v>
      </c>
      <c r="C140" s="2117">
        <v>0.125</v>
      </c>
      <c r="D140" s="2117">
        <v>0.125</v>
      </c>
      <c r="E140" s="2117">
        <v>0.11899999999999999</v>
      </c>
      <c r="F140" s="2118">
        <v>0.13</v>
      </c>
    </row>
    <row r="141" spans="1:6" ht="15" thickBot="1">
      <c r="A141" s="1528" t="s">
        <v>203</v>
      </c>
      <c r="B141" s="1522" t="s">
        <v>1477</v>
      </c>
      <c r="C141" s="2117">
        <v>0.125</v>
      </c>
      <c r="D141" s="2117">
        <v>0.125</v>
      </c>
      <c r="E141" s="2117">
        <v>0.11700000000000001</v>
      </c>
      <c r="F141" s="2129"/>
    </row>
    <row r="142" spans="1:6" ht="15" thickBot="1">
      <c r="A142" s="1528" t="s">
        <v>203</v>
      </c>
      <c r="B142" s="1522" t="s">
        <v>1482</v>
      </c>
      <c r="C142" s="2117">
        <v>0.125</v>
      </c>
      <c r="D142" s="2117">
        <v>0.125</v>
      </c>
      <c r="E142" s="2117">
        <v>0.115</v>
      </c>
      <c r="F142" s="2129"/>
    </row>
    <row r="143" spans="1:6" ht="15" thickBot="1">
      <c r="A143" s="1528" t="s">
        <v>203</v>
      </c>
      <c r="B143" s="1522" t="s">
        <v>1487</v>
      </c>
      <c r="C143" s="2117">
        <v>0.121</v>
      </c>
      <c r="D143" s="2117">
        <v>0.121</v>
      </c>
      <c r="E143" s="2117">
        <v>0.108</v>
      </c>
      <c r="F143" s="2129"/>
    </row>
    <row r="144" spans="1:6" ht="15" thickBot="1">
      <c r="A144" s="1528" t="s">
        <v>203</v>
      </c>
      <c r="B144" s="2121" t="s">
        <v>2161</v>
      </c>
      <c r="C144" s="2122">
        <v>0.126</v>
      </c>
      <c r="D144" s="2122">
        <v>0.126</v>
      </c>
      <c r="E144" s="2122">
        <v>0.121</v>
      </c>
      <c r="F144" s="2129"/>
    </row>
    <row r="145" spans="1:6" ht="15" thickBot="1">
      <c r="A145" s="1538" t="s">
        <v>203</v>
      </c>
      <c r="B145" s="2123" t="s">
        <v>2162</v>
      </c>
      <c r="C145" s="2131"/>
      <c r="D145" s="2131"/>
      <c r="E145" s="2131"/>
      <c r="F145" s="2124">
        <v>0.05</v>
      </c>
    </row>
    <row r="146" spans="1:6" ht="24.6" thickBot="1">
      <c r="A146" s="2125" t="s">
        <v>203</v>
      </c>
      <c r="B146" s="1532" t="s">
        <v>2163</v>
      </c>
      <c r="C146" s="2130"/>
      <c r="D146" s="2130"/>
      <c r="E146" s="2130"/>
      <c r="F146" s="2126">
        <v>0.05</v>
      </c>
    </row>
    <row r="147" spans="1:6" ht="24.6" thickBot="1">
      <c r="A147" s="1528" t="s">
        <v>203</v>
      </c>
      <c r="B147" s="1522" t="s">
        <v>2164</v>
      </c>
      <c r="C147" s="2130"/>
      <c r="D147" s="2130"/>
      <c r="E147" s="2130"/>
      <c r="F147" s="2118">
        <v>0.05</v>
      </c>
    </row>
    <row r="148" spans="1:6" ht="24.6" thickBot="1">
      <c r="A148" s="1528" t="s">
        <v>203</v>
      </c>
      <c r="B148" s="1522" t="s">
        <v>2165</v>
      </c>
      <c r="C148" s="2130"/>
      <c r="D148" s="2130"/>
      <c r="E148" s="2130"/>
      <c r="F148" s="2118">
        <v>0.05</v>
      </c>
    </row>
    <row r="149" spans="1:6" ht="24.6" thickBot="1">
      <c r="A149" s="1528" t="s">
        <v>203</v>
      </c>
      <c r="B149" s="1522" t="s">
        <v>2166</v>
      </c>
      <c r="C149" s="2130"/>
      <c r="D149" s="2130"/>
      <c r="E149" s="2130"/>
      <c r="F149" s="2118">
        <v>0.05</v>
      </c>
    </row>
    <row r="150" spans="1:6" ht="24.6" thickBot="1">
      <c r="A150" s="1528" t="s">
        <v>203</v>
      </c>
      <c r="B150" s="1522" t="s">
        <v>2167</v>
      </c>
      <c r="C150" s="2130"/>
      <c r="D150" s="2130"/>
      <c r="E150" s="2130"/>
      <c r="F150" s="2118">
        <v>0.05</v>
      </c>
    </row>
    <row r="151" spans="1:6" ht="24.6" thickBot="1">
      <c r="A151" s="1528" t="s">
        <v>203</v>
      </c>
      <c r="B151" s="1522" t="s">
        <v>2168</v>
      </c>
      <c r="C151" s="2130"/>
      <c r="D151" s="2130"/>
      <c r="E151" s="2130"/>
      <c r="F151" s="2118">
        <v>0.05</v>
      </c>
    </row>
    <row r="152" spans="1:6" ht="24.6" thickBot="1">
      <c r="A152" s="1528" t="s">
        <v>203</v>
      </c>
      <c r="B152" s="1522" t="s">
        <v>1520</v>
      </c>
      <c r="C152" s="2130"/>
      <c r="D152" s="2130"/>
      <c r="E152" s="2130"/>
      <c r="F152" s="2118">
        <v>0.05</v>
      </c>
    </row>
    <row r="153" spans="1:6" ht="15" thickBot="1">
      <c r="A153" s="1528" t="s">
        <v>203</v>
      </c>
      <c r="B153" s="1522" t="s">
        <v>2169</v>
      </c>
      <c r="C153" s="2130"/>
      <c r="D153" s="2130"/>
      <c r="E153" s="2130"/>
      <c r="F153" s="2118">
        <v>0.05</v>
      </c>
    </row>
    <row r="154" spans="1:6" ht="15" thickBot="1">
      <c r="A154" s="1528" t="s">
        <v>203</v>
      </c>
      <c r="B154" s="1522" t="s">
        <v>2170</v>
      </c>
      <c r="C154" s="2130"/>
      <c r="D154" s="2130"/>
      <c r="E154" s="2130"/>
      <c r="F154" s="2118">
        <v>0.05</v>
      </c>
    </row>
    <row r="155" spans="1:6" ht="24.6" thickBot="1">
      <c r="A155" s="1528" t="s">
        <v>203</v>
      </c>
      <c r="B155" s="1522" t="s">
        <v>2171</v>
      </c>
      <c r="C155" s="2130"/>
      <c r="D155" s="2130"/>
      <c r="E155" s="2130"/>
      <c r="F155" s="2118">
        <v>0.05</v>
      </c>
    </row>
    <row r="156" spans="1:6" ht="24.6" thickBot="1">
      <c r="A156" s="1528" t="s">
        <v>203</v>
      </c>
      <c r="B156" s="1522" t="s">
        <v>2172</v>
      </c>
      <c r="C156" s="2130"/>
      <c r="D156" s="2130"/>
      <c r="E156" s="2130"/>
      <c r="F156" s="2118">
        <v>0.05</v>
      </c>
    </row>
    <row r="157" spans="1:6" ht="24.6" thickBot="1">
      <c r="A157" s="1538" t="s">
        <v>203</v>
      </c>
      <c r="B157" s="1534" t="s">
        <v>2173</v>
      </c>
      <c r="C157" s="2127"/>
      <c r="D157" s="2127"/>
      <c r="E157" s="2127"/>
      <c r="F157" s="2120">
        <v>0.05</v>
      </c>
    </row>
    <row r="158" spans="1:6" ht="15" thickBot="1">
      <c r="A158" s="1528" t="s">
        <v>1539</v>
      </c>
      <c r="B158" s="1529" t="s">
        <v>2174</v>
      </c>
      <c r="C158" s="2115">
        <v>0.13</v>
      </c>
      <c r="D158" s="2115">
        <v>0.13</v>
      </c>
      <c r="E158" s="2115">
        <v>0.13</v>
      </c>
      <c r="F158" s="2116">
        <v>0.13</v>
      </c>
    </row>
    <row r="159" spans="1:6" ht="15" thickBot="1">
      <c r="A159" s="1528" t="s">
        <v>1539</v>
      </c>
      <c r="B159" s="1522" t="s">
        <v>1206</v>
      </c>
      <c r="C159" s="2117">
        <v>0.13</v>
      </c>
      <c r="D159" s="2117">
        <v>0.13</v>
      </c>
      <c r="E159" s="2117">
        <v>0.13</v>
      </c>
      <c r="F159" s="2118">
        <v>0.13</v>
      </c>
    </row>
    <row r="160" spans="1:6" ht="15" thickBot="1">
      <c r="A160" s="1528" t="s">
        <v>1539</v>
      </c>
      <c r="B160" s="1522" t="s">
        <v>1219</v>
      </c>
      <c r="C160" s="2117">
        <v>0.13</v>
      </c>
      <c r="D160" s="2117">
        <v>0.13</v>
      </c>
      <c r="E160" s="2117">
        <v>0.129</v>
      </c>
      <c r="F160" s="2118">
        <v>0.13</v>
      </c>
    </row>
    <row r="161" spans="1:6" ht="15" thickBot="1">
      <c r="A161" s="1528" t="s">
        <v>1539</v>
      </c>
      <c r="B161" s="1522" t="s">
        <v>1232</v>
      </c>
      <c r="C161" s="2117">
        <v>0.128</v>
      </c>
      <c r="D161" s="2117">
        <v>0.128</v>
      </c>
      <c r="E161" s="2117">
        <v>0.125</v>
      </c>
      <c r="F161" s="2118">
        <v>0.13</v>
      </c>
    </row>
    <row r="162" spans="1:6" ht="15" thickBot="1">
      <c r="A162" s="1528" t="s">
        <v>1539</v>
      </c>
      <c r="B162" s="1522" t="s">
        <v>1244</v>
      </c>
      <c r="C162" s="2117">
        <v>0.122</v>
      </c>
      <c r="D162" s="2117">
        <v>0.122</v>
      </c>
      <c r="E162" s="2117">
        <v>0.126</v>
      </c>
      <c r="F162" s="2118">
        <v>0.122</v>
      </c>
    </row>
    <row r="163" spans="1:6" ht="15" thickBot="1">
      <c r="A163" s="1528" t="s">
        <v>1539</v>
      </c>
      <c r="B163" s="1522" t="s">
        <v>1255</v>
      </c>
      <c r="C163" s="2117">
        <v>0.13</v>
      </c>
      <c r="D163" s="2117">
        <v>0.13</v>
      </c>
      <c r="E163" s="2117">
        <v>0.125</v>
      </c>
      <c r="F163" s="2118">
        <v>0.13</v>
      </c>
    </row>
    <row r="164" spans="1:6" ht="15" thickBot="1">
      <c r="A164" s="1528" t="s">
        <v>1539</v>
      </c>
      <c r="B164" s="1522" t="s">
        <v>1266</v>
      </c>
      <c r="C164" s="2117">
        <v>0.13</v>
      </c>
      <c r="D164" s="2117">
        <v>0.13</v>
      </c>
      <c r="E164" s="2117">
        <v>0.13</v>
      </c>
      <c r="F164" s="2118">
        <v>0.13</v>
      </c>
    </row>
    <row r="165" spans="1:6" ht="15" thickBot="1">
      <c r="A165" s="1528" t="s">
        <v>1539</v>
      </c>
      <c r="B165" s="1522" t="s">
        <v>1277</v>
      </c>
      <c r="C165" s="2117">
        <v>0.13</v>
      </c>
      <c r="D165" s="2117">
        <v>0.13</v>
      </c>
      <c r="E165" s="2117">
        <v>0.124</v>
      </c>
      <c r="F165" s="2118">
        <v>0.13</v>
      </c>
    </row>
    <row r="166" spans="1:6" ht="15" thickBot="1">
      <c r="A166" s="1528" t="s">
        <v>1539</v>
      </c>
      <c r="B166" s="1522" t="s">
        <v>1289</v>
      </c>
      <c r="C166" s="2117">
        <v>0.13</v>
      </c>
      <c r="D166" s="2117">
        <v>0.13</v>
      </c>
      <c r="E166" s="2117">
        <v>0.13</v>
      </c>
      <c r="F166" s="2118">
        <v>0.13</v>
      </c>
    </row>
    <row r="167" spans="1:6" ht="15" thickBot="1">
      <c r="A167" s="1528" t="s">
        <v>1539</v>
      </c>
      <c r="B167" s="1522" t="s">
        <v>1299</v>
      </c>
      <c r="C167" s="2117">
        <v>0.125</v>
      </c>
      <c r="D167" s="2117">
        <v>0.125</v>
      </c>
      <c r="E167" s="2117">
        <v>0.121</v>
      </c>
      <c r="F167" s="2129"/>
    </row>
    <row r="168" spans="1:6" ht="15" thickBot="1">
      <c r="A168" s="1528" t="s">
        <v>1539</v>
      </c>
      <c r="B168" s="1522" t="s">
        <v>1309</v>
      </c>
      <c r="C168" s="2117">
        <v>0.13</v>
      </c>
      <c r="D168" s="2117">
        <v>0.13</v>
      </c>
      <c r="E168" s="2117">
        <v>0.126</v>
      </c>
      <c r="F168" s="2129"/>
    </row>
    <row r="169" spans="1:6" ht="15" thickBot="1">
      <c r="A169" s="1528" t="s">
        <v>1539</v>
      </c>
      <c r="B169" s="1522" t="s">
        <v>1319</v>
      </c>
      <c r="C169" s="2117">
        <v>0.128</v>
      </c>
      <c r="D169" s="2117">
        <v>0.129</v>
      </c>
      <c r="E169" s="2117">
        <v>0.13</v>
      </c>
      <c r="F169" s="2129"/>
    </row>
    <row r="170" spans="1:6" ht="15" thickBot="1">
      <c r="A170" s="1528" t="s">
        <v>1539</v>
      </c>
      <c r="B170" s="1522" t="s">
        <v>1329</v>
      </c>
      <c r="C170" s="2117">
        <v>0.14099999999999999</v>
      </c>
      <c r="D170" s="2117">
        <v>0.13</v>
      </c>
      <c r="E170" s="2117">
        <v>0.125</v>
      </c>
      <c r="F170" s="2129"/>
    </row>
    <row r="171" spans="1:6" ht="15" thickBot="1">
      <c r="A171" s="1528" t="s">
        <v>1539</v>
      </c>
      <c r="B171" s="1522" t="s">
        <v>2175</v>
      </c>
      <c r="C171" s="2117">
        <v>0.127</v>
      </c>
      <c r="D171" s="2117">
        <v>0.126</v>
      </c>
      <c r="E171" s="2117">
        <v>0.126</v>
      </c>
      <c r="F171" s="2118">
        <v>0.11799999999999999</v>
      </c>
    </row>
    <row r="172" spans="1:6" ht="15" thickBot="1">
      <c r="A172" s="1528" t="s">
        <v>1539</v>
      </c>
      <c r="B172" s="1522" t="s">
        <v>2176</v>
      </c>
      <c r="C172" s="2117">
        <v>0.13</v>
      </c>
      <c r="D172" s="2117">
        <v>0.13</v>
      </c>
      <c r="E172" s="2117">
        <v>0.13</v>
      </c>
      <c r="F172" s="2129"/>
    </row>
    <row r="173" spans="1:6" ht="15" thickBot="1">
      <c r="A173" s="1528" t="s">
        <v>1539</v>
      </c>
      <c r="B173" s="1522" t="s">
        <v>1361</v>
      </c>
      <c r="C173" s="2117">
        <v>0.13</v>
      </c>
      <c r="D173" s="2117">
        <v>0.13</v>
      </c>
      <c r="E173" s="2117">
        <v>0.13</v>
      </c>
      <c r="F173" s="2129"/>
    </row>
    <row r="174" spans="1:6" ht="15" thickBot="1">
      <c r="A174" s="1528" t="s">
        <v>1539</v>
      </c>
      <c r="B174" s="1522" t="s">
        <v>2177</v>
      </c>
      <c r="C174" s="2117">
        <v>0.13</v>
      </c>
      <c r="D174" s="2117">
        <v>0.13</v>
      </c>
      <c r="E174" s="2117">
        <v>0.13</v>
      </c>
      <c r="F174" s="2118">
        <v>0.13</v>
      </c>
    </row>
    <row r="175" spans="1:6" ht="15" thickBot="1">
      <c r="A175" s="1528" t="s">
        <v>1539</v>
      </c>
      <c r="B175" s="1522" t="s">
        <v>2178</v>
      </c>
      <c r="C175" s="2117">
        <v>0.13</v>
      </c>
      <c r="D175" s="2117">
        <v>0.13</v>
      </c>
      <c r="E175" s="2117">
        <v>0.13</v>
      </c>
      <c r="F175" s="2118">
        <v>0.13</v>
      </c>
    </row>
    <row r="176" spans="1:6" ht="15" thickBot="1">
      <c r="A176" s="1528" t="s">
        <v>1539</v>
      </c>
      <c r="B176" s="1522" t="s">
        <v>1391</v>
      </c>
      <c r="C176" s="2117">
        <v>0.13</v>
      </c>
      <c r="D176" s="2117">
        <v>0.13</v>
      </c>
      <c r="E176" s="2117">
        <v>0.13</v>
      </c>
      <c r="F176" s="2118">
        <v>0.13</v>
      </c>
    </row>
    <row r="177" spans="1:6" ht="15" thickBot="1">
      <c r="A177" s="1528" t="s">
        <v>1539</v>
      </c>
      <c r="B177" s="1522" t="s">
        <v>2179</v>
      </c>
      <c r="C177" s="2117">
        <v>0.13</v>
      </c>
      <c r="D177" s="2117">
        <v>0.13</v>
      </c>
      <c r="E177" s="2117">
        <v>0.13</v>
      </c>
      <c r="F177" s="2118">
        <v>0.13</v>
      </c>
    </row>
    <row r="178" spans="1:6" ht="15" thickBot="1">
      <c r="A178" s="1528" t="s">
        <v>1539</v>
      </c>
      <c r="B178" s="1522" t="s">
        <v>1409</v>
      </c>
      <c r="C178" s="2117">
        <v>0.13</v>
      </c>
      <c r="D178" s="2117">
        <v>0.13</v>
      </c>
      <c r="E178" s="2117">
        <v>0.13</v>
      </c>
      <c r="F178" s="2118">
        <v>0.127</v>
      </c>
    </row>
    <row r="179" spans="1:6" ht="15" thickBot="1">
      <c r="A179" s="1528" t="s">
        <v>1539</v>
      </c>
      <c r="B179" s="1522" t="s">
        <v>1417</v>
      </c>
      <c r="C179" s="2117">
        <v>0.13</v>
      </c>
      <c r="D179" s="2117">
        <v>0.13</v>
      </c>
      <c r="E179" s="2117">
        <v>0.13</v>
      </c>
      <c r="F179" s="2129"/>
    </row>
    <row r="180" spans="1:6" ht="15" thickBot="1">
      <c r="A180" s="1528" t="s">
        <v>1539</v>
      </c>
      <c r="B180" s="1522" t="s">
        <v>2180</v>
      </c>
      <c r="C180" s="2117">
        <v>0.13</v>
      </c>
      <c r="D180" s="2117">
        <v>0.13</v>
      </c>
      <c r="E180" s="2117">
        <v>0.125</v>
      </c>
      <c r="F180" s="2118">
        <v>0.13</v>
      </c>
    </row>
    <row r="181" spans="1:6" ht="15" thickBot="1">
      <c r="A181" s="1528" t="s">
        <v>1539</v>
      </c>
      <c r="B181" s="1522" t="s">
        <v>1431</v>
      </c>
      <c r="C181" s="2117">
        <v>0.122</v>
      </c>
      <c r="D181" s="2117">
        <v>0.123</v>
      </c>
      <c r="E181" s="2117">
        <v>0.126</v>
      </c>
      <c r="F181" s="2118">
        <v>0.121</v>
      </c>
    </row>
    <row r="182" spans="1:6" ht="15" thickBot="1">
      <c r="A182" s="1528" t="s">
        <v>1539</v>
      </c>
      <c r="B182" s="1522" t="s">
        <v>1438</v>
      </c>
      <c r="C182" s="2117">
        <v>0.125</v>
      </c>
      <c r="D182" s="2117">
        <v>0.125</v>
      </c>
      <c r="E182" s="2117">
        <v>0.11700000000000001</v>
      </c>
      <c r="F182" s="2118">
        <v>0.13</v>
      </c>
    </row>
    <row r="183" spans="1:6" ht="15" thickBot="1">
      <c r="A183" s="1528" t="s">
        <v>1539</v>
      </c>
      <c r="B183" s="1522" t="s">
        <v>1445</v>
      </c>
      <c r="C183" s="2117">
        <v>0.127</v>
      </c>
      <c r="D183" s="2117">
        <v>0.127</v>
      </c>
      <c r="E183" s="2117">
        <v>0.128</v>
      </c>
      <c r="F183" s="2129"/>
    </row>
    <row r="184" spans="1:6" ht="15" thickBot="1">
      <c r="A184" s="1528" t="s">
        <v>1539</v>
      </c>
      <c r="B184" s="1522" t="s">
        <v>1452</v>
      </c>
      <c r="C184" s="2117">
        <v>0.125</v>
      </c>
      <c r="D184" s="2117">
        <v>0.125</v>
      </c>
      <c r="E184" s="2117">
        <v>0.127</v>
      </c>
      <c r="F184" s="2129"/>
    </row>
    <row r="185" spans="1:6" ht="15" thickBot="1">
      <c r="A185" s="1528" t="s">
        <v>1539</v>
      </c>
      <c r="B185" s="1522" t="s">
        <v>2181</v>
      </c>
      <c r="C185" s="2117">
        <v>0.127</v>
      </c>
      <c r="D185" s="2117">
        <v>0.127</v>
      </c>
      <c r="E185" s="2117">
        <v>0.128</v>
      </c>
      <c r="F185" s="2118">
        <v>0.13</v>
      </c>
    </row>
    <row r="186" spans="1:6" ht="24.6" thickBot="1">
      <c r="A186" s="1528" t="s">
        <v>1539</v>
      </c>
      <c r="B186" s="1522" t="s">
        <v>2182</v>
      </c>
      <c r="C186" s="2130"/>
      <c r="D186" s="2130"/>
      <c r="E186" s="2130"/>
      <c r="F186" s="2118">
        <v>0.05</v>
      </c>
    </row>
    <row r="187" spans="1:6" ht="15" thickBot="1">
      <c r="A187" s="1528" t="s">
        <v>1539</v>
      </c>
      <c r="B187" s="1522" t="s">
        <v>2183</v>
      </c>
      <c r="C187" s="2130"/>
      <c r="D187" s="2130"/>
      <c r="E187" s="2130"/>
      <c r="F187" s="2118">
        <v>0.05</v>
      </c>
    </row>
    <row r="188" spans="1:6" ht="24.6" thickBot="1">
      <c r="A188" s="1528" t="s">
        <v>1539</v>
      </c>
      <c r="B188" s="1522" t="s">
        <v>2184</v>
      </c>
      <c r="C188" s="2130"/>
      <c r="D188" s="2130"/>
      <c r="E188" s="2130"/>
      <c r="F188" s="2118">
        <v>0.05</v>
      </c>
    </row>
    <row r="189" spans="1:6" ht="24.6" thickBot="1">
      <c r="A189" s="1528" t="s">
        <v>1539</v>
      </c>
      <c r="B189" s="1522" t="s">
        <v>2185</v>
      </c>
      <c r="C189" s="2130"/>
      <c r="D189" s="2130"/>
      <c r="E189" s="2130"/>
      <c r="F189" s="2118">
        <v>0.05</v>
      </c>
    </row>
    <row r="190" spans="1:6" ht="24.6" thickBot="1">
      <c r="A190" s="1528" t="s">
        <v>1539</v>
      </c>
      <c r="B190" s="1522" t="s">
        <v>2186</v>
      </c>
      <c r="C190" s="2130"/>
      <c r="D190" s="2130"/>
      <c r="E190" s="2130"/>
      <c r="F190" s="2118">
        <v>0.05</v>
      </c>
    </row>
    <row r="191" spans="1:6" ht="24.6" thickBot="1">
      <c r="A191" s="1528" t="s">
        <v>1539</v>
      </c>
      <c r="B191" s="1522" t="s">
        <v>2187</v>
      </c>
      <c r="C191" s="2130"/>
      <c r="D191" s="2130"/>
      <c r="E191" s="2130"/>
      <c r="F191" s="2118">
        <v>0.05</v>
      </c>
    </row>
    <row r="192" spans="1:6" ht="24.6" thickBot="1">
      <c r="A192" s="1528" t="s">
        <v>1539</v>
      </c>
      <c r="B192" s="1522" t="s">
        <v>2188</v>
      </c>
      <c r="C192" s="2130"/>
      <c r="D192" s="2130"/>
      <c r="E192" s="2130"/>
      <c r="F192" s="2118">
        <v>0.05</v>
      </c>
    </row>
    <row r="193" spans="1:6" ht="24.6" thickBot="1">
      <c r="A193" s="1528" t="s">
        <v>1539</v>
      </c>
      <c r="B193" s="1522" t="s">
        <v>2189</v>
      </c>
      <c r="C193" s="2130"/>
      <c r="D193" s="2130"/>
      <c r="E193" s="2130"/>
      <c r="F193" s="2118">
        <v>0.05</v>
      </c>
    </row>
    <row r="194" spans="1:6" ht="24.6" thickBot="1">
      <c r="A194" s="1528" t="s">
        <v>1539</v>
      </c>
      <c r="B194" s="1522" t="s">
        <v>2190</v>
      </c>
      <c r="C194" s="2130"/>
      <c r="D194" s="2130"/>
      <c r="E194" s="2130"/>
      <c r="F194" s="2118">
        <v>0.05</v>
      </c>
    </row>
    <row r="195" spans="1:6" ht="15" thickBot="1">
      <c r="A195" s="1528" t="s">
        <v>1539</v>
      </c>
      <c r="B195" s="1522" t="s">
        <v>2191</v>
      </c>
      <c r="C195" s="2130"/>
      <c r="D195" s="2130"/>
      <c r="E195" s="2130"/>
      <c r="F195" s="2118">
        <v>0.05</v>
      </c>
    </row>
    <row r="196" spans="1:6" ht="24.6" thickBot="1">
      <c r="A196" s="1528" t="s">
        <v>1539</v>
      </c>
      <c r="B196" s="1522" t="s">
        <v>2192</v>
      </c>
      <c r="C196" s="2130"/>
      <c r="D196" s="2130"/>
      <c r="E196" s="2130"/>
      <c r="F196" s="2118">
        <v>0.05</v>
      </c>
    </row>
    <row r="197" spans="1:6" ht="24.6" thickBot="1">
      <c r="A197" s="1528" t="s">
        <v>1539</v>
      </c>
      <c r="B197" s="1522" t="s">
        <v>2193</v>
      </c>
      <c r="C197" s="2130"/>
      <c r="D197" s="2130"/>
      <c r="E197" s="2130"/>
      <c r="F197" s="2118">
        <v>0.05</v>
      </c>
    </row>
    <row r="198" spans="1:6" ht="24.6" thickBot="1">
      <c r="A198" s="1528" t="s">
        <v>1539</v>
      </c>
      <c r="B198" s="1522" t="s">
        <v>2194</v>
      </c>
      <c r="C198" s="2130"/>
      <c r="D198" s="2130"/>
      <c r="E198" s="2130"/>
      <c r="F198" s="2118">
        <v>0.05</v>
      </c>
    </row>
    <row r="199" spans="1:6" ht="24.6" thickBot="1">
      <c r="A199" s="1528" t="s">
        <v>1539</v>
      </c>
      <c r="B199" s="1522" t="s">
        <v>2195</v>
      </c>
      <c r="C199" s="2130"/>
      <c r="D199" s="2130"/>
      <c r="E199" s="2130"/>
      <c r="F199" s="2118">
        <v>0.05</v>
      </c>
    </row>
    <row r="200" spans="1:6" ht="24.6" thickBot="1">
      <c r="A200" s="1528" t="s">
        <v>1539</v>
      </c>
      <c r="B200" s="1522" t="s">
        <v>2196</v>
      </c>
      <c r="C200" s="2130"/>
      <c r="D200" s="2130"/>
      <c r="E200" s="2130"/>
      <c r="F200" s="2118">
        <v>0.05</v>
      </c>
    </row>
    <row r="201" spans="1:6" ht="24.6" thickBot="1">
      <c r="A201" s="1528" t="s">
        <v>1539</v>
      </c>
      <c r="B201" s="1522" t="s">
        <v>2197</v>
      </c>
      <c r="C201" s="2130"/>
      <c r="D201" s="2130"/>
      <c r="E201" s="2130"/>
      <c r="F201" s="2118">
        <v>0.05</v>
      </c>
    </row>
    <row r="202" spans="1:6" ht="24.6" thickBot="1">
      <c r="A202" s="1528" t="s">
        <v>1539</v>
      </c>
      <c r="B202" s="1522" t="s">
        <v>2198</v>
      </c>
      <c r="C202" s="2130"/>
      <c r="D202" s="2130"/>
      <c r="E202" s="2130"/>
      <c r="F202" s="2118">
        <v>0.05</v>
      </c>
    </row>
    <row r="203" spans="1:6" ht="24.6" thickBot="1">
      <c r="A203" s="1528" t="s">
        <v>1539</v>
      </c>
      <c r="B203" s="1522" t="s">
        <v>2199</v>
      </c>
      <c r="C203" s="2130"/>
      <c r="D203" s="2130"/>
      <c r="E203" s="2130"/>
      <c r="F203" s="2118">
        <v>0.05</v>
      </c>
    </row>
    <row r="204" spans="1:6" ht="15" thickBot="1">
      <c r="A204" s="1528" t="s">
        <v>1539</v>
      </c>
      <c r="B204" s="1522" t="s">
        <v>2200</v>
      </c>
      <c r="C204" s="2130"/>
      <c r="D204" s="2130"/>
      <c r="E204" s="2130"/>
      <c r="F204" s="2118">
        <v>0.05</v>
      </c>
    </row>
    <row r="205" spans="1:6" ht="15" thickBot="1">
      <c r="A205" s="1538" t="s">
        <v>1539</v>
      </c>
      <c r="B205" s="1534" t="s">
        <v>2201</v>
      </c>
      <c r="C205" s="2127"/>
      <c r="D205" s="2127"/>
      <c r="E205" s="2127"/>
      <c r="F205" s="2120">
        <v>0.05</v>
      </c>
    </row>
    <row r="206" spans="1:6" ht="15" thickBot="1">
      <c r="A206" s="1528" t="s">
        <v>1541</v>
      </c>
      <c r="B206" s="1529" t="s">
        <v>2202</v>
      </c>
      <c r="C206" s="2115">
        <v>0.15</v>
      </c>
      <c r="D206" s="2115">
        <v>0.15</v>
      </c>
      <c r="E206" s="2115">
        <v>0.15</v>
      </c>
      <c r="F206" s="2116">
        <v>0.15</v>
      </c>
    </row>
    <row r="207" spans="1:6" ht="15" thickBot="1">
      <c r="A207" s="1528" t="s">
        <v>1541</v>
      </c>
      <c r="B207" s="1522" t="s">
        <v>1207</v>
      </c>
      <c r="C207" s="2117">
        <v>0.15</v>
      </c>
      <c r="D207" s="2117">
        <v>0.15</v>
      </c>
      <c r="E207" s="2117">
        <v>0.15</v>
      </c>
      <c r="F207" s="2118">
        <v>0.14399999999999999</v>
      </c>
    </row>
    <row r="208" spans="1:6" ht="15" thickBot="1">
      <c r="A208" s="1528" t="s">
        <v>1541</v>
      </c>
      <c r="B208" s="1522" t="s">
        <v>1220</v>
      </c>
      <c r="C208" s="2117">
        <v>0.15</v>
      </c>
      <c r="D208" s="2117">
        <v>0.15</v>
      </c>
      <c r="E208" s="2117">
        <v>0.15</v>
      </c>
      <c r="F208" s="2118">
        <v>0.15</v>
      </c>
    </row>
    <row r="209" spans="1:6" ht="15" thickBot="1">
      <c r="A209" s="1528" t="s">
        <v>1541</v>
      </c>
      <c r="B209" s="1522" t="s">
        <v>1233</v>
      </c>
      <c r="C209" s="2117">
        <v>0.13700000000000001</v>
      </c>
      <c r="D209" s="2117">
        <v>0.13700000000000001</v>
      </c>
      <c r="E209" s="2117">
        <v>0.14000000000000001</v>
      </c>
      <c r="F209" s="2118">
        <v>0.11700000000000001</v>
      </c>
    </row>
    <row r="210" spans="1:6" ht="15" thickBot="1">
      <c r="A210" s="1528" t="s">
        <v>1541</v>
      </c>
      <c r="B210" s="1522" t="s">
        <v>2203</v>
      </c>
      <c r="C210" s="2117">
        <v>0.15</v>
      </c>
      <c r="D210" s="2117">
        <v>0.15</v>
      </c>
      <c r="E210" s="2117">
        <v>0.15</v>
      </c>
      <c r="F210" s="2118">
        <v>0.13800000000000001</v>
      </c>
    </row>
    <row r="211" spans="1:6" ht="15" thickBot="1">
      <c r="A211" s="1528" t="s">
        <v>1541</v>
      </c>
      <c r="B211" s="1522" t="s">
        <v>2204</v>
      </c>
      <c r="C211" s="2117">
        <v>0.13700000000000001</v>
      </c>
      <c r="D211" s="2117">
        <v>0.13500000000000001</v>
      </c>
      <c r="E211" s="2117">
        <v>0.13600000000000001</v>
      </c>
      <c r="F211" s="2118">
        <v>0.1</v>
      </c>
    </row>
    <row r="212" spans="1:6" ht="15" thickBot="1">
      <c r="A212" s="1528" t="s">
        <v>1541</v>
      </c>
      <c r="B212" s="1522" t="s">
        <v>2205</v>
      </c>
      <c r="C212" s="2117">
        <v>0.15</v>
      </c>
      <c r="D212" s="2117">
        <v>0.15</v>
      </c>
      <c r="E212" s="2117">
        <v>0.14799999999999999</v>
      </c>
      <c r="F212" s="2118">
        <v>0.13600000000000001</v>
      </c>
    </row>
    <row r="213" spans="1:6" ht="15" thickBot="1">
      <c r="A213" s="1528" t="s">
        <v>1541</v>
      </c>
      <c r="B213" s="1522" t="s">
        <v>1278</v>
      </c>
      <c r="C213" s="2117">
        <v>0.15</v>
      </c>
      <c r="D213" s="2117">
        <v>0.15</v>
      </c>
      <c r="E213" s="2117">
        <v>0.15</v>
      </c>
      <c r="F213" s="2118">
        <v>0.13800000000000001</v>
      </c>
    </row>
    <row r="214" spans="1:6" ht="15" thickBot="1">
      <c r="A214" s="1528" t="s">
        <v>1541</v>
      </c>
      <c r="B214" s="1522" t="s">
        <v>1290</v>
      </c>
      <c r="C214" s="2117">
        <v>9.0999999999999998E-2</v>
      </c>
      <c r="D214" s="2117">
        <v>0.09</v>
      </c>
      <c r="E214" s="2117">
        <v>9.1999999999999998E-2</v>
      </c>
      <c r="F214" s="2129"/>
    </row>
    <row r="215" spans="1:6" ht="15" thickBot="1">
      <c r="A215" s="1528" t="s">
        <v>1541</v>
      </c>
      <c r="B215" s="1522" t="s">
        <v>2206</v>
      </c>
      <c r="C215" s="2117">
        <v>0.15</v>
      </c>
      <c r="D215" s="2117">
        <v>0.15</v>
      </c>
      <c r="E215" s="2117">
        <v>0.15</v>
      </c>
      <c r="F215" s="2118">
        <v>0.15</v>
      </c>
    </row>
    <row r="216" spans="1:6" ht="15" thickBot="1">
      <c r="A216" s="1528" t="s">
        <v>1541</v>
      </c>
      <c r="B216" s="1522" t="s">
        <v>1310</v>
      </c>
      <c r="C216" s="2117">
        <v>0.14699999999999999</v>
      </c>
      <c r="D216" s="2117">
        <v>0.14699999999999999</v>
      </c>
      <c r="E216" s="2117">
        <v>0.15</v>
      </c>
      <c r="F216" s="2118">
        <v>0.14000000000000001</v>
      </c>
    </row>
    <row r="217" spans="1:6" ht="15" thickBot="1">
      <c r="A217" s="1528" t="s">
        <v>1541</v>
      </c>
      <c r="B217" s="1522" t="s">
        <v>1320</v>
      </c>
      <c r="C217" s="2117">
        <v>0.15</v>
      </c>
      <c r="D217" s="2117">
        <v>0.15</v>
      </c>
      <c r="E217" s="2117">
        <v>0.15</v>
      </c>
      <c r="F217" s="2118">
        <v>0.15</v>
      </c>
    </row>
    <row r="218" spans="1:6" ht="15" thickBot="1">
      <c r="A218" s="1528" t="s">
        <v>1541</v>
      </c>
      <c r="B218" s="1522" t="s">
        <v>2207</v>
      </c>
      <c r="C218" s="2117">
        <v>0.15</v>
      </c>
      <c r="D218" s="2117">
        <v>0.15</v>
      </c>
      <c r="E218" s="2117">
        <v>0.15</v>
      </c>
      <c r="F218" s="2118">
        <v>0.15</v>
      </c>
    </row>
    <row r="219" spans="1:6" ht="15" thickBot="1">
      <c r="A219" s="1528" t="s">
        <v>1541</v>
      </c>
      <c r="B219" s="1522" t="s">
        <v>1341</v>
      </c>
      <c r="C219" s="2117">
        <v>0.15</v>
      </c>
      <c r="D219" s="2117">
        <v>0.15</v>
      </c>
      <c r="E219" s="2117">
        <v>0.15</v>
      </c>
      <c r="F219" s="2118">
        <v>0.14799999999999999</v>
      </c>
    </row>
    <row r="220" spans="1:6" ht="15" thickBot="1">
      <c r="A220" s="1528" t="s">
        <v>1541</v>
      </c>
      <c r="B220" s="1522" t="s">
        <v>2208</v>
      </c>
      <c r="C220" s="2117">
        <v>0.15</v>
      </c>
      <c r="D220" s="2117">
        <v>0.15</v>
      </c>
      <c r="E220" s="2117">
        <v>0.15</v>
      </c>
      <c r="F220" s="2118">
        <v>0.15</v>
      </c>
    </row>
    <row r="221" spans="1:6" ht="15" thickBot="1">
      <c r="A221" s="1528" t="s">
        <v>1541</v>
      </c>
      <c r="B221" s="1522" t="s">
        <v>1362</v>
      </c>
      <c r="C221" s="2117"/>
      <c r="D221" s="2130"/>
      <c r="E221" s="2130"/>
      <c r="F221" s="2118">
        <v>0.14799999999999999</v>
      </c>
    </row>
    <row r="222" spans="1:6" ht="15" thickBot="1">
      <c r="A222" s="1528" t="s">
        <v>1541</v>
      </c>
      <c r="B222" s="1522" t="s">
        <v>1372</v>
      </c>
      <c r="C222" s="2117"/>
      <c r="D222" s="2130"/>
      <c r="E222" s="2130"/>
      <c r="F222" s="2118">
        <v>0.1</v>
      </c>
    </row>
    <row r="223" spans="1:6" ht="15" thickBot="1">
      <c r="A223" s="1528" t="s">
        <v>1541</v>
      </c>
      <c r="B223" s="1522" t="s">
        <v>1382</v>
      </c>
      <c r="C223" s="2117"/>
      <c r="D223" s="2130"/>
      <c r="E223" s="2130"/>
      <c r="F223" s="2118">
        <v>0.15</v>
      </c>
    </row>
    <row r="224" spans="1:6" ht="15" thickBot="1">
      <c r="A224" s="1528" t="s">
        <v>1541</v>
      </c>
      <c r="B224" s="1522" t="s">
        <v>1392</v>
      </c>
      <c r="C224" s="2117"/>
      <c r="D224" s="2130"/>
      <c r="E224" s="2130"/>
      <c r="F224" s="2118">
        <v>0.15</v>
      </c>
    </row>
    <row r="225" spans="1:6" ht="15" thickBot="1">
      <c r="A225" s="1528" t="s">
        <v>1541</v>
      </c>
      <c r="B225" s="1522" t="s">
        <v>2209</v>
      </c>
      <c r="C225" s="2117">
        <v>0.15</v>
      </c>
      <c r="D225" s="2117">
        <v>0.15</v>
      </c>
      <c r="E225" s="2117">
        <v>0.15</v>
      </c>
      <c r="F225" s="2118">
        <v>0.15</v>
      </c>
    </row>
    <row r="226" spans="1:6" ht="15" thickBot="1">
      <c r="A226" s="1528" t="s">
        <v>1541</v>
      </c>
      <c r="B226" s="1522" t="s">
        <v>1410</v>
      </c>
      <c r="C226" s="2117">
        <v>0.15</v>
      </c>
      <c r="D226" s="2117">
        <v>0.15</v>
      </c>
      <c r="E226" s="2117">
        <v>0.15</v>
      </c>
      <c r="F226" s="2118">
        <v>0.14799999999999999</v>
      </c>
    </row>
    <row r="227" spans="1:6" ht="15" thickBot="1">
      <c r="A227" s="1528" t="s">
        <v>1541</v>
      </c>
      <c r="B227" s="1522" t="s">
        <v>2210</v>
      </c>
      <c r="C227" s="2117">
        <v>0.15</v>
      </c>
      <c r="D227" s="2117">
        <v>0.15</v>
      </c>
      <c r="E227" s="2117">
        <v>0.15</v>
      </c>
      <c r="F227" s="2118">
        <v>0.15</v>
      </c>
    </row>
    <row r="228" spans="1:6" ht="15" thickBot="1">
      <c r="A228" s="1528" t="s">
        <v>1541</v>
      </c>
      <c r="B228" s="1522" t="s">
        <v>1425</v>
      </c>
      <c r="C228" s="2117">
        <v>0.15</v>
      </c>
      <c r="D228" s="2117">
        <v>0.15</v>
      </c>
      <c r="E228" s="2117">
        <v>0.15</v>
      </c>
      <c r="F228" s="2118">
        <v>0.15</v>
      </c>
    </row>
    <row r="229" spans="1:6" ht="15" thickBot="1">
      <c r="A229" s="1528" t="s">
        <v>1541</v>
      </c>
      <c r="B229" s="1522" t="s">
        <v>1432</v>
      </c>
      <c r="C229" s="2117">
        <v>0.15</v>
      </c>
      <c r="D229" s="2117">
        <v>0.15</v>
      </c>
      <c r="E229" s="2117">
        <v>0.15</v>
      </c>
      <c r="F229" s="2129"/>
    </row>
    <row r="230" spans="1:6" ht="15" thickBot="1">
      <c r="A230" s="1528" t="s">
        <v>1541</v>
      </c>
      <c r="B230" s="1522" t="s">
        <v>1439</v>
      </c>
      <c r="C230" s="2117">
        <v>0.14499999999999999</v>
      </c>
      <c r="D230" s="2117">
        <v>0.14499999999999999</v>
      </c>
      <c r="E230" s="2117">
        <v>0.14399999999999999</v>
      </c>
      <c r="F230" s="2129"/>
    </row>
    <row r="231" spans="1:6" ht="15" thickBot="1">
      <c r="A231" s="1528" t="s">
        <v>1541</v>
      </c>
      <c r="B231" s="1522" t="s">
        <v>2211</v>
      </c>
      <c r="C231" s="2117">
        <v>0.128</v>
      </c>
      <c r="D231" s="2117">
        <v>0.125</v>
      </c>
      <c r="E231" s="2117">
        <v>0.13200000000000001</v>
      </c>
      <c r="F231" s="2129"/>
    </row>
    <row r="232" spans="1:6" ht="15" thickBot="1">
      <c r="A232" s="1528" t="s">
        <v>1541</v>
      </c>
      <c r="B232" s="1522" t="s">
        <v>2212</v>
      </c>
      <c r="C232" s="2117">
        <v>0.14499999999999999</v>
      </c>
      <c r="D232" s="2117">
        <v>0.14399999999999999</v>
      </c>
      <c r="E232" s="2117">
        <v>0.14599999999999999</v>
      </c>
      <c r="F232" s="2118">
        <v>0.13800000000000001</v>
      </c>
    </row>
    <row r="233" spans="1:6" ht="15" thickBot="1">
      <c r="A233" s="1528" t="s">
        <v>1541</v>
      </c>
      <c r="B233" s="1522" t="s">
        <v>2213</v>
      </c>
      <c r="C233" s="2117">
        <v>0.14499999999999999</v>
      </c>
      <c r="D233" s="2117">
        <v>0.14299999999999999</v>
      </c>
      <c r="E233" s="2117">
        <v>0.14199999999999999</v>
      </c>
      <c r="F233" s="2129"/>
    </row>
    <row r="234" spans="1:6" ht="15" thickBot="1">
      <c r="A234" s="1528" t="s">
        <v>1541</v>
      </c>
      <c r="B234" s="1522" t="s">
        <v>2214</v>
      </c>
      <c r="C234" s="2117">
        <v>0.14000000000000001</v>
      </c>
      <c r="D234" s="2117">
        <v>0.14000000000000001</v>
      </c>
      <c r="E234" s="2117">
        <v>0.14399999999999999</v>
      </c>
      <c r="F234" s="2129"/>
    </row>
    <row r="235" spans="1:6" ht="15" thickBot="1">
      <c r="A235" s="1528" t="s">
        <v>1541</v>
      </c>
      <c r="B235" s="1522" t="s">
        <v>2215</v>
      </c>
      <c r="C235" s="2117">
        <v>0.14099999999999999</v>
      </c>
      <c r="D235" s="2117">
        <v>0.14199999999999999</v>
      </c>
      <c r="E235" s="2117">
        <v>0.14499999999999999</v>
      </c>
      <c r="F235" s="2118">
        <v>0.15</v>
      </c>
    </row>
    <row r="236" spans="1:6" ht="15" thickBot="1">
      <c r="A236" s="1528" t="s">
        <v>1541</v>
      </c>
      <c r="B236" s="1522" t="s">
        <v>1474</v>
      </c>
      <c r="C236" s="2130"/>
      <c r="D236" s="2130"/>
      <c r="E236" s="2130"/>
      <c r="F236" s="2118">
        <v>0.14299999999999999</v>
      </c>
    </row>
    <row r="237" spans="1:6" ht="24.6" thickBot="1">
      <c r="A237" s="1528" t="s">
        <v>1541</v>
      </c>
      <c r="B237" s="1522" t="s">
        <v>2216</v>
      </c>
      <c r="C237" s="2130"/>
      <c r="D237" s="2130"/>
      <c r="E237" s="2130"/>
      <c r="F237" s="2118">
        <v>0.05</v>
      </c>
    </row>
    <row r="238" spans="1:6" ht="24.6" thickBot="1">
      <c r="A238" s="1528" t="s">
        <v>1541</v>
      </c>
      <c r="B238" s="1522" t="s">
        <v>2217</v>
      </c>
      <c r="C238" s="2130"/>
      <c r="D238" s="2130"/>
      <c r="E238" s="2130"/>
      <c r="F238" s="2118">
        <v>0.05</v>
      </c>
    </row>
    <row r="239" spans="1:6" ht="24.6" thickBot="1">
      <c r="A239" s="1528" t="s">
        <v>1541</v>
      </c>
      <c r="B239" s="1522" t="s">
        <v>2218</v>
      </c>
      <c r="C239" s="2130"/>
      <c r="D239" s="2130"/>
      <c r="E239" s="2130"/>
      <c r="F239" s="2118">
        <v>0.05</v>
      </c>
    </row>
    <row r="240" spans="1:6" ht="24.6" thickBot="1">
      <c r="A240" s="1528" t="s">
        <v>1541</v>
      </c>
      <c r="B240" s="1522" t="s">
        <v>2219</v>
      </c>
      <c r="C240" s="2130"/>
      <c r="D240" s="2130"/>
      <c r="E240" s="2130"/>
      <c r="F240" s="2118">
        <v>0.05</v>
      </c>
    </row>
    <row r="241" spans="1:6" ht="24.6" thickBot="1">
      <c r="A241" s="1528" t="s">
        <v>1541</v>
      </c>
      <c r="B241" s="1522" t="s">
        <v>2220</v>
      </c>
      <c r="C241" s="2130"/>
      <c r="D241" s="2130"/>
      <c r="E241" s="2130"/>
      <c r="F241" s="2118">
        <v>0.05</v>
      </c>
    </row>
    <row r="242" spans="1:6" ht="24.6" thickBot="1">
      <c r="A242" s="1528" t="s">
        <v>1541</v>
      </c>
      <c r="B242" s="1522" t="s">
        <v>2221</v>
      </c>
      <c r="C242" s="2130"/>
      <c r="D242" s="2130"/>
      <c r="E242" s="2130"/>
      <c r="F242" s="2118">
        <v>0.05</v>
      </c>
    </row>
    <row r="243" spans="1:6" ht="24.6" thickBot="1">
      <c r="A243" s="1528" t="s">
        <v>1541</v>
      </c>
      <c r="B243" s="1522" t="s">
        <v>2222</v>
      </c>
      <c r="C243" s="2130"/>
      <c r="D243" s="2130"/>
      <c r="E243" s="2130"/>
      <c r="F243" s="2118">
        <v>0.05</v>
      </c>
    </row>
    <row r="244" spans="1:6" ht="24.6" thickBot="1">
      <c r="A244" s="1538" t="s">
        <v>1541</v>
      </c>
      <c r="B244" s="1534" t="s">
        <v>2223</v>
      </c>
      <c r="C244" s="2127"/>
      <c r="D244" s="2127"/>
      <c r="E244" s="2127"/>
      <c r="F244" s="2120">
        <v>0.05</v>
      </c>
    </row>
    <row r="245" spans="1:6" ht="15" thickBot="1">
      <c r="A245" s="1528" t="s">
        <v>1543</v>
      </c>
      <c r="B245" s="1529" t="s">
        <v>2224</v>
      </c>
      <c r="C245" s="2115">
        <v>0.15</v>
      </c>
      <c r="D245" s="2115">
        <v>0.15</v>
      </c>
      <c r="E245" s="2115">
        <v>0.15</v>
      </c>
      <c r="F245" s="2116">
        <v>0.14299999999999999</v>
      </c>
    </row>
    <row r="246" spans="1:6" ht="15" thickBot="1">
      <c r="A246" s="1528" t="s">
        <v>1543</v>
      </c>
      <c r="B246" s="1522" t="s">
        <v>1208</v>
      </c>
      <c r="C246" s="2117">
        <v>0.15</v>
      </c>
      <c r="D246" s="2117">
        <v>0.15</v>
      </c>
      <c r="E246" s="2117">
        <v>0.15</v>
      </c>
      <c r="F246" s="2118">
        <v>0.114</v>
      </c>
    </row>
    <row r="247" spans="1:6" ht="15" thickBot="1">
      <c r="A247" s="1528" t="s">
        <v>1543</v>
      </c>
      <c r="B247" s="1522" t="s">
        <v>2225</v>
      </c>
      <c r="C247" s="2117">
        <v>0.15</v>
      </c>
      <c r="D247" s="2117">
        <v>0.15</v>
      </c>
      <c r="E247" s="2117">
        <v>0.15</v>
      </c>
      <c r="F247" s="2118">
        <v>0.15</v>
      </c>
    </row>
    <row r="248" spans="1:6" ht="15" thickBot="1">
      <c r="A248" s="1528" t="s">
        <v>1543</v>
      </c>
      <c r="B248" s="1522" t="s">
        <v>2226</v>
      </c>
      <c r="C248" s="2117">
        <v>0.15</v>
      </c>
      <c r="D248" s="2117">
        <v>0.15</v>
      </c>
      <c r="E248" s="2117">
        <v>0.15</v>
      </c>
      <c r="F248" s="2118">
        <v>0.14000000000000001</v>
      </c>
    </row>
    <row r="249" spans="1:6" ht="15" thickBot="1">
      <c r="A249" s="1528" t="s">
        <v>1543</v>
      </c>
      <c r="B249" s="1522" t="s">
        <v>2227</v>
      </c>
      <c r="C249" s="2117">
        <v>0.15</v>
      </c>
      <c r="D249" s="2117">
        <v>0.14899999999999999</v>
      </c>
      <c r="E249" s="2117">
        <v>0.15</v>
      </c>
      <c r="F249" s="2118">
        <v>0.1</v>
      </c>
    </row>
    <row r="250" spans="1:6" ht="15" thickBot="1">
      <c r="A250" s="1528" t="s">
        <v>1543</v>
      </c>
      <c r="B250" s="1522" t="s">
        <v>2228</v>
      </c>
      <c r="C250" s="2117">
        <v>0.15</v>
      </c>
      <c r="D250" s="2117">
        <v>0.15</v>
      </c>
      <c r="E250" s="2117">
        <v>0.15</v>
      </c>
      <c r="F250" s="2118">
        <v>0.14399999999999999</v>
      </c>
    </row>
    <row r="251" spans="1:6" ht="15" thickBot="1">
      <c r="A251" s="1528" t="s">
        <v>1543</v>
      </c>
      <c r="B251" s="1522" t="s">
        <v>1268</v>
      </c>
      <c r="C251" s="2117">
        <v>0.15</v>
      </c>
      <c r="D251" s="2117">
        <v>0.15</v>
      </c>
      <c r="E251" s="2117">
        <v>0.15</v>
      </c>
      <c r="F251" s="2118">
        <v>0.14299999999999999</v>
      </c>
    </row>
    <row r="252" spans="1:6" ht="15" thickBot="1">
      <c r="A252" s="1528" t="s">
        <v>1543</v>
      </c>
      <c r="B252" s="1522" t="s">
        <v>1279</v>
      </c>
      <c r="C252" s="2117">
        <v>0.15</v>
      </c>
      <c r="D252" s="2117">
        <v>0.15</v>
      </c>
      <c r="E252" s="2117">
        <v>0.15</v>
      </c>
      <c r="F252" s="2118">
        <v>0.1</v>
      </c>
    </row>
    <row r="253" spans="1:6" ht="15" thickBot="1">
      <c r="A253" s="1528" t="s">
        <v>1543</v>
      </c>
      <c r="B253" s="1522" t="s">
        <v>1291</v>
      </c>
      <c r="C253" s="2117">
        <v>0.15</v>
      </c>
      <c r="D253" s="2117">
        <v>0.15</v>
      </c>
      <c r="E253" s="2117">
        <v>0.15</v>
      </c>
      <c r="F253" s="2118">
        <v>0.1</v>
      </c>
    </row>
    <row r="254" spans="1:6" ht="15" thickBot="1">
      <c r="A254" s="1528" t="s">
        <v>1543</v>
      </c>
      <c r="B254" s="1522" t="s">
        <v>1301</v>
      </c>
      <c r="C254" s="2130"/>
      <c r="D254" s="2130"/>
      <c r="E254" s="2130"/>
      <c r="F254" s="2118">
        <v>0.15</v>
      </c>
    </row>
    <row r="255" spans="1:6" ht="15" thickBot="1">
      <c r="A255" s="1528" t="s">
        <v>1543</v>
      </c>
      <c r="B255" s="1522" t="s">
        <v>1311</v>
      </c>
      <c r="C255" s="2130"/>
      <c r="D255" s="2130"/>
      <c r="E255" s="2130"/>
      <c r="F255" s="2118">
        <v>0.14299999999999999</v>
      </c>
    </row>
    <row r="256" spans="1:6" ht="15" thickBot="1">
      <c r="A256" s="1528" t="s">
        <v>1543</v>
      </c>
      <c r="B256" s="1522" t="s">
        <v>2229</v>
      </c>
      <c r="C256" s="2117">
        <v>0.14599999999999999</v>
      </c>
      <c r="D256" s="2117">
        <v>0.14699999999999999</v>
      </c>
      <c r="E256" s="2117">
        <v>0.15</v>
      </c>
      <c r="F256" s="2118">
        <v>0.13200000000000001</v>
      </c>
    </row>
    <row r="257" spans="1:6" ht="15" thickBot="1">
      <c r="A257" s="1528" t="s">
        <v>1543</v>
      </c>
      <c r="B257" s="1522" t="s">
        <v>1331</v>
      </c>
      <c r="C257" s="2117">
        <v>0.15</v>
      </c>
      <c r="D257" s="2117">
        <v>0.15</v>
      </c>
      <c r="E257" s="2117">
        <v>0.15</v>
      </c>
      <c r="F257" s="2118">
        <v>0.13900000000000001</v>
      </c>
    </row>
    <row r="258" spans="1:6" ht="15" thickBot="1">
      <c r="A258" s="1528" t="s">
        <v>1543</v>
      </c>
      <c r="B258" s="1522" t="s">
        <v>1342</v>
      </c>
      <c r="C258" s="2117">
        <v>0.15</v>
      </c>
      <c r="D258" s="2117">
        <v>0.15</v>
      </c>
      <c r="E258" s="2117">
        <v>0.15</v>
      </c>
      <c r="F258" s="2118">
        <v>0.13</v>
      </c>
    </row>
    <row r="259" spans="1:6" ht="15" thickBot="1">
      <c r="A259" s="1528" t="s">
        <v>1543</v>
      </c>
      <c r="B259" s="1522" t="s">
        <v>2230</v>
      </c>
      <c r="C259" s="2117">
        <v>0.14799999999999999</v>
      </c>
      <c r="D259" s="2117">
        <v>0.14899999999999999</v>
      </c>
      <c r="E259" s="2117">
        <v>0.15</v>
      </c>
      <c r="F259" s="2118">
        <v>0.13700000000000001</v>
      </c>
    </row>
    <row r="260" spans="1:6" ht="15" thickBot="1">
      <c r="A260" s="1528" t="s">
        <v>1543</v>
      </c>
      <c r="B260" s="1522" t="s">
        <v>1363</v>
      </c>
      <c r="C260" s="2117">
        <v>0.15</v>
      </c>
      <c r="D260" s="2117">
        <v>0.15</v>
      </c>
      <c r="E260" s="2117">
        <v>0.15</v>
      </c>
      <c r="F260" s="2118">
        <v>0.14199999999999999</v>
      </c>
    </row>
    <row r="261" spans="1:6" ht="15" thickBot="1">
      <c r="A261" s="1528" t="s">
        <v>1543</v>
      </c>
      <c r="B261" s="1522" t="s">
        <v>1373</v>
      </c>
      <c r="C261" s="2117">
        <v>0.15</v>
      </c>
      <c r="D261" s="2117">
        <v>0.15</v>
      </c>
      <c r="E261" s="2117">
        <v>0.14899999999999999</v>
      </c>
      <c r="F261" s="2118">
        <v>0.14799999999999999</v>
      </c>
    </row>
    <row r="262" spans="1:6" ht="15" thickBot="1">
      <c r="A262" s="1528" t="s">
        <v>1543</v>
      </c>
      <c r="B262" s="1522" t="s">
        <v>1383</v>
      </c>
      <c r="C262" s="2117">
        <v>0.15</v>
      </c>
      <c r="D262" s="2117">
        <v>0.15</v>
      </c>
      <c r="E262" s="2117">
        <v>0.15</v>
      </c>
      <c r="F262" s="2129"/>
    </row>
    <row r="263" spans="1:6" ht="15" thickBot="1">
      <c r="A263" s="1528" t="s">
        <v>1543</v>
      </c>
      <c r="B263" s="1522" t="s">
        <v>2231</v>
      </c>
      <c r="C263" s="2117">
        <v>0.14899999999999999</v>
      </c>
      <c r="D263" s="2117">
        <v>0.14899999999999999</v>
      </c>
      <c r="E263" s="2117">
        <v>0.15</v>
      </c>
      <c r="F263" s="2118">
        <v>0.13</v>
      </c>
    </row>
    <row r="264" spans="1:6" ht="15" thickBot="1">
      <c r="A264" s="1528" t="s">
        <v>1543</v>
      </c>
      <c r="B264" s="1522" t="s">
        <v>1402</v>
      </c>
      <c r="C264" s="2117">
        <v>0.14799999999999999</v>
      </c>
      <c r="D264" s="2117">
        <v>0.14699999999999999</v>
      </c>
      <c r="E264" s="2117">
        <v>0.15</v>
      </c>
      <c r="F264" s="2118">
        <v>7.8E-2</v>
      </c>
    </row>
    <row r="265" spans="1:6" ht="15" thickBot="1">
      <c r="A265" s="1528" t="s">
        <v>1543</v>
      </c>
      <c r="B265" s="1522" t="s">
        <v>1411</v>
      </c>
      <c r="C265" s="2117">
        <v>0.15</v>
      </c>
      <c r="D265" s="2117">
        <v>0.15</v>
      </c>
      <c r="E265" s="2117">
        <v>0.15</v>
      </c>
      <c r="F265" s="2118">
        <v>7.3999999999999996E-2</v>
      </c>
    </row>
    <row r="266" spans="1:6" ht="15" thickBot="1">
      <c r="A266" s="1528" t="s">
        <v>1543</v>
      </c>
      <c r="B266" s="1522" t="s">
        <v>1419</v>
      </c>
      <c r="C266" s="2117">
        <v>0.14699999999999999</v>
      </c>
      <c r="D266" s="2117">
        <v>0.14699999999999999</v>
      </c>
      <c r="E266" s="2117">
        <v>0.15</v>
      </c>
      <c r="F266" s="2118">
        <v>0.14299999999999999</v>
      </c>
    </row>
    <row r="267" spans="1:6" ht="15" thickBot="1">
      <c r="A267" s="1528" t="s">
        <v>1543</v>
      </c>
      <c r="B267" s="1522" t="s">
        <v>1426</v>
      </c>
      <c r="C267" s="2117">
        <v>0.14199999999999999</v>
      </c>
      <c r="D267" s="2117">
        <v>0.14299999999999999</v>
      </c>
      <c r="E267" s="2117">
        <v>0.15</v>
      </c>
      <c r="F267" s="2129"/>
    </row>
    <row r="268" spans="1:6" ht="15" thickBot="1">
      <c r="A268" s="1528" t="s">
        <v>1543</v>
      </c>
      <c r="B268" s="1522" t="s">
        <v>2232</v>
      </c>
      <c r="C268" s="2117">
        <v>0.15</v>
      </c>
      <c r="D268" s="2117">
        <v>0.15</v>
      </c>
      <c r="E268" s="2117">
        <v>0.15</v>
      </c>
      <c r="F268" s="2118">
        <v>0.13</v>
      </c>
    </row>
    <row r="269" spans="1:6" ht="15" thickBot="1">
      <c r="A269" s="1528" t="s">
        <v>1543</v>
      </c>
      <c r="B269" s="1522" t="s">
        <v>1440</v>
      </c>
      <c r="C269" s="2117">
        <v>0.15</v>
      </c>
      <c r="D269" s="2117">
        <v>0.15</v>
      </c>
      <c r="E269" s="2117">
        <v>0.15</v>
      </c>
      <c r="F269" s="2118">
        <v>0.14299999999999999</v>
      </c>
    </row>
    <row r="270" spans="1:6" ht="15" thickBot="1">
      <c r="A270" s="1528" t="s">
        <v>1543</v>
      </c>
      <c r="B270" s="1522" t="s">
        <v>1447</v>
      </c>
      <c r="C270" s="2117">
        <v>0.14499999999999999</v>
      </c>
      <c r="D270" s="2117">
        <v>0.14499999999999999</v>
      </c>
      <c r="E270" s="2117">
        <v>0.15</v>
      </c>
      <c r="F270" s="2118">
        <v>0.14699999999999999</v>
      </c>
    </row>
    <row r="271" spans="1:6" ht="15" thickBot="1">
      <c r="A271" s="1528" t="s">
        <v>1543</v>
      </c>
      <c r="B271" s="1522" t="s">
        <v>1454</v>
      </c>
      <c r="C271" s="2117">
        <v>0.15</v>
      </c>
      <c r="D271" s="2117">
        <v>0.15</v>
      </c>
      <c r="E271" s="2117">
        <v>0.15</v>
      </c>
      <c r="F271" s="2118">
        <v>0.13800000000000001</v>
      </c>
    </row>
    <row r="272" spans="1:6" ht="15" thickBot="1">
      <c r="A272" s="1528" t="s">
        <v>1543</v>
      </c>
      <c r="B272" s="1522" t="s">
        <v>1461</v>
      </c>
      <c r="C272" s="2130"/>
      <c r="D272" s="2130"/>
      <c r="E272" s="2130"/>
      <c r="F272" s="2118">
        <v>0.14000000000000001</v>
      </c>
    </row>
    <row r="273" spans="1:6" ht="15" thickBot="1">
      <c r="A273" s="1528" t="s">
        <v>1543</v>
      </c>
      <c r="B273" s="1522" t="s">
        <v>2233</v>
      </c>
      <c r="C273" s="2117">
        <v>0.14199999999999999</v>
      </c>
      <c r="D273" s="2117">
        <v>0.14299999999999999</v>
      </c>
      <c r="E273" s="2117">
        <v>0.15</v>
      </c>
      <c r="F273" s="2118">
        <v>0.1</v>
      </c>
    </row>
    <row r="274" spans="1:6" ht="15" thickBot="1">
      <c r="A274" s="1528" t="s">
        <v>1543</v>
      </c>
      <c r="B274" s="1522" t="s">
        <v>2234</v>
      </c>
      <c r="C274" s="2117">
        <v>0.14799999999999999</v>
      </c>
      <c r="D274" s="2117">
        <v>0.14799999999999999</v>
      </c>
      <c r="E274" s="2117">
        <v>0.15</v>
      </c>
      <c r="F274" s="2118">
        <v>6.7000000000000004E-2</v>
      </c>
    </row>
    <row r="275" spans="1:6" ht="15" thickBot="1">
      <c r="A275" s="1528" t="s">
        <v>1543</v>
      </c>
      <c r="B275" s="1522" t="s">
        <v>2235</v>
      </c>
      <c r="C275" s="2117">
        <v>0.15</v>
      </c>
      <c r="D275" s="2117">
        <v>0.15</v>
      </c>
      <c r="E275" s="2117">
        <v>0.15</v>
      </c>
      <c r="F275" s="2118">
        <v>0.15</v>
      </c>
    </row>
    <row r="276" spans="1:6" ht="15" thickBot="1">
      <c r="A276" s="1528" t="s">
        <v>1543</v>
      </c>
      <c r="B276" s="1522" t="s">
        <v>2236</v>
      </c>
      <c r="C276" s="2117">
        <v>0.14499999999999999</v>
      </c>
      <c r="D276" s="2117">
        <v>0.14299999999999999</v>
      </c>
      <c r="E276" s="2117">
        <v>0.15</v>
      </c>
      <c r="F276" s="2118">
        <v>5.8999999999999997E-2</v>
      </c>
    </row>
    <row r="277" spans="1:6" ht="15" thickBot="1">
      <c r="A277" s="1528" t="s">
        <v>1543</v>
      </c>
      <c r="B277" s="1522" t="s">
        <v>2237</v>
      </c>
      <c r="C277" s="2117">
        <v>0.15</v>
      </c>
      <c r="D277" s="2117">
        <v>0.15</v>
      </c>
      <c r="E277" s="2117">
        <v>0.15</v>
      </c>
      <c r="F277" s="2118">
        <v>0.121</v>
      </c>
    </row>
    <row r="278" spans="1:6" ht="15" thickBot="1">
      <c r="A278" s="1528" t="s">
        <v>1543</v>
      </c>
      <c r="B278" s="1522" t="s">
        <v>2238</v>
      </c>
      <c r="C278" s="2117">
        <v>0.15</v>
      </c>
      <c r="D278" s="2117">
        <v>0.15</v>
      </c>
      <c r="E278" s="2117">
        <v>0.15</v>
      </c>
      <c r="F278" s="2118">
        <v>0.13800000000000001</v>
      </c>
    </row>
    <row r="279" spans="1:6" ht="24.6" thickBot="1">
      <c r="A279" s="1528" t="s">
        <v>1543</v>
      </c>
      <c r="B279" s="1522" t="s">
        <v>2239</v>
      </c>
      <c r="C279" s="2130"/>
      <c r="D279" s="2130"/>
      <c r="E279" s="2130"/>
      <c r="F279" s="2118">
        <v>0.05</v>
      </c>
    </row>
    <row r="280" spans="1:6" ht="24.6" thickBot="1">
      <c r="A280" s="1528" t="s">
        <v>1543</v>
      </c>
      <c r="B280" s="1522" t="s">
        <v>2240</v>
      </c>
      <c r="C280" s="2130"/>
      <c r="D280" s="2130"/>
      <c r="E280" s="2130"/>
      <c r="F280" s="2118">
        <v>0.05</v>
      </c>
    </row>
    <row r="281" spans="1:6" ht="24.6" thickBot="1">
      <c r="A281" s="1528" t="s">
        <v>1543</v>
      </c>
      <c r="B281" s="1522" t="s">
        <v>2241</v>
      </c>
      <c r="C281" s="2130"/>
      <c r="D281" s="2130"/>
      <c r="E281" s="2130"/>
      <c r="F281" s="2118">
        <v>0.05</v>
      </c>
    </row>
    <row r="282" spans="1:6" ht="24.6" thickBot="1">
      <c r="A282" s="1528" t="s">
        <v>1543</v>
      </c>
      <c r="B282" s="1522" t="s">
        <v>2242</v>
      </c>
      <c r="C282" s="2130"/>
      <c r="D282" s="2130"/>
      <c r="E282" s="2130"/>
      <c r="F282" s="2118">
        <v>0.05</v>
      </c>
    </row>
    <row r="283" spans="1:6" ht="24.6" thickBot="1">
      <c r="A283" s="1528" t="s">
        <v>1543</v>
      </c>
      <c r="B283" s="1522" t="s">
        <v>2243</v>
      </c>
      <c r="C283" s="2130"/>
      <c r="D283" s="2130"/>
      <c r="E283" s="2130"/>
      <c r="F283" s="2118">
        <v>0.05</v>
      </c>
    </row>
    <row r="284" spans="1:6" ht="24.6" thickBot="1">
      <c r="A284" s="1528" t="s">
        <v>1543</v>
      </c>
      <c r="B284" s="1522" t="s">
        <v>2244</v>
      </c>
      <c r="C284" s="2130"/>
      <c r="D284" s="2130"/>
      <c r="E284" s="2130"/>
      <c r="F284" s="2118">
        <v>0.05</v>
      </c>
    </row>
    <row r="285" spans="1:6" ht="24.6" thickBot="1">
      <c r="A285" s="1528" t="s">
        <v>1543</v>
      </c>
      <c r="B285" s="1522" t="s">
        <v>2245</v>
      </c>
      <c r="C285" s="2130"/>
      <c r="D285" s="2130"/>
      <c r="E285" s="2130"/>
      <c r="F285" s="2118">
        <v>0.05</v>
      </c>
    </row>
    <row r="286" spans="1:6" ht="24.6" thickBot="1">
      <c r="A286" s="1528" t="s">
        <v>1543</v>
      </c>
      <c r="B286" s="1522" t="s">
        <v>2246</v>
      </c>
      <c r="C286" s="2130"/>
      <c r="D286" s="2130"/>
      <c r="E286" s="2130"/>
      <c r="F286" s="2118">
        <v>0.05</v>
      </c>
    </row>
    <row r="287" spans="1:6" ht="24.6" thickBot="1">
      <c r="A287" s="1528" t="s">
        <v>1543</v>
      </c>
      <c r="B287" s="1522" t="s">
        <v>2247</v>
      </c>
      <c r="C287" s="2130"/>
      <c r="D287" s="2130"/>
      <c r="E287" s="2130"/>
      <c r="F287" s="2118">
        <v>0.05</v>
      </c>
    </row>
    <row r="288" spans="1:6" ht="24.6" thickBot="1">
      <c r="A288" s="1528" t="s">
        <v>1543</v>
      </c>
      <c r="B288" s="1522" t="s">
        <v>2248</v>
      </c>
      <c r="C288" s="2130"/>
      <c r="D288" s="2130"/>
      <c r="E288" s="2130"/>
      <c r="F288" s="2118">
        <v>0.05</v>
      </c>
    </row>
    <row r="289" spans="1:6" ht="24.6" thickBot="1">
      <c r="A289" s="1538" t="s">
        <v>1543</v>
      </c>
      <c r="B289" s="1534" t="s">
        <v>2249</v>
      </c>
      <c r="C289" s="2127"/>
      <c r="D289" s="2127"/>
      <c r="E289" s="2127"/>
      <c r="F289" s="2120">
        <v>0.05</v>
      </c>
    </row>
    <row r="290" spans="1:6" ht="15" thickBot="1">
      <c r="A290" s="1528" t="s">
        <v>1547</v>
      </c>
      <c r="B290" s="1529" t="s">
        <v>2250</v>
      </c>
      <c r="C290" s="2115">
        <v>0.15</v>
      </c>
      <c r="D290" s="2115">
        <v>0.15</v>
      </c>
      <c r="E290" s="2115">
        <v>0.15</v>
      </c>
      <c r="F290" s="2132"/>
    </row>
    <row r="291" spans="1:6" ht="15" thickBot="1">
      <c r="A291" s="1528" t="s">
        <v>1547</v>
      </c>
      <c r="B291" s="1522" t="s">
        <v>1209</v>
      </c>
      <c r="C291" s="2117">
        <v>0.15</v>
      </c>
      <c r="D291" s="2117">
        <v>0.15</v>
      </c>
      <c r="E291" s="2117">
        <v>0.15</v>
      </c>
      <c r="F291" s="2129"/>
    </row>
    <row r="292" spans="1:6" ht="15" thickBot="1">
      <c r="A292" s="1528" t="s">
        <v>1547</v>
      </c>
      <c r="B292" s="1522" t="s">
        <v>2251</v>
      </c>
      <c r="C292" s="2117">
        <v>0.15</v>
      </c>
      <c r="D292" s="2117">
        <v>0.15</v>
      </c>
      <c r="E292" s="2117">
        <v>0.15</v>
      </c>
      <c r="F292" s="2118">
        <v>0.14699999999999999</v>
      </c>
    </row>
    <row r="293" spans="1:6" ht="15" thickBot="1">
      <c r="A293" s="1528" t="s">
        <v>1547</v>
      </c>
      <c r="B293" s="1522" t="s">
        <v>2252</v>
      </c>
      <c r="C293" s="2130"/>
      <c r="D293" s="2130"/>
      <c r="E293" s="2130"/>
      <c r="F293" s="2118">
        <v>0.1</v>
      </c>
    </row>
    <row r="294" spans="1:6" ht="15" thickBot="1">
      <c r="A294" s="1528" t="s">
        <v>1547</v>
      </c>
      <c r="B294" s="1522" t="s">
        <v>2253</v>
      </c>
      <c r="C294" s="2117">
        <v>0.15</v>
      </c>
      <c r="D294" s="2117">
        <v>0.15</v>
      </c>
      <c r="E294" s="2117">
        <v>0.15</v>
      </c>
      <c r="F294" s="2118">
        <v>0.15</v>
      </c>
    </row>
    <row r="295" spans="1:6" ht="15" thickBot="1">
      <c r="A295" s="1528" t="s">
        <v>1547</v>
      </c>
      <c r="B295" s="1522" t="s">
        <v>1247</v>
      </c>
      <c r="C295" s="2117">
        <v>0.15</v>
      </c>
      <c r="D295" s="2117">
        <v>0.15</v>
      </c>
      <c r="E295" s="2117">
        <v>0.15</v>
      </c>
      <c r="F295" s="2118">
        <v>0.15</v>
      </c>
    </row>
    <row r="296" spans="1:6" ht="15" thickBot="1">
      <c r="A296" s="1528" t="s">
        <v>1547</v>
      </c>
      <c r="B296" s="1522" t="s">
        <v>2254</v>
      </c>
      <c r="C296" s="2117">
        <v>0.15</v>
      </c>
      <c r="D296" s="2117">
        <v>0.15</v>
      </c>
      <c r="E296" s="2117">
        <v>0.15</v>
      </c>
      <c r="F296" s="2118">
        <v>0.15</v>
      </c>
    </row>
    <row r="297" spans="1:6" ht="15" thickBot="1">
      <c r="A297" s="1528" t="s">
        <v>1547</v>
      </c>
      <c r="B297" s="1522" t="s">
        <v>2255</v>
      </c>
      <c r="C297" s="2117">
        <v>0.14799999999999999</v>
      </c>
      <c r="D297" s="2117">
        <v>0.14899999999999999</v>
      </c>
      <c r="E297" s="2117">
        <v>0.15</v>
      </c>
      <c r="F297" s="2118">
        <v>0.13700000000000001</v>
      </c>
    </row>
    <row r="298" spans="1:6" ht="15" thickBot="1">
      <c r="A298" s="1528" t="s">
        <v>1547</v>
      </c>
      <c r="B298" s="1522" t="s">
        <v>1280</v>
      </c>
      <c r="C298" s="2117">
        <v>0.13400000000000001</v>
      </c>
      <c r="D298" s="2117">
        <v>0.13400000000000001</v>
      </c>
      <c r="E298" s="2117">
        <v>0.14499999999999999</v>
      </c>
      <c r="F298" s="2118">
        <v>0.14799999999999999</v>
      </c>
    </row>
    <row r="299" spans="1:6" ht="15" thickBot="1">
      <c r="A299" s="1528" t="s">
        <v>1547</v>
      </c>
      <c r="B299" s="1522" t="s">
        <v>1292</v>
      </c>
      <c r="C299" s="2117">
        <v>0.15</v>
      </c>
      <c r="D299" s="2117">
        <v>0.15</v>
      </c>
      <c r="E299" s="2117">
        <v>0.15</v>
      </c>
      <c r="F299" s="2129"/>
    </row>
    <row r="300" spans="1:6" ht="15" thickBot="1">
      <c r="A300" s="1528" t="s">
        <v>1547</v>
      </c>
      <c r="B300" s="1522" t="s">
        <v>2256</v>
      </c>
      <c r="C300" s="2117">
        <v>0.15</v>
      </c>
      <c r="D300" s="2117">
        <v>0.15</v>
      </c>
      <c r="E300" s="2117">
        <v>0.15</v>
      </c>
      <c r="F300" s="2118">
        <v>0.15</v>
      </c>
    </row>
    <row r="301" spans="1:6" ht="15" thickBot="1">
      <c r="A301" s="1528" t="s">
        <v>1547</v>
      </c>
      <c r="B301" s="1522" t="s">
        <v>1312</v>
      </c>
      <c r="C301" s="2117">
        <v>0.15</v>
      </c>
      <c r="D301" s="2117">
        <v>0.15</v>
      </c>
      <c r="E301" s="2117">
        <v>0.15</v>
      </c>
      <c r="F301" s="2129"/>
    </row>
    <row r="302" spans="1:6" ht="15" thickBot="1">
      <c r="A302" s="1528" t="s">
        <v>1547</v>
      </c>
      <c r="B302" s="1522" t="s">
        <v>2257</v>
      </c>
      <c r="C302" s="2117">
        <v>0.15</v>
      </c>
      <c r="D302" s="2117">
        <v>0.15</v>
      </c>
      <c r="E302" s="2117">
        <v>0.15</v>
      </c>
      <c r="F302" s="2118">
        <v>0.15</v>
      </c>
    </row>
    <row r="303" spans="1:6" ht="15" thickBot="1">
      <c r="A303" s="1528" t="s">
        <v>1547</v>
      </c>
      <c r="B303" s="1522" t="s">
        <v>1332</v>
      </c>
      <c r="C303" s="2117">
        <v>0.15</v>
      </c>
      <c r="D303" s="2117">
        <v>0.15</v>
      </c>
      <c r="E303" s="2117">
        <v>0.15</v>
      </c>
      <c r="F303" s="2118">
        <v>0.15</v>
      </c>
    </row>
    <row r="304" spans="1:6" ht="15" thickBot="1">
      <c r="A304" s="1528" t="s">
        <v>1547</v>
      </c>
      <c r="B304" s="1522" t="s">
        <v>1343</v>
      </c>
      <c r="C304" s="2117">
        <v>0.15</v>
      </c>
      <c r="D304" s="2117">
        <v>0.15</v>
      </c>
      <c r="E304" s="2117">
        <v>0.15</v>
      </c>
      <c r="F304" s="2129"/>
    </row>
    <row r="305" spans="1:6" ht="15" thickBot="1">
      <c r="A305" s="1528" t="s">
        <v>1547</v>
      </c>
      <c r="B305" s="1522" t="s">
        <v>2258</v>
      </c>
      <c r="C305" s="2117">
        <v>0.15</v>
      </c>
      <c r="D305" s="2117">
        <v>0.15</v>
      </c>
      <c r="E305" s="2117">
        <v>0.15</v>
      </c>
      <c r="F305" s="2118">
        <v>0.14000000000000001</v>
      </c>
    </row>
    <row r="306" spans="1:6" ht="15" thickBot="1">
      <c r="A306" s="1528" t="s">
        <v>1547</v>
      </c>
      <c r="B306" s="1522" t="s">
        <v>1364</v>
      </c>
      <c r="C306" s="2117">
        <v>0.15</v>
      </c>
      <c r="D306" s="2117">
        <v>0.15</v>
      </c>
      <c r="E306" s="2117">
        <v>0.15</v>
      </c>
      <c r="F306" s="2129"/>
    </row>
    <row r="307" spans="1:6" ht="15" thickBot="1">
      <c r="A307" s="1528" t="s">
        <v>1547</v>
      </c>
      <c r="B307" s="1522" t="s">
        <v>2259</v>
      </c>
      <c r="C307" s="2117">
        <v>0.15</v>
      </c>
      <c r="D307" s="2117">
        <v>0.15</v>
      </c>
      <c r="E307" s="2117">
        <v>0.15</v>
      </c>
      <c r="F307" s="2118">
        <v>0.14299999999999999</v>
      </c>
    </row>
    <row r="308" spans="1:6" ht="15" thickBot="1">
      <c r="A308" s="1528" t="s">
        <v>1547</v>
      </c>
      <c r="B308" s="1522" t="s">
        <v>1384</v>
      </c>
      <c r="C308" s="2117">
        <v>0.15</v>
      </c>
      <c r="D308" s="2117">
        <v>0.15</v>
      </c>
      <c r="E308" s="2117">
        <v>0.15</v>
      </c>
      <c r="F308" s="2118">
        <v>0.15</v>
      </c>
    </row>
    <row r="309" spans="1:6" ht="15" thickBot="1">
      <c r="A309" s="1528" t="s">
        <v>1547</v>
      </c>
      <c r="B309" s="1522" t="s">
        <v>1394</v>
      </c>
      <c r="C309" s="2117">
        <v>0.15</v>
      </c>
      <c r="D309" s="2117">
        <v>0.15</v>
      </c>
      <c r="E309" s="2117">
        <v>0.15</v>
      </c>
      <c r="F309" s="2129"/>
    </row>
    <row r="310" spans="1:6" ht="15" thickBot="1">
      <c r="A310" s="1528" t="s">
        <v>1547</v>
      </c>
      <c r="B310" s="1522" t="s">
        <v>2260</v>
      </c>
      <c r="C310" s="2117">
        <v>0.15</v>
      </c>
      <c r="D310" s="2117">
        <v>0.15</v>
      </c>
      <c r="E310" s="2117">
        <v>0.15</v>
      </c>
      <c r="F310" s="2118">
        <v>0.13700000000000001</v>
      </c>
    </row>
    <row r="311" spans="1:6" ht="15" thickBot="1">
      <c r="A311" s="1528" t="s">
        <v>1547</v>
      </c>
      <c r="B311" s="1522" t="s">
        <v>2261</v>
      </c>
      <c r="C311" s="2117">
        <v>0.15</v>
      </c>
      <c r="D311" s="2117">
        <v>0.15</v>
      </c>
      <c r="E311" s="2117">
        <v>0.15</v>
      </c>
      <c r="F311" s="2118">
        <v>0.15</v>
      </c>
    </row>
    <row r="312" spans="1:6" ht="15" thickBot="1">
      <c r="A312" s="1528" t="s">
        <v>1547</v>
      </c>
      <c r="B312" s="1522" t="s">
        <v>1420</v>
      </c>
      <c r="C312" s="2117">
        <v>0.15</v>
      </c>
      <c r="D312" s="2117">
        <v>0.15</v>
      </c>
      <c r="E312" s="2117">
        <v>0.15</v>
      </c>
      <c r="F312" s="2118">
        <v>0.1</v>
      </c>
    </row>
    <row r="313" spans="1:6" ht="15" thickBot="1">
      <c r="A313" s="1528" t="s">
        <v>1547</v>
      </c>
      <c r="B313" s="1522" t="s">
        <v>2262</v>
      </c>
      <c r="C313" s="2117">
        <v>0.15</v>
      </c>
      <c r="D313" s="2117">
        <v>0.15</v>
      </c>
      <c r="E313" s="2117">
        <v>0.15</v>
      </c>
      <c r="F313" s="2118">
        <v>0.15</v>
      </c>
    </row>
    <row r="314" spans="1:6" ht="24.6" thickBot="1">
      <c r="A314" s="1528" t="s">
        <v>1547</v>
      </c>
      <c r="B314" s="1522" t="s">
        <v>2263</v>
      </c>
      <c r="C314" s="2130"/>
      <c r="D314" s="2130"/>
      <c r="E314" s="2130"/>
      <c r="F314" s="2118">
        <v>0.05</v>
      </c>
    </row>
    <row r="315" spans="1:6" ht="24.6" thickBot="1">
      <c r="A315" s="1528" t="s">
        <v>1547</v>
      </c>
      <c r="B315" s="1522" t="s">
        <v>2264</v>
      </c>
      <c r="C315" s="2130"/>
      <c r="D315" s="2130"/>
      <c r="E315" s="2130"/>
      <c r="F315" s="2118">
        <v>0.05</v>
      </c>
    </row>
    <row r="316" spans="1:6" ht="24.6" thickBot="1">
      <c r="A316" s="1538" t="s">
        <v>1547</v>
      </c>
      <c r="B316" s="1534" t="s">
        <v>2265</v>
      </c>
      <c r="C316" s="2127"/>
      <c r="D316" s="2127"/>
      <c r="E316" s="2127"/>
      <c r="F316" s="2120">
        <v>0.05</v>
      </c>
    </row>
    <row r="317" spans="1:6" ht="15" thickBot="1">
      <c r="A317" s="1528" t="s">
        <v>2266</v>
      </c>
      <c r="B317" s="1529" t="s">
        <v>2267</v>
      </c>
      <c r="C317" s="2115">
        <v>0.15</v>
      </c>
      <c r="D317" s="2115">
        <v>0.15</v>
      </c>
      <c r="E317" s="2115">
        <v>0.15</v>
      </c>
      <c r="F317" s="2116">
        <v>0.15</v>
      </c>
    </row>
    <row r="318" spans="1:6" ht="15" thickBot="1">
      <c r="A318" s="1528" t="s">
        <v>2266</v>
      </c>
      <c r="B318" s="1522" t="s">
        <v>2268</v>
      </c>
      <c r="C318" s="2117">
        <v>0.107</v>
      </c>
      <c r="D318" s="2117">
        <v>0.11</v>
      </c>
      <c r="E318" s="2117">
        <v>0.112</v>
      </c>
      <c r="F318" s="2129"/>
    </row>
    <row r="319" spans="1:6" ht="15" thickBot="1">
      <c r="A319" s="1528" t="s">
        <v>2266</v>
      </c>
      <c r="B319" s="1522" t="s">
        <v>2269</v>
      </c>
      <c r="C319" s="2117">
        <v>0.15</v>
      </c>
      <c r="D319" s="2117">
        <v>0.15</v>
      </c>
      <c r="E319" s="2117">
        <v>0.15</v>
      </c>
      <c r="F319" s="2118">
        <v>0.15</v>
      </c>
    </row>
    <row r="320" spans="1:6" ht="15" thickBot="1">
      <c r="A320" s="1528" t="s">
        <v>2266</v>
      </c>
      <c r="B320" s="1522" t="s">
        <v>1236</v>
      </c>
      <c r="C320" s="2117">
        <v>0.15</v>
      </c>
      <c r="D320" s="2117">
        <v>0.15</v>
      </c>
      <c r="E320" s="2117">
        <v>0.15</v>
      </c>
      <c r="F320" s="2129"/>
    </row>
    <row r="321" spans="1:6" ht="15" thickBot="1">
      <c r="A321" s="1528" t="s">
        <v>2266</v>
      </c>
      <c r="B321" s="1522" t="s">
        <v>2270</v>
      </c>
      <c r="C321" s="2117">
        <v>0.15</v>
      </c>
      <c r="D321" s="2117">
        <v>0.15</v>
      </c>
      <c r="E321" s="2117">
        <v>0.15</v>
      </c>
      <c r="F321" s="2129"/>
    </row>
    <row r="322" spans="1:6" ht="15" thickBot="1">
      <c r="A322" s="1528" t="s">
        <v>2266</v>
      </c>
      <c r="B322" s="1522" t="s">
        <v>2271</v>
      </c>
      <c r="C322" s="2117">
        <v>0.15</v>
      </c>
      <c r="D322" s="2117">
        <v>0.15</v>
      </c>
      <c r="E322" s="2117">
        <v>0.15</v>
      </c>
      <c r="F322" s="2118">
        <v>0.15</v>
      </c>
    </row>
    <row r="323" spans="1:6" ht="15" thickBot="1">
      <c r="A323" s="1528" t="s">
        <v>2266</v>
      </c>
      <c r="B323" s="1522" t="s">
        <v>2272</v>
      </c>
      <c r="C323" s="2117">
        <v>0.15</v>
      </c>
      <c r="D323" s="2117">
        <v>0.15</v>
      </c>
      <c r="E323" s="2117">
        <v>0.15</v>
      </c>
      <c r="F323" s="2129"/>
    </row>
    <row r="324" spans="1:6" ht="15" thickBot="1">
      <c r="A324" s="1528" t="s">
        <v>2266</v>
      </c>
      <c r="B324" s="1522" t="s">
        <v>2273</v>
      </c>
      <c r="C324" s="2117">
        <v>0.15</v>
      </c>
      <c r="D324" s="2117">
        <v>0.15</v>
      </c>
      <c r="E324" s="2117">
        <v>0.15</v>
      </c>
      <c r="F324" s="2129"/>
    </row>
    <row r="325" spans="1:6" ht="15" thickBot="1">
      <c r="A325" s="1528" t="s">
        <v>2266</v>
      </c>
      <c r="B325" s="1522" t="s">
        <v>2274</v>
      </c>
      <c r="C325" s="2117">
        <v>0.15</v>
      </c>
      <c r="D325" s="2117">
        <v>0.15</v>
      </c>
      <c r="E325" s="2117">
        <v>0.15</v>
      </c>
      <c r="F325" s="2118">
        <v>0.14699999999999999</v>
      </c>
    </row>
    <row r="326" spans="1:6" ht="15" thickBot="1">
      <c r="A326" s="1528" t="s">
        <v>2266</v>
      </c>
      <c r="B326" s="1522" t="s">
        <v>1303</v>
      </c>
      <c r="C326" s="2117">
        <v>0.15</v>
      </c>
      <c r="D326" s="2117">
        <v>0.15</v>
      </c>
      <c r="E326" s="2117">
        <v>0.15</v>
      </c>
      <c r="F326" s="2129"/>
    </row>
    <row r="327" spans="1:6" ht="15" thickBot="1">
      <c r="A327" s="1528" t="s">
        <v>2266</v>
      </c>
      <c r="B327" s="1522" t="s">
        <v>2275</v>
      </c>
      <c r="C327" s="2117">
        <v>0.15</v>
      </c>
      <c r="D327" s="2117">
        <v>0.15</v>
      </c>
      <c r="E327" s="2117">
        <v>0.15</v>
      </c>
      <c r="F327" s="2118">
        <v>0.15</v>
      </c>
    </row>
    <row r="328" spans="1:6" ht="15" thickBot="1">
      <c r="A328" s="1528" t="s">
        <v>2266</v>
      </c>
      <c r="B328" s="1522" t="s">
        <v>1323</v>
      </c>
      <c r="C328" s="2117">
        <v>0.15</v>
      </c>
      <c r="D328" s="2117">
        <v>0.15</v>
      </c>
      <c r="E328" s="2117">
        <v>0.15</v>
      </c>
      <c r="F328" s="2118">
        <v>0.14099999999999999</v>
      </c>
    </row>
    <row r="329" spans="1:6" ht="15" thickBot="1">
      <c r="A329" s="1528" t="s">
        <v>2266</v>
      </c>
      <c r="B329" s="1522" t="s">
        <v>1333</v>
      </c>
      <c r="C329" s="2117">
        <v>0.15</v>
      </c>
      <c r="D329" s="2117">
        <v>0.15</v>
      </c>
      <c r="E329" s="2117">
        <v>0.15</v>
      </c>
      <c r="F329" s="2118">
        <v>0.15</v>
      </c>
    </row>
    <row r="330" spans="1:6" ht="15" thickBot="1">
      <c r="A330" s="1528" t="s">
        <v>2266</v>
      </c>
      <c r="B330" s="1522" t="s">
        <v>1344</v>
      </c>
      <c r="C330" s="2117">
        <v>0.15</v>
      </c>
      <c r="D330" s="2117">
        <v>0.15</v>
      </c>
      <c r="E330" s="2117">
        <v>0.15</v>
      </c>
      <c r="F330" s="2129"/>
    </row>
    <row r="331" spans="1:6" ht="15" thickBot="1">
      <c r="A331" s="1528" t="s">
        <v>2266</v>
      </c>
      <c r="B331" s="1522" t="s">
        <v>2276</v>
      </c>
      <c r="C331" s="2117">
        <v>0.15</v>
      </c>
      <c r="D331" s="2117">
        <v>0.15</v>
      </c>
      <c r="E331" s="2117">
        <v>0.15</v>
      </c>
      <c r="F331" s="2118">
        <v>0.15</v>
      </c>
    </row>
    <row r="332" spans="1:6" ht="15" thickBot="1">
      <c r="A332" s="1528" t="s">
        <v>2266</v>
      </c>
      <c r="B332" s="1522" t="s">
        <v>1365</v>
      </c>
      <c r="C332" s="2117">
        <v>0.15</v>
      </c>
      <c r="D332" s="2117">
        <v>0.15</v>
      </c>
      <c r="E332" s="2117">
        <v>0.15</v>
      </c>
      <c r="F332" s="2118">
        <v>0.15</v>
      </c>
    </row>
    <row r="333" spans="1:6" ht="15" thickBot="1">
      <c r="A333" s="1528" t="s">
        <v>2266</v>
      </c>
      <c r="B333" s="1522" t="s">
        <v>2277</v>
      </c>
      <c r="C333" s="2117">
        <v>0.15</v>
      </c>
      <c r="D333" s="2117">
        <v>0.15</v>
      </c>
      <c r="E333" s="2117">
        <v>0.15</v>
      </c>
      <c r="F333" s="2118">
        <v>0.14099999999999999</v>
      </c>
    </row>
    <row r="334" spans="1:6" ht="15" thickBot="1">
      <c r="A334" s="1528" t="s">
        <v>2266</v>
      </c>
      <c r="B334" s="1522" t="s">
        <v>1385</v>
      </c>
      <c r="C334" s="2117">
        <v>0.15</v>
      </c>
      <c r="D334" s="2117">
        <v>0.15</v>
      </c>
      <c r="E334" s="2117">
        <v>0.15</v>
      </c>
      <c r="F334" s="2118">
        <v>0.15</v>
      </c>
    </row>
    <row r="335" spans="1:6" ht="15" thickBot="1">
      <c r="A335" s="1528" t="s">
        <v>2266</v>
      </c>
      <c r="B335" s="1522" t="s">
        <v>1395</v>
      </c>
      <c r="C335" s="2117">
        <v>0.15</v>
      </c>
      <c r="D335" s="2117">
        <v>0.15</v>
      </c>
      <c r="E335" s="2117">
        <v>0.15</v>
      </c>
      <c r="F335" s="2129"/>
    </row>
    <row r="336" spans="1:6" ht="15" thickBot="1">
      <c r="A336" s="1528" t="s">
        <v>2266</v>
      </c>
      <c r="B336" s="1522" t="s">
        <v>2278</v>
      </c>
      <c r="C336" s="2117">
        <v>0.15</v>
      </c>
      <c r="D336" s="2117">
        <v>0.15</v>
      </c>
      <c r="E336" s="2117">
        <v>0.15</v>
      </c>
      <c r="F336" s="2118">
        <v>0.11799999999999999</v>
      </c>
    </row>
    <row r="337" spans="1:6" ht="15" thickBot="1">
      <c r="A337" s="1538" t="s">
        <v>2266</v>
      </c>
      <c r="B337" s="1534" t="s">
        <v>1413</v>
      </c>
      <c r="C337" s="2127"/>
      <c r="D337" s="2127"/>
      <c r="E337" s="2127"/>
      <c r="F337" s="2120">
        <v>0.14299999999999999</v>
      </c>
    </row>
    <row r="338" spans="1:6" ht="15" thickBot="1">
      <c r="A338" s="1528" t="s">
        <v>2279</v>
      </c>
      <c r="B338" s="1529" t="s">
        <v>2280</v>
      </c>
      <c r="C338" s="2115">
        <v>0.15</v>
      </c>
      <c r="D338" s="2115">
        <v>0.15</v>
      </c>
      <c r="E338" s="2115">
        <v>0.15</v>
      </c>
      <c r="F338" s="2132"/>
    </row>
    <row r="339" spans="1:6" ht="15" thickBot="1">
      <c r="A339" s="1528" t="s">
        <v>2279</v>
      </c>
      <c r="B339" s="1522" t="s">
        <v>2281</v>
      </c>
      <c r="C339" s="2117">
        <v>0.15</v>
      </c>
      <c r="D339" s="2117">
        <v>0.15</v>
      </c>
      <c r="E339" s="2117">
        <v>0.15</v>
      </c>
      <c r="F339" s="2129"/>
    </row>
    <row r="340" spans="1:6" ht="15" thickBot="1">
      <c r="A340" s="1528" t="s">
        <v>2279</v>
      </c>
      <c r="B340" s="1522" t="s">
        <v>2282</v>
      </c>
      <c r="C340" s="2117">
        <v>0.15</v>
      </c>
      <c r="D340" s="2117">
        <v>0.15</v>
      </c>
      <c r="E340" s="2117">
        <v>0.15</v>
      </c>
      <c r="F340" s="2129"/>
    </row>
    <row r="341" spans="1:6" ht="15" thickBot="1">
      <c r="A341" s="1528" t="s">
        <v>2279</v>
      </c>
      <c r="B341" s="1522" t="s">
        <v>2283</v>
      </c>
      <c r="C341" s="2117">
        <v>0.15</v>
      </c>
      <c r="D341" s="2117">
        <v>0.15</v>
      </c>
      <c r="E341" s="2117">
        <v>0.15</v>
      </c>
      <c r="F341" s="2118">
        <v>0.15</v>
      </c>
    </row>
    <row r="342" spans="1:6" ht="15" thickBot="1">
      <c r="A342" s="1528" t="s">
        <v>2279</v>
      </c>
      <c r="B342" s="1522" t="s">
        <v>2284</v>
      </c>
      <c r="C342" s="2117">
        <v>0.15</v>
      </c>
      <c r="D342" s="2117">
        <v>0.15</v>
      </c>
      <c r="E342" s="2117">
        <v>0.15</v>
      </c>
      <c r="F342" s="2118">
        <v>0.15</v>
      </c>
    </row>
    <row r="343" spans="1:6" ht="15" thickBot="1">
      <c r="A343" s="1528" t="s">
        <v>2279</v>
      </c>
      <c r="B343" s="1522" t="s">
        <v>2285</v>
      </c>
      <c r="C343" s="2117">
        <v>0.15</v>
      </c>
      <c r="D343" s="2117">
        <v>0.15</v>
      </c>
      <c r="E343" s="2117">
        <v>0.15</v>
      </c>
      <c r="F343" s="2118">
        <v>0.15</v>
      </c>
    </row>
    <row r="344" spans="1:6" ht="1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3139" customWidth="1"/>
    <col min="2" max="2" width="13.21875" style="3145" customWidth="1"/>
    <col min="3" max="3" width="15.6640625" style="3145" customWidth="1"/>
    <col min="4" max="4" width="9.33203125" style="3145" bestFit="1" customWidth="1"/>
    <col min="5" max="5" width="13.44140625" style="3145" customWidth="1"/>
    <col min="6" max="6" width="9" style="3145"/>
    <col min="7" max="7" width="9.33203125" style="3145" bestFit="1" customWidth="1"/>
    <col min="8" max="8" width="12.21875" style="3145" customWidth="1"/>
    <col min="9" max="9" width="9" style="3145"/>
    <col min="10" max="10" width="9.33203125" style="3145" bestFit="1" customWidth="1"/>
    <col min="11" max="11" width="4" style="3139" customWidth="1"/>
    <col min="12" max="12" width="5.109375" style="3145" customWidth="1"/>
    <col min="13" max="13" width="13.77734375" style="3145" customWidth="1"/>
    <col min="14" max="256" width="9" style="3145"/>
    <col min="257" max="257" width="4.88671875" style="3136" customWidth="1"/>
    <col min="258" max="258" width="13.21875" style="3136" customWidth="1"/>
    <col min="259" max="259" width="15.6640625" style="3136" customWidth="1"/>
    <col min="260" max="260" width="9.33203125" style="3136" bestFit="1" customWidth="1"/>
    <col min="261" max="261" width="13.44140625" style="3136" customWidth="1"/>
    <col min="262" max="262" width="9" style="3136"/>
    <col min="263" max="263" width="9.33203125" style="3136" bestFit="1" customWidth="1"/>
    <col min="264" max="265" width="9" style="3136"/>
    <col min="266" max="266" width="9.33203125" style="3136" bestFit="1" customWidth="1"/>
    <col min="267" max="267" width="4" style="3136" customWidth="1"/>
    <col min="268" max="268" width="5.109375" style="3136" customWidth="1"/>
    <col min="269" max="269" width="13.77734375" style="3136" customWidth="1"/>
    <col min="270" max="512" width="9" style="3136"/>
    <col min="513" max="513" width="4.88671875" style="3136" customWidth="1"/>
    <col min="514" max="514" width="13.21875" style="3136" customWidth="1"/>
    <col min="515" max="515" width="15.6640625" style="3136" customWidth="1"/>
    <col min="516" max="516" width="9.33203125" style="3136" bestFit="1" customWidth="1"/>
    <col min="517" max="517" width="13.44140625" style="3136" customWidth="1"/>
    <col min="518" max="518" width="9" style="3136"/>
    <col min="519" max="519" width="9.33203125" style="3136" bestFit="1" customWidth="1"/>
    <col min="520" max="521" width="9" style="3136"/>
    <col min="522" max="522" width="9.33203125" style="3136" bestFit="1" customWidth="1"/>
    <col min="523" max="523" width="4" style="3136" customWidth="1"/>
    <col min="524" max="524" width="5.109375" style="3136" customWidth="1"/>
    <col min="525" max="525" width="13.77734375" style="3136" customWidth="1"/>
    <col min="526" max="768" width="9" style="3136"/>
    <col min="769" max="769" width="4.88671875" style="3136" customWidth="1"/>
    <col min="770" max="770" width="13.21875" style="3136" customWidth="1"/>
    <col min="771" max="771" width="15.6640625" style="3136" customWidth="1"/>
    <col min="772" max="772" width="9.33203125" style="3136" bestFit="1" customWidth="1"/>
    <col min="773" max="773" width="13.44140625" style="3136" customWidth="1"/>
    <col min="774" max="774" width="9" style="3136"/>
    <col min="775" max="775" width="9.33203125" style="3136" bestFit="1" customWidth="1"/>
    <col min="776" max="777" width="9" style="3136"/>
    <col min="778" max="778" width="9.33203125" style="3136" bestFit="1" customWidth="1"/>
    <col min="779" max="779" width="4" style="3136" customWidth="1"/>
    <col min="780" max="780" width="5.109375" style="3136" customWidth="1"/>
    <col min="781" max="781" width="13.77734375" style="3136" customWidth="1"/>
    <col min="782" max="1024" width="9" style="3136"/>
    <col min="1025" max="1025" width="4.88671875" style="3136" customWidth="1"/>
    <col min="1026" max="1026" width="13.21875" style="3136" customWidth="1"/>
    <col min="1027" max="1027" width="15.6640625" style="3136" customWidth="1"/>
    <col min="1028" max="1028" width="9.33203125" style="3136" bestFit="1" customWidth="1"/>
    <col min="1029" max="1029" width="13.44140625" style="3136" customWidth="1"/>
    <col min="1030" max="1030" width="9" style="3136"/>
    <col min="1031" max="1031" width="9.33203125" style="3136" bestFit="1" customWidth="1"/>
    <col min="1032" max="1033" width="9" style="3136"/>
    <col min="1034" max="1034" width="9.33203125" style="3136" bestFit="1" customWidth="1"/>
    <col min="1035" max="1035" width="4" style="3136" customWidth="1"/>
    <col min="1036" max="1036" width="5.109375" style="3136" customWidth="1"/>
    <col min="1037" max="1037" width="13.77734375" style="3136" customWidth="1"/>
    <col min="1038" max="1280" width="9" style="3136"/>
    <col min="1281" max="1281" width="4.88671875" style="3136" customWidth="1"/>
    <col min="1282" max="1282" width="13.21875" style="3136" customWidth="1"/>
    <col min="1283" max="1283" width="15.6640625" style="3136" customWidth="1"/>
    <col min="1284" max="1284" width="9.33203125" style="3136" bestFit="1" customWidth="1"/>
    <col min="1285" max="1285" width="13.44140625" style="3136" customWidth="1"/>
    <col min="1286" max="1286" width="9" style="3136"/>
    <col min="1287" max="1287" width="9.33203125" style="3136" bestFit="1" customWidth="1"/>
    <col min="1288" max="1289" width="9" style="3136"/>
    <col min="1290" max="1290" width="9.33203125" style="3136" bestFit="1" customWidth="1"/>
    <col min="1291" max="1291" width="4" style="3136" customWidth="1"/>
    <col min="1292" max="1292" width="5.109375" style="3136" customWidth="1"/>
    <col min="1293" max="1293" width="13.77734375" style="3136" customWidth="1"/>
    <col min="1294" max="1536" width="9" style="3136"/>
    <col min="1537" max="1537" width="4.88671875" style="3136" customWidth="1"/>
    <col min="1538" max="1538" width="13.21875" style="3136" customWidth="1"/>
    <col min="1539" max="1539" width="15.6640625" style="3136" customWidth="1"/>
    <col min="1540" max="1540" width="9.33203125" style="3136" bestFit="1" customWidth="1"/>
    <col min="1541" max="1541" width="13.44140625" style="3136" customWidth="1"/>
    <col min="1542" max="1542" width="9" style="3136"/>
    <col min="1543" max="1543" width="9.33203125" style="3136" bestFit="1" customWidth="1"/>
    <col min="1544" max="1545" width="9" style="3136"/>
    <col min="1546" max="1546" width="9.33203125" style="3136" bestFit="1" customWidth="1"/>
    <col min="1547" max="1547" width="4" style="3136" customWidth="1"/>
    <col min="1548" max="1548" width="5.109375" style="3136" customWidth="1"/>
    <col min="1549" max="1549" width="13.77734375" style="3136" customWidth="1"/>
    <col min="1550" max="1792" width="9" style="3136"/>
    <col min="1793" max="1793" width="4.88671875" style="3136" customWidth="1"/>
    <col min="1794" max="1794" width="13.21875" style="3136" customWidth="1"/>
    <col min="1795" max="1795" width="15.6640625" style="3136" customWidth="1"/>
    <col min="1796" max="1796" width="9.33203125" style="3136" bestFit="1" customWidth="1"/>
    <col min="1797" max="1797" width="13.44140625" style="3136" customWidth="1"/>
    <col min="1798" max="1798" width="9" style="3136"/>
    <col min="1799" max="1799" width="9.33203125" style="3136" bestFit="1" customWidth="1"/>
    <col min="1800" max="1801" width="9" style="3136"/>
    <col min="1802" max="1802" width="9.33203125" style="3136" bestFit="1" customWidth="1"/>
    <col min="1803" max="1803" width="4" style="3136" customWidth="1"/>
    <col min="1804" max="1804" width="5.109375" style="3136" customWidth="1"/>
    <col min="1805" max="1805" width="13.77734375" style="3136" customWidth="1"/>
    <col min="1806" max="2048" width="9" style="3136"/>
    <col min="2049" max="2049" width="4.88671875" style="3136" customWidth="1"/>
    <col min="2050" max="2050" width="13.21875" style="3136" customWidth="1"/>
    <col min="2051" max="2051" width="15.6640625" style="3136" customWidth="1"/>
    <col min="2052" max="2052" width="9.33203125" style="3136" bestFit="1" customWidth="1"/>
    <col min="2053" max="2053" width="13.44140625" style="3136" customWidth="1"/>
    <col min="2054" max="2054" width="9" style="3136"/>
    <col min="2055" max="2055" width="9.33203125" style="3136" bestFit="1" customWidth="1"/>
    <col min="2056" max="2057" width="9" style="3136"/>
    <col min="2058" max="2058" width="9.33203125" style="3136" bestFit="1" customWidth="1"/>
    <col min="2059" max="2059" width="4" style="3136" customWidth="1"/>
    <col min="2060" max="2060" width="5.109375" style="3136" customWidth="1"/>
    <col min="2061" max="2061" width="13.77734375" style="3136" customWidth="1"/>
    <col min="2062" max="2304" width="9" style="3136"/>
    <col min="2305" max="2305" width="4.88671875" style="3136" customWidth="1"/>
    <col min="2306" max="2306" width="13.21875" style="3136" customWidth="1"/>
    <col min="2307" max="2307" width="15.6640625" style="3136" customWidth="1"/>
    <col min="2308" max="2308" width="9.33203125" style="3136" bestFit="1" customWidth="1"/>
    <col min="2309" max="2309" width="13.44140625" style="3136" customWidth="1"/>
    <col min="2310" max="2310" width="9" style="3136"/>
    <col min="2311" max="2311" width="9.33203125" style="3136" bestFit="1" customWidth="1"/>
    <col min="2312" max="2313" width="9" style="3136"/>
    <col min="2314" max="2314" width="9.33203125" style="3136" bestFit="1" customWidth="1"/>
    <col min="2315" max="2315" width="4" style="3136" customWidth="1"/>
    <col min="2316" max="2316" width="5.109375" style="3136" customWidth="1"/>
    <col min="2317" max="2317" width="13.77734375" style="3136" customWidth="1"/>
    <col min="2318" max="2560" width="9" style="3136"/>
    <col min="2561" max="2561" width="4.88671875" style="3136" customWidth="1"/>
    <col min="2562" max="2562" width="13.21875" style="3136" customWidth="1"/>
    <col min="2563" max="2563" width="15.6640625" style="3136" customWidth="1"/>
    <col min="2564" max="2564" width="9.33203125" style="3136" bestFit="1" customWidth="1"/>
    <col min="2565" max="2565" width="13.44140625" style="3136" customWidth="1"/>
    <col min="2566" max="2566" width="9" style="3136"/>
    <col min="2567" max="2567" width="9.33203125" style="3136" bestFit="1" customWidth="1"/>
    <col min="2568" max="2569" width="9" style="3136"/>
    <col min="2570" max="2570" width="9.33203125" style="3136" bestFit="1" customWidth="1"/>
    <col min="2571" max="2571" width="4" style="3136" customWidth="1"/>
    <col min="2572" max="2572" width="5.109375" style="3136" customWidth="1"/>
    <col min="2573" max="2573" width="13.77734375" style="3136" customWidth="1"/>
    <col min="2574" max="2816" width="9" style="3136"/>
    <col min="2817" max="2817" width="4.88671875" style="3136" customWidth="1"/>
    <col min="2818" max="2818" width="13.21875" style="3136" customWidth="1"/>
    <col min="2819" max="2819" width="15.6640625" style="3136" customWidth="1"/>
    <col min="2820" max="2820" width="9.33203125" style="3136" bestFit="1" customWidth="1"/>
    <col min="2821" max="2821" width="13.44140625" style="3136" customWidth="1"/>
    <col min="2822" max="2822" width="9" style="3136"/>
    <col min="2823" max="2823" width="9.33203125" style="3136" bestFit="1" customWidth="1"/>
    <col min="2824" max="2825" width="9" style="3136"/>
    <col min="2826" max="2826" width="9.33203125" style="3136" bestFit="1" customWidth="1"/>
    <col min="2827" max="2827" width="4" style="3136" customWidth="1"/>
    <col min="2828" max="2828" width="5.109375" style="3136" customWidth="1"/>
    <col min="2829" max="2829" width="13.77734375" style="3136" customWidth="1"/>
    <col min="2830" max="3072" width="9" style="3136"/>
    <col min="3073" max="3073" width="4.88671875" style="3136" customWidth="1"/>
    <col min="3074" max="3074" width="13.21875" style="3136" customWidth="1"/>
    <col min="3075" max="3075" width="15.6640625" style="3136" customWidth="1"/>
    <col min="3076" max="3076" width="9.33203125" style="3136" bestFit="1" customWidth="1"/>
    <col min="3077" max="3077" width="13.44140625" style="3136" customWidth="1"/>
    <col min="3078" max="3078" width="9" style="3136"/>
    <col min="3079" max="3079" width="9.33203125" style="3136" bestFit="1" customWidth="1"/>
    <col min="3080" max="3081" width="9" style="3136"/>
    <col min="3082" max="3082" width="9.33203125" style="3136" bestFit="1" customWidth="1"/>
    <col min="3083" max="3083" width="4" style="3136" customWidth="1"/>
    <col min="3084" max="3084" width="5.109375" style="3136" customWidth="1"/>
    <col min="3085" max="3085" width="13.77734375" style="3136" customWidth="1"/>
    <col min="3086" max="3328" width="9" style="3136"/>
    <col min="3329" max="3329" width="4.88671875" style="3136" customWidth="1"/>
    <col min="3330" max="3330" width="13.21875" style="3136" customWidth="1"/>
    <col min="3331" max="3331" width="15.6640625" style="3136" customWidth="1"/>
    <col min="3332" max="3332" width="9.33203125" style="3136" bestFit="1" customWidth="1"/>
    <col min="3333" max="3333" width="13.44140625" style="3136" customWidth="1"/>
    <col min="3334" max="3334" width="9" style="3136"/>
    <col min="3335" max="3335" width="9.33203125" style="3136" bestFit="1" customWidth="1"/>
    <col min="3336" max="3337" width="9" style="3136"/>
    <col min="3338" max="3338" width="9.33203125" style="3136" bestFit="1" customWidth="1"/>
    <col min="3339" max="3339" width="4" style="3136" customWidth="1"/>
    <col min="3340" max="3340" width="5.109375" style="3136" customWidth="1"/>
    <col min="3341" max="3341" width="13.77734375" style="3136" customWidth="1"/>
    <col min="3342" max="3584" width="9" style="3136"/>
    <col min="3585" max="3585" width="4.88671875" style="3136" customWidth="1"/>
    <col min="3586" max="3586" width="13.21875" style="3136" customWidth="1"/>
    <col min="3587" max="3587" width="15.6640625" style="3136" customWidth="1"/>
    <col min="3588" max="3588" width="9.33203125" style="3136" bestFit="1" customWidth="1"/>
    <col min="3589" max="3589" width="13.44140625" style="3136" customWidth="1"/>
    <col min="3590" max="3590" width="9" style="3136"/>
    <col min="3591" max="3591" width="9.33203125" style="3136" bestFit="1" customWidth="1"/>
    <col min="3592" max="3593" width="9" style="3136"/>
    <col min="3594" max="3594" width="9.33203125" style="3136" bestFit="1" customWidth="1"/>
    <col min="3595" max="3595" width="4" style="3136" customWidth="1"/>
    <col min="3596" max="3596" width="5.109375" style="3136" customWidth="1"/>
    <col min="3597" max="3597" width="13.77734375" style="3136" customWidth="1"/>
    <col min="3598" max="3840" width="9" style="3136"/>
    <col min="3841" max="3841" width="4.88671875" style="3136" customWidth="1"/>
    <col min="3842" max="3842" width="13.21875" style="3136" customWidth="1"/>
    <col min="3843" max="3843" width="15.6640625" style="3136" customWidth="1"/>
    <col min="3844" max="3844" width="9.33203125" style="3136" bestFit="1" customWidth="1"/>
    <col min="3845" max="3845" width="13.44140625" style="3136" customWidth="1"/>
    <col min="3846" max="3846" width="9" style="3136"/>
    <col min="3847" max="3847" width="9.33203125" style="3136" bestFit="1" customWidth="1"/>
    <col min="3848" max="3849" width="9" style="3136"/>
    <col min="3850" max="3850" width="9.33203125" style="3136" bestFit="1" customWidth="1"/>
    <col min="3851" max="3851" width="4" style="3136" customWidth="1"/>
    <col min="3852" max="3852" width="5.109375" style="3136" customWidth="1"/>
    <col min="3853" max="3853" width="13.77734375" style="3136" customWidth="1"/>
    <col min="3854" max="4096" width="9" style="3136"/>
    <col min="4097" max="4097" width="4.88671875" style="3136" customWidth="1"/>
    <col min="4098" max="4098" width="13.21875" style="3136" customWidth="1"/>
    <col min="4099" max="4099" width="15.6640625" style="3136" customWidth="1"/>
    <col min="4100" max="4100" width="9.33203125" style="3136" bestFit="1" customWidth="1"/>
    <col min="4101" max="4101" width="13.44140625" style="3136" customWidth="1"/>
    <col min="4102" max="4102" width="9" style="3136"/>
    <col min="4103" max="4103" width="9.33203125" style="3136" bestFit="1" customWidth="1"/>
    <col min="4104" max="4105" width="9" style="3136"/>
    <col min="4106" max="4106" width="9.33203125" style="3136" bestFit="1" customWidth="1"/>
    <col min="4107" max="4107" width="4" style="3136" customWidth="1"/>
    <col min="4108" max="4108" width="5.109375" style="3136" customWidth="1"/>
    <col min="4109" max="4109" width="13.77734375" style="3136" customWidth="1"/>
    <col min="4110" max="4352" width="9" style="3136"/>
    <col min="4353" max="4353" width="4.88671875" style="3136" customWidth="1"/>
    <col min="4354" max="4354" width="13.21875" style="3136" customWidth="1"/>
    <col min="4355" max="4355" width="15.6640625" style="3136" customWidth="1"/>
    <col min="4356" max="4356" width="9.33203125" style="3136" bestFit="1" customWidth="1"/>
    <col min="4357" max="4357" width="13.44140625" style="3136" customWidth="1"/>
    <col min="4358" max="4358" width="9" style="3136"/>
    <col min="4359" max="4359" width="9.33203125" style="3136" bestFit="1" customWidth="1"/>
    <col min="4360" max="4361" width="9" style="3136"/>
    <col min="4362" max="4362" width="9.33203125" style="3136" bestFit="1" customWidth="1"/>
    <col min="4363" max="4363" width="4" style="3136" customWidth="1"/>
    <col min="4364" max="4364" width="5.109375" style="3136" customWidth="1"/>
    <col min="4365" max="4365" width="13.77734375" style="3136" customWidth="1"/>
    <col min="4366" max="4608" width="9" style="3136"/>
    <col min="4609" max="4609" width="4.88671875" style="3136" customWidth="1"/>
    <col min="4610" max="4610" width="13.21875" style="3136" customWidth="1"/>
    <col min="4611" max="4611" width="15.6640625" style="3136" customWidth="1"/>
    <col min="4612" max="4612" width="9.33203125" style="3136" bestFit="1" customWidth="1"/>
    <col min="4613" max="4613" width="13.44140625" style="3136" customWidth="1"/>
    <col min="4614" max="4614" width="9" style="3136"/>
    <col min="4615" max="4615" width="9.33203125" style="3136" bestFit="1" customWidth="1"/>
    <col min="4616" max="4617" width="9" style="3136"/>
    <col min="4618" max="4618" width="9.33203125" style="3136" bestFit="1" customWidth="1"/>
    <col min="4619" max="4619" width="4" style="3136" customWidth="1"/>
    <col min="4620" max="4620" width="5.109375" style="3136" customWidth="1"/>
    <col min="4621" max="4621" width="13.77734375" style="3136" customWidth="1"/>
    <col min="4622" max="4864" width="9" style="3136"/>
    <col min="4865" max="4865" width="4.88671875" style="3136" customWidth="1"/>
    <col min="4866" max="4866" width="13.21875" style="3136" customWidth="1"/>
    <col min="4867" max="4867" width="15.6640625" style="3136" customWidth="1"/>
    <col min="4868" max="4868" width="9.33203125" style="3136" bestFit="1" customWidth="1"/>
    <col min="4869" max="4869" width="13.44140625" style="3136" customWidth="1"/>
    <col min="4870" max="4870" width="9" style="3136"/>
    <col min="4871" max="4871" width="9.33203125" style="3136" bestFit="1" customWidth="1"/>
    <col min="4872" max="4873" width="9" style="3136"/>
    <col min="4874" max="4874" width="9.33203125" style="3136" bestFit="1" customWidth="1"/>
    <col min="4875" max="4875" width="4" style="3136" customWidth="1"/>
    <col min="4876" max="4876" width="5.109375" style="3136" customWidth="1"/>
    <col min="4877" max="4877" width="13.77734375" style="3136" customWidth="1"/>
    <col min="4878" max="5120" width="9" style="3136"/>
    <col min="5121" max="5121" width="4.88671875" style="3136" customWidth="1"/>
    <col min="5122" max="5122" width="13.21875" style="3136" customWidth="1"/>
    <col min="5123" max="5123" width="15.6640625" style="3136" customWidth="1"/>
    <col min="5124" max="5124" width="9.33203125" style="3136" bestFit="1" customWidth="1"/>
    <col min="5125" max="5125" width="13.44140625" style="3136" customWidth="1"/>
    <col min="5126" max="5126" width="9" style="3136"/>
    <col min="5127" max="5127" width="9.33203125" style="3136" bestFit="1" customWidth="1"/>
    <col min="5128" max="5129" width="9" style="3136"/>
    <col min="5130" max="5130" width="9.33203125" style="3136" bestFit="1" customWidth="1"/>
    <col min="5131" max="5131" width="4" style="3136" customWidth="1"/>
    <col min="5132" max="5132" width="5.109375" style="3136" customWidth="1"/>
    <col min="5133" max="5133" width="13.77734375" style="3136" customWidth="1"/>
    <col min="5134" max="5376" width="9" style="3136"/>
    <col min="5377" max="5377" width="4.88671875" style="3136" customWidth="1"/>
    <col min="5378" max="5378" width="13.21875" style="3136" customWidth="1"/>
    <col min="5379" max="5379" width="15.6640625" style="3136" customWidth="1"/>
    <col min="5380" max="5380" width="9.33203125" style="3136" bestFit="1" customWidth="1"/>
    <col min="5381" max="5381" width="13.44140625" style="3136" customWidth="1"/>
    <col min="5382" max="5382" width="9" style="3136"/>
    <col min="5383" max="5383" width="9.33203125" style="3136" bestFit="1" customWidth="1"/>
    <col min="5384" max="5385" width="9" style="3136"/>
    <col min="5386" max="5386" width="9.33203125" style="3136" bestFit="1" customWidth="1"/>
    <col min="5387" max="5387" width="4" style="3136" customWidth="1"/>
    <col min="5388" max="5388" width="5.109375" style="3136" customWidth="1"/>
    <col min="5389" max="5389" width="13.77734375" style="3136" customWidth="1"/>
    <col min="5390" max="5632" width="9" style="3136"/>
    <col min="5633" max="5633" width="4.88671875" style="3136" customWidth="1"/>
    <col min="5634" max="5634" width="13.21875" style="3136" customWidth="1"/>
    <col min="5635" max="5635" width="15.6640625" style="3136" customWidth="1"/>
    <col min="5636" max="5636" width="9.33203125" style="3136" bestFit="1" customWidth="1"/>
    <col min="5637" max="5637" width="13.44140625" style="3136" customWidth="1"/>
    <col min="5638" max="5638" width="9" style="3136"/>
    <col min="5639" max="5639" width="9.33203125" style="3136" bestFit="1" customWidth="1"/>
    <col min="5640" max="5641" width="9" style="3136"/>
    <col min="5642" max="5642" width="9.33203125" style="3136" bestFit="1" customWidth="1"/>
    <col min="5643" max="5643" width="4" style="3136" customWidth="1"/>
    <col min="5644" max="5644" width="5.109375" style="3136" customWidth="1"/>
    <col min="5645" max="5645" width="13.77734375" style="3136" customWidth="1"/>
    <col min="5646" max="5888" width="9" style="3136"/>
    <col min="5889" max="5889" width="4.88671875" style="3136" customWidth="1"/>
    <col min="5890" max="5890" width="13.21875" style="3136" customWidth="1"/>
    <col min="5891" max="5891" width="15.6640625" style="3136" customWidth="1"/>
    <col min="5892" max="5892" width="9.33203125" style="3136" bestFit="1" customWidth="1"/>
    <col min="5893" max="5893" width="13.44140625" style="3136" customWidth="1"/>
    <col min="5894" max="5894" width="9" style="3136"/>
    <col min="5895" max="5895" width="9.33203125" style="3136" bestFit="1" customWidth="1"/>
    <col min="5896" max="5897" width="9" style="3136"/>
    <col min="5898" max="5898" width="9.33203125" style="3136" bestFit="1" customWidth="1"/>
    <col min="5899" max="5899" width="4" style="3136" customWidth="1"/>
    <col min="5900" max="5900" width="5.109375" style="3136" customWidth="1"/>
    <col min="5901" max="5901" width="13.77734375" style="3136" customWidth="1"/>
    <col min="5902" max="6144" width="9" style="3136"/>
    <col min="6145" max="6145" width="4.88671875" style="3136" customWidth="1"/>
    <col min="6146" max="6146" width="13.21875" style="3136" customWidth="1"/>
    <col min="6147" max="6147" width="15.6640625" style="3136" customWidth="1"/>
    <col min="6148" max="6148" width="9.33203125" style="3136" bestFit="1" customWidth="1"/>
    <col min="6149" max="6149" width="13.44140625" style="3136" customWidth="1"/>
    <col min="6150" max="6150" width="9" style="3136"/>
    <col min="6151" max="6151" width="9.33203125" style="3136" bestFit="1" customWidth="1"/>
    <col min="6152" max="6153" width="9" style="3136"/>
    <col min="6154" max="6154" width="9.33203125" style="3136" bestFit="1" customWidth="1"/>
    <col min="6155" max="6155" width="4" style="3136" customWidth="1"/>
    <col min="6156" max="6156" width="5.109375" style="3136" customWidth="1"/>
    <col min="6157" max="6157" width="13.77734375" style="3136" customWidth="1"/>
    <col min="6158" max="6400" width="9" style="3136"/>
    <col min="6401" max="6401" width="4.88671875" style="3136" customWidth="1"/>
    <col min="6402" max="6402" width="13.21875" style="3136" customWidth="1"/>
    <col min="6403" max="6403" width="15.6640625" style="3136" customWidth="1"/>
    <col min="6404" max="6404" width="9.33203125" style="3136" bestFit="1" customWidth="1"/>
    <col min="6405" max="6405" width="13.44140625" style="3136" customWidth="1"/>
    <col min="6406" max="6406" width="9" style="3136"/>
    <col min="6407" max="6407" width="9.33203125" style="3136" bestFit="1" customWidth="1"/>
    <col min="6408" max="6409" width="9" style="3136"/>
    <col min="6410" max="6410" width="9.33203125" style="3136" bestFit="1" customWidth="1"/>
    <col min="6411" max="6411" width="4" style="3136" customWidth="1"/>
    <col min="6412" max="6412" width="5.109375" style="3136" customWidth="1"/>
    <col min="6413" max="6413" width="13.77734375" style="3136" customWidth="1"/>
    <col min="6414" max="6656" width="9" style="3136"/>
    <col min="6657" max="6657" width="4.88671875" style="3136" customWidth="1"/>
    <col min="6658" max="6658" width="13.21875" style="3136" customWidth="1"/>
    <col min="6659" max="6659" width="15.6640625" style="3136" customWidth="1"/>
    <col min="6660" max="6660" width="9.33203125" style="3136" bestFit="1" customWidth="1"/>
    <col min="6661" max="6661" width="13.44140625" style="3136" customWidth="1"/>
    <col min="6662" max="6662" width="9" style="3136"/>
    <col min="6663" max="6663" width="9.33203125" style="3136" bestFit="1" customWidth="1"/>
    <col min="6664" max="6665" width="9" style="3136"/>
    <col min="6666" max="6666" width="9.33203125" style="3136" bestFit="1" customWidth="1"/>
    <col min="6667" max="6667" width="4" style="3136" customWidth="1"/>
    <col min="6668" max="6668" width="5.109375" style="3136" customWidth="1"/>
    <col min="6669" max="6669" width="13.77734375" style="3136" customWidth="1"/>
    <col min="6670" max="6912" width="9" style="3136"/>
    <col min="6913" max="6913" width="4.88671875" style="3136" customWidth="1"/>
    <col min="6914" max="6914" width="13.21875" style="3136" customWidth="1"/>
    <col min="6915" max="6915" width="15.6640625" style="3136" customWidth="1"/>
    <col min="6916" max="6916" width="9.33203125" style="3136" bestFit="1" customWidth="1"/>
    <col min="6917" max="6917" width="13.44140625" style="3136" customWidth="1"/>
    <col min="6918" max="6918" width="9" style="3136"/>
    <col min="6919" max="6919" width="9.33203125" style="3136" bestFit="1" customWidth="1"/>
    <col min="6920" max="6921" width="9" style="3136"/>
    <col min="6922" max="6922" width="9.33203125" style="3136" bestFit="1" customWidth="1"/>
    <col min="6923" max="6923" width="4" style="3136" customWidth="1"/>
    <col min="6924" max="6924" width="5.109375" style="3136" customWidth="1"/>
    <col min="6925" max="6925" width="13.77734375" style="3136" customWidth="1"/>
    <col min="6926" max="7168" width="9" style="3136"/>
    <col min="7169" max="7169" width="4.88671875" style="3136" customWidth="1"/>
    <col min="7170" max="7170" width="13.21875" style="3136" customWidth="1"/>
    <col min="7171" max="7171" width="15.6640625" style="3136" customWidth="1"/>
    <col min="7172" max="7172" width="9.33203125" style="3136" bestFit="1" customWidth="1"/>
    <col min="7173" max="7173" width="13.44140625" style="3136" customWidth="1"/>
    <col min="7174" max="7174" width="9" style="3136"/>
    <col min="7175" max="7175" width="9.33203125" style="3136" bestFit="1" customWidth="1"/>
    <col min="7176" max="7177" width="9" style="3136"/>
    <col min="7178" max="7178" width="9.33203125" style="3136" bestFit="1" customWidth="1"/>
    <col min="7179" max="7179" width="4" style="3136" customWidth="1"/>
    <col min="7180" max="7180" width="5.109375" style="3136" customWidth="1"/>
    <col min="7181" max="7181" width="13.77734375" style="3136" customWidth="1"/>
    <col min="7182" max="7424" width="9" style="3136"/>
    <col min="7425" max="7425" width="4.88671875" style="3136" customWidth="1"/>
    <col min="7426" max="7426" width="13.21875" style="3136" customWidth="1"/>
    <col min="7427" max="7427" width="15.6640625" style="3136" customWidth="1"/>
    <col min="7428" max="7428" width="9.33203125" style="3136" bestFit="1" customWidth="1"/>
    <col min="7429" max="7429" width="13.44140625" style="3136" customWidth="1"/>
    <col min="7430" max="7430" width="9" style="3136"/>
    <col min="7431" max="7431" width="9.33203125" style="3136" bestFit="1" customWidth="1"/>
    <col min="7432" max="7433" width="9" style="3136"/>
    <col min="7434" max="7434" width="9.33203125" style="3136" bestFit="1" customWidth="1"/>
    <col min="7435" max="7435" width="4" style="3136" customWidth="1"/>
    <col min="7436" max="7436" width="5.109375" style="3136" customWidth="1"/>
    <col min="7437" max="7437" width="13.77734375" style="3136" customWidth="1"/>
    <col min="7438" max="7680" width="9" style="3136"/>
    <col min="7681" max="7681" width="4.88671875" style="3136" customWidth="1"/>
    <col min="7682" max="7682" width="13.21875" style="3136" customWidth="1"/>
    <col min="7683" max="7683" width="15.6640625" style="3136" customWidth="1"/>
    <col min="7684" max="7684" width="9.33203125" style="3136" bestFit="1" customWidth="1"/>
    <col min="7685" max="7685" width="13.44140625" style="3136" customWidth="1"/>
    <col min="7686" max="7686" width="9" style="3136"/>
    <col min="7687" max="7687" width="9.33203125" style="3136" bestFit="1" customWidth="1"/>
    <col min="7688" max="7689" width="9" style="3136"/>
    <col min="7690" max="7690" width="9.33203125" style="3136" bestFit="1" customWidth="1"/>
    <col min="7691" max="7691" width="4" style="3136" customWidth="1"/>
    <col min="7692" max="7692" width="5.109375" style="3136" customWidth="1"/>
    <col min="7693" max="7693" width="13.77734375" style="3136" customWidth="1"/>
    <col min="7694" max="7936" width="9" style="3136"/>
    <col min="7937" max="7937" width="4.88671875" style="3136" customWidth="1"/>
    <col min="7938" max="7938" width="13.21875" style="3136" customWidth="1"/>
    <col min="7939" max="7939" width="15.6640625" style="3136" customWidth="1"/>
    <col min="7940" max="7940" width="9.33203125" style="3136" bestFit="1" customWidth="1"/>
    <col min="7941" max="7941" width="13.44140625" style="3136" customWidth="1"/>
    <col min="7942" max="7942" width="9" style="3136"/>
    <col min="7943" max="7943" width="9.33203125" style="3136" bestFit="1" customWidth="1"/>
    <col min="7944" max="7945" width="9" style="3136"/>
    <col min="7946" max="7946" width="9.33203125" style="3136" bestFit="1" customWidth="1"/>
    <col min="7947" max="7947" width="4" style="3136" customWidth="1"/>
    <col min="7948" max="7948" width="5.109375" style="3136" customWidth="1"/>
    <col min="7949" max="7949" width="13.77734375" style="3136" customWidth="1"/>
    <col min="7950" max="8192" width="9" style="3136"/>
    <col min="8193" max="8193" width="4.88671875" style="3136" customWidth="1"/>
    <col min="8194" max="8194" width="13.21875" style="3136" customWidth="1"/>
    <col min="8195" max="8195" width="15.6640625" style="3136" customWidth="1"/>
    <col min="8196" max="8196" width="9.33203125" style="3136" bestFit="1" customWidth="1"/>
    <col min="8197" max="8197" width="13.44140625" style="3136" customWidth="1"/>
    <col min="8198" max="8198" width="9" style="3136"/>
    <col min="8199" max="8199" width="9.33203125" style="3136" bestFit="1" customWidth="1"/>
    <col min="8200" max="8201" width="9" style="3136"/>
    <col min="8202" max="8202" width="9.33203125" style="3136" bestFit="1" customWidth="1"/>
    <col min="8203" max="8203" width="4" style="3136" customWidth="1"/>
    <col min="8204" max="8204" width="5.109375" style="3136" customWidth="1"/>
    <col min="8205" max="8205" width="13.77734375" style="3136" customWidth="1"/>
    <col min="8206" max="8448" width="9" style="3136"/>
    <col min="8449" max="8449" width="4.88671875" style="3136" customWidth="1"/>
    <col min="8450" max="8450" width="13.21875" style="3136" customWidth="1"/>
    <col min="8451" max="8451" width="15.6640625" style="3136" customWidth="1"/>
    <col min="8452" max="8452" width="9.33203125" style="3136" bestFit="1" customWidth="1"/>
    <col min="8453" max="8453" width="13.44140625" style="3136" customWidth="1"/>
    <col min="8454" max="8454" width="9" style="3136"/>
    <col min="8455" max="8455" width="9.33203125" style="3136" bestFit="1" customWidth="1"/>
    <col min="8456" max="8457" width="9" style="3136"/>
    <col min="8458" max="8458" width="9.33203125" style="3136" bestFit="1" customWidth="1"/>
    <col min="8459" max="8459" width="4" style="3136" customWidth="1"/>
    <col min="8460" max="8460" width="5.109375" style="3136" customWidth="1"/>
    <col min="8461" max="8461" width="13.77734375" style="3136" customWidth="1"/>
    <col min="8462" max="8704" width="9" style="3136"/>
    <col min="8705" max="8705" width="4.88671875" style="3136" customWidth="1"/>
    <col min="8706" max="8706" width="13.21875" style="3136" customWidth="1"/>
    <col min="8707" max="8707" width="15.6640625" style="3136" customWidth="1"/>
    <col min="8708" max="8708" width="9.33203125" style="3136" bestFit="1" customWidth="1"/>
    <col min="8709" max="8709" width="13.44140625" style="3136" customWidth="1"/>
    <col min="8710" max="8710" width="9" style="3136"/>
    <col min="8711" max="8711" width="9.33203125" style="3136" bestFit="1" customWidth="1"/>
    <col min="8712" max="8713" width="9" style="3136"/>
    <col min="8714" max="8714" width="9.33203125" style="3136" bestFit="1" customWidth="1"/>
    <col min="8715" max="8715" width="4" style="3136" customWidth="1"/>
    <col min="8716" max="8716" width="5.109375" style="3136" customWidth="1"/>
    <col min="8717" max="8717" width="13.77734375" style="3136" customWidth="1"/>
    <col min="8718" max="8960" width="9" style="3136"/>
    <col min="8961" max="8961" width="4.88671875" style="3136" customWidth="1"/>
    <col min="8962" max="8962" width="13.21875" style="3136" customWidth="1"/>
    <col min="8963" max="8963" width="15.6640625" style="3136" customWidth="1"/>
    <col min="8964" max="8964" width="9.33203125" style="3136" bestFit="1" customWidth="1"/>
    <col min="8965" max="8965" width="13.44140625" style="3136" customWidth="1"/>
    <col min="8966" max="8966" width="9" style="3136"/>
    <col min="8967" max="8967" width="9.33203125" style="3136" bestFit="1" customWidth="1"/>
    <col min="8968" max="8969" width="9" style="3136"/>
    <col min="8970" max="8970" width="9.33203125" style="3136" bestFit="1" customWidth="1"/>
    <col min="8971" max="8971" width="4" style="3136" customWidth="1"/>
    <col min="8972" max="8972" width="5.109375" style="3136" customWidth="1"/>
    <col min="8973" max="8973" width="13.77734375" style="3136" customWidth="1"/>
    <col min="8974" max="9216" width="9" style="3136"/>
    <col min="9217" max="9217" width="4.88671875" style="3136" customWidth="1"/>
    <col min="9218" max="9218" width="13.21875" style="3136" customWidth="1"/>
    <col min="9219" max="9219" width="15.6640625" style="3136" customWidth="1"/>
    <col min="9220" max="9220" width="9.33203125" style="3136" bestFit="1" customWidth="1"/>
    <col min="9221" max="9221" width="13.44140625" style="3136" customWidth="1"/>
    <col min="9222" max="9222" width="9" style="3136"/>
    <col min="9223" max="9223" width="9.33203125" style="3136" bestFit="1" customWidth="1"/>
    <col min="9224" max="9225" width="9" style="3136"/>
    <col min="9226" max="9226" width="9.33203125" style="3136" bestFit="1" customWidth="1"/>
    <col min="9227" max="9227" width="4" style="3136" customWidth="1"/>
    <col min="9228" max="9228" width="5.109375" style="3136" customWidth="1"/>
    <col min="9229" max="9229" width="13.77734375" style="3136" customWidth="1"/>
    <col min="9230" max="9472" width="9" style="3136"/>
    <col min="9473" max="9473" width="4.88671875" style="3136" customWidth="1"/>
    <col min="9474" max="9474" width="13.21875" style="3136" customWidth="1"/>
    <col min="9475" max="9475" width="15.6640625" style="3136" customWidth="1"/>
    <col min="9476" max="9476" width="9.33203125" style="3136" bestFit="1" customWidth="1"/>
    <col min="9477" max="9477" width="13.44140625" style="3136" customWidth="1"/>
    <col min="9478" max="9478" width="9" style="3136"/>
    <col min="9479" max="9479" width="9.33203125" style="3136" bestFit="1" customWidth="1"/>
    <col min="9480" max="9481" width="9" style="3136"/>
    <col min="9482" max="9482" width="9.33203125" style="3136" bestFit="1" customWidth="1"/>
    <col min="9483" max="9483" width="4" style="3136" customWidth="1"/>
    <col min="9484" max="9484" width="5.109375" style="3136" customWidth="1"/>
    <col min="9485" max="9485" width="13.77734375" style="3136" customWidth="1"/>
    <col min="9486" max="9728" width="9" style="3136"/>
    <col min="9729" max="9729" width="4.88671875" style="3136" customWidth="1"/>
    <col min="9730" max="9730" width="13.21875" style="3136" customWidth="1"/>
    <col min="9731" max="9731" width="15.6640625" style="3136" customWidth="1"/>
    <col min="9732" max="9732" width="9.33203125" style="3136" bestFit="1" customWidth="1"/>
    <col min="9733" max="9733" width="13.44140625" style="3136" customWidth="1"/>
    <col min="9734" max="9734" width="9" style="3136"/>
    <col min="9735" max="9735" width="9.33203125" style="3136" bestFit="1" customWidth="1"/>
    <col min="9736" max="9737" width="9" style="3136"/>
    <col min="9738" max="9738" width="9.33203125" style="3136" bestFit="1" customWidth="1"/>
    <col min="9739" max="9739" width="4" style="3136" customWidth="1"/>
    <col min="9740" max="9740" width="5.109375" style="3136" customWidth="1"/>
    <col min="9741" max="9741" width="13.77734375" style="3136" customWidth="1"/>
    <col min="9742" max="9984" width="9" style="3136"/>
    <col min="9985" max="9985" width="4.88671875" style="3136" customWidth="1"/>
    <col min="9986" max="9986" width="13.21875" style="3136" customWidth="1"/>
    <col min="9987" max="9987" width="15.6640625" style="3136" customWidth="1"/>
    <col min="9988" max="9988" width="9.33203125" style="3136" bestFit="1" customWidth="1"/>
    <col min="9989" max="9989" width="13.44140625" style="3136" customWidth="1"/>
    <col min="9990" max="9990" width="9" style="3136"/>
    <col min="9991" max="9991" width="9.33203125" style="3136" bestFit="1" customWidth="1"/>
    <col min="9992" max="9993" width="9" style="3136"/>
    <col min="9994" max="9994" width="9.33203125" style="3136" bestFit="1" customWidth="1"/>
    <col min="9995" max="9995" width="4" style="3136" customWidth="1"/>
    <col min="9996" max="9996" width="5.109375" style="3136" customWidth="1"/>
    <col min="9997" max="9997" width="13.77734375" style="3136" customWidth="1"/>
    <col min="9998" max="10240" width="9" style="3136"/>
    <col min="10241" max="10241" width="4.88671875" style="3136" customWidth="1"/>
    <col min="10242" max="10242" width="13.21875" style="3136" customWidth="1"/>
    <col min="10243" max="10243" width="15.6640625" style="3136" customWidth="1"/>
    <col min="10244" max="10244" width="9.33203125" style="3136" bestFit="1" customWidth="1"/>
    <col min="10245" max="10245" width="13.44140625" style="3136" customWidth="1"/>
    <col min="10246" max="10246" width="9" style="3136"/>
    <col min="10247" max="10247" width="9.33203125" style="3136" bestFit="1" customWidth="1"/>
    <col min="10248" max="10249" width="9" style="3136"/>
    <col min="10250" max="10250" width="9.33203125" style="3136" bestFit="1" customWidth="1"/>
    <col min="10251" max="10251" width="4" style="3136" customWidth="1"/>
    <col min="10252" max="10252" width="5.109375" style="3136" customWidth="1"/>
    <col min="10253" max="10253" width="13.77734375" style="3136" customWidth="1"/>
    <col min="10254" max="10496" width="9" style="3136"/>
    <col min="10497" max="10497" width="4.88671875" style="3136" customWidth="1"/>
    <col min="10498" max="10498" width="13.21875" style="3136" customWidth="1"/>
    <col min="10499" max="10499" width="15.6640625" style="3136" customWidth="1"/>
    <col min="10500" max="10500" width="9.33203125" style="3136" bestFit="1" customWidth="1"/>
    <col min="10501" max="10501" width="13.44140625" style="3136" customWidth="1"/>
    <col min="10502" max="10502" width="9" style="3136"/>
    <col min="10503" max="10503" width="9.33203125" style="3136" bestFit="1" customWidth="1"/>
    <col min="10504" max="10505" width="9" style="3136"/>
    <col min="10506" max="10506" width="9.33203125" style="3136" bestFit="1" customWidth="1"/>
    <col min="10507" max="10507" width="4" style="3136" customWidth="1"/>
    <col min="10508" max="10508" width="5.109375" style="3136" customWidth="1"/>
    <col min="10509" max="10509" width="13.77734375" style="3136" customWidth="1"/>
    <col min="10510" max="10752" width="9" style="3136"/>
    <col min="10753" max="10753" width="4.88671875" style="3136" customWidth="1"/>
    <col min="10754" max="10754" width="13.21875" style="3136" customWidth="1"/>
    <col min="10755" max="10755" width="15.6640625" style="3136" customWidth="1"/>
    <col min="10756" max="10756" width="9.33203125" style="3136" bestFit="1" customWidth="1"/>
    <col min="10757" max="10757" width="13.44140625" style="3136" customWidth="1"/>
    <col min="10758" max="10758" width="9" style="3136"/>
    <col min="10759" max="10759" width="9.33203125" style="3136" bestFit="1" customWidth="1"/>
    <col min="10760" max="10761" width="9" style="3136"/>
    <col min="10762" max="10762" width="9.33203125" style="3136" bestFit="1" customWidth="1"/>
    <col min="10763" max="10763" width="4" style="3136" customWidth="1"/>
    <col min="10764" max="10764" width="5.109375" style="3136" customWidth="1"/>
    <col min="10765" max="10765" width="13.77734375" style="3136" customWidth="1"/>
    <col min="10766" max="11008" width="9" style="3136"/>
    <col min="11009" max="11009" width="4.88671875" style="3136" customWidth="1"/>
    <col min="11010" max="11010" width="13.21875" style="3136" customWidth="1"/>
    <col min="11011" max="11011" width="15.6640625" style="3136" customWidth="1"/>
    <col min="11012" max="11012" width="9.33203125" style="3136" bestFit="1" customWidth="1"/>
    <col min="11013" max="11013" width="13.44140625" style="3136" customWidth="1"/>
    <col min="11014" max="11014" width="9" style="3136"/>
    <col min="11015" max="11015" width="9.33203125" style="3136" bestFit="1" customWidth="1"/>
    <col min="11016" max="11017" width="9" style="3136"/>
    <col min="11018" max="11018" width="9.33203125" style="3136" bestFit="1" customWidth="1"/>
    <col min="11019" max="11019" width="4" style="3136" customWidth="1"/>
    <col min="11020" max="11020" width="5.109375" style="3136" customWidth="1"/>
    <col min="11021" max="11021" width="13.77734375" style="3136" customWidth="1"/>
    <col min="11022" max="11264" width="9" style="3136"/>
    <col min="11265" max="11265" width="4.88671875" style="3136" customWidth="1"/>
    <col min="11266" max="11266" width="13.21875" style="3136" customWidth="1"/>
    <col min="11267" max="11267" width="15.6640625" style="3136" customWidth="1"/>
    <col min="11268" max="11268" width="9.33203125" style="3136" bestFit="1" customWidth="1"/>
    <col min="11269" max="11269" width="13.44140625" style="3136" customWidth="1"/>
    <col min="11270" max="11270" width="9" style="3136"/>
    <col min="11271" max="11271" width="9.33203125" style="3136" bestFit="1" customWidth="1"/>
    <col min="11272" max="11273" width="9" style="3136"/>
    <col min="11274" max="11274" width="9.33203125" style="3136" bestFit="1" customWidth="1"/>
    <col min="11275" max="11275" width="4" style="3136" customWidth="1"/>
    <col min="11276" max="11276" width="5.109375" style="3136" customWidth="1"/>
    <col min="11277" max="11277" width="13.77734375" style="3136" customWidth="1"/>
    <col min="11278" max="11520" width="9" style="3136"/>
    <col min="11521" max="11521" width="4.88671875" style="3136" customWidth="1"/>
    <col min="11522" max="11522" width="13.21875" style="3136" customWidth="1"/>
    <col min="11523" max="11523" width="15.6640625" style="3136" customWidth="1"/>
    <col min="11524" max="11524" width="9.33203125" style="3136" bestFit="1" customWidth="1"/>
    <col min="11525" max="11525" width="13.44140625" style="3136" customWidth="1"/>
    <col min="11526" max="11526" width="9" style="3136"/>
    <col min="11527" max="11527" width="9.33203125" style="3136" bestFit="1" customWidth="1"/>
    <col min="11528" max="11529" width="9" style="3136"/>
    <col min="11530" max="11530" width="9.33203125" style="3136" bestFit="1" customWidth="1"/>
    <col min="11531" max="11531" width="4" style="3136" customWidth="1"/>
    <col min="11532" max="11532" width="5.109375" style="3136" customWidth="1"/>
    <col min="11533" max="11533" width="13.77734375" style="3136" customWidth="1"/>
    <col min="11534" max="11776" width="9" style="3136"/>
    <col min="11777" max="11777" width="4.88671875" style="3136" customWidth="1"/>
    <col min="11778" max="11778" width="13.21875" style="3136" customWidth="1"/>
    <col min="11779" max="11779" width="15.6640625" style="3136" customWidth="1"/>
    <col min="11780" max="11780" width="9.33203125" style="3136" bestFit="1" customWidth="1"/>
    <col min="11781" max="11781" width="13.44140625" style="3136" customWidth="1"/>
    <col min="11782" max="11782" width="9" style="3136"/>
    <col min="11783" max="11783" width="9.33203125" style="3136" bestFit="1" customWidth="1"/>
    <col min="11784" max="11785" width="9" style="3136"/>
    <col min="11786" max="11786" width="9.33203125" style="3136" bestFit="1" customWidth="1"/>
    <col min="11787" max="11787" width="4" style="3136" customWidth="1"/>
    <col min="11788" max="11788" width="5.109375" style="3136" customWidth="1"/>
    <col min="11789" max="11789" width="13.77734375" style="3136" customWidth="1"/>
    <col min="11790" max="12032" width="9" style="3136"/>
    <col min="12033" max="12033" width="4.88671875" style="3136" customWidth="1"/>
    <col min="12034" max="12034" width="13.21875" style="3136" customWidth="1"/>
    <col min="12035" max="12035" width="15.6640625" style="3136" customWidth="1"/>
    <col min="12036" max="12036" width="9.33203125" style="3136" bestFit="1" customWidth="1"/>
    <col min="12037" max="12037" width="13.44140625" style="3136" customWidth="1"/>
    <col min="12038" max="12038" width="9" style="3136"/>
    <col min="12039" max="12039" width="9.33203125" style="3136" bestFit="1" customWidth="1"/>
    <col min="12040" max="12041" width="9" style="3136"/>
    <col min="12042" max="12042" width="9.33203125" style="3136" bestFit="1" customWidth="1"/>
    <col min="12043" max="12043" width="4" style="3136" customWidth="1"/>
    <col min="12044" max="12044" width="5.109375" style="3136" customWidth="1"/>
    <col min="12045" max="12045" width="13.77734375" style="3136" customWidth="1"/>
    <col min="12046" max="12288" width="9" style="3136"/>
    <col min="12289" max="12289" width="4.88671875" style="3136" customWidth="1"/>
    <col min="12290" max="12290" width="13.21875" style="3136" customWidth="1"/>
    <col min="12291" max="12291" width="15.6640625" style="3136" customWidth="1"/>
    <col min="12292" max="12292" width="9.33203125" style="3136" bestFit="1" customWidth="1"/>
    <col min="12293" max="12293" width="13.44140625" style="3136" customWidth="1"/>
    <col min="12294" max="12294" width="9" style="3136"/>
    <col min="12295" max="12295" width="9.33203125" style="3136" bestFit="1" customWidth="1"/>
    <col min="12296" max="12297" width="9" style="3136"/>
    <col min="12298" max="12298" width="9.33203125" style="3136" bestFit="1" customWidth="1"/>
    <col min="12299" max="12299" width="4" style="3136" customWidth="1"/>
    <col min="12300" max="12300" width="5.109375" style="3136" customWidth="1"/>
    <col min="12301" max="12301" width="13.77734375" style="3136" customWidth="1"/>
    <col min="12302" max="12544" width="9" style="3136"/>
    <col min="12545" max="12545" width="4.88671875" style="3136" customWidth="1"/>
    <col min="12546" max="12546" width="13.21875" style="3136" customWidth="1"/>
    <col min="12547" max="12547" width="15.6640625" style="3136" customWidth="1"/>
    <col min="12548" max="12548" width="9.33203125" style="3136" bestFit="1" customWidth="1"/>
    <col min="12549" max="12549" width="13.44140625" style="3136" customWidth="1"/>
    <col min="12550" max="12550" width="9" style="3136"/>
    <col min="12551" max="12551" width="9.33203125" style="3136" bestFit="1" customWidth="1"/>
    <col min="12552" max="12553" width="9" style="3136"/>
    <col min="12554" max="12554" width="9.33203125" style="3136" bestFit="1" customWidth="1"/>
    <col min="12555" max="12555" width="4" style="3136" customWidth="1"/>
    <col min="12556" max="12556" width="5.109375" style="3136" customWidth="1"/>
    <col min="12557" max="12557" width="13.77734375" style="3136" customWidth="1"/>
    <col min="12558" max="12800" width="9" style="3136"/>
    <col min="12801" max="12801" width="4.88671875" style="3136" customWidth="1"/>
    <col min="12802" max="12802" width="13.21875" style="3136" customWidth="1"/>
    <col min="12803" max="12803" width="15.6640625" style="3136" customWidth="1"/>
    <col min="12804" max="12804" width="9.33203125" style="3136" bestFit="1" customWidth="1"/>
    <col min="12805" max="12805" width="13.44140625" style="3136" customWidth="1"/>
    <col min="12806" max="12806" width="9" style="3136"/>
    <col min="12807" max="12807" width="9.33203125" style="3136" bestFit="1" customWidth="1"/>
    <col min="12808" max="12809" width="9" style="3136"/>
    <col min="12810" max="12810" width="9.33203125" style="3136" bestFit="1" customWidth="1"/>
    <col min="12811" max="12811" width="4" style="3136" customWidth="1"/>
    <col min="12812" max="12812" width="5.109375" style="3136" customWidth="1"/>
    <col min="12813" max="12813" width="13.77734375" style="3136" customWidth="1"/>
    <col min="12814" max="13056" width="9" style="3136"/>
    <col min="13057" max="13057" width="4.88671875" style="3136" customWidth="1"/>
    <col min="13058" max="13058" width="13.21875" style="3136" customWidth="1"/>
    <col min="13059" max="13059" width="15.6640625" style="3136" customWidth="1"/>
    <col min="13060" max="13060" width="9.33203125" style="3136" bestFit="1" customWidth="1"/>
    <col min="13061" max="13061" width="13.44140625" style="3136" customWidth="1"/>
    <col min="13062" max="13062" width="9" style="3136"/>
    <col min="13063" max="13063" width="9.33203125" style="3136" bestFit="1" customWidth="1"/>
    <col min="13064" max="13065" width="9" style="3136"/>
    <col min="13066" max="13066" width="9.33203125" style="3136" bestFit="1" customWidth="1"/>
    <col min="13067" max="13067" width="4" style="3136" customWidth="1"/>
    <col min="13068" max="13068" width="5.109375" style="3136" customWidth="1"/>
    <col min="13069" max="13069" width="13.77734375" style="3136" customWidth="1"/>
    <col min="13070" max="13312" width="9" style="3136"/>
    <col min="13313" max="13313" width="4.88671875" style="3136" customWidth="1"/>
    <col min="13314" max="13314" width="13.21875" style="3136" customWidth="1"/>
    <col min="13315" max="13315" width="15.6640625" style="3136" customWidth="1"/>
    <col min="13316" max="13316" width="9.33203125" style="3136" bestFit="1" customWidth="1"/>
    <col min="13317" max="13317" width="13.44140625" style="3136" customWidth="1"/>
    <col min="13318" max="13318" width="9" style="3136"/>
    <col min="13319" max="13319" width="9.33203125" style="3136" bestFit="1" customWidth="1"/>
    <col min="13320" max="13321" width="9" style="3136"/>
    <col min="13322" max="13322" width="9.33203125" style="3136" bestFit="1" customWidth="1"/>
    <col min="13323" max="13323" width="4" style="3136" customWidth="1"/>
    <col min="13324" max="13324" width="5.109375" style="3136" customWidth="1"/>
    <col min="13325" max="13325" width="13.77734375" style="3136" customWidth="1"/>
    <col min="13326" max="13568" width="9" style="3136"/>
    <col min="13569" max="13569" width="4.88671875" style="3136" customWidth="1"/>
    <col min="13570" max="13570" width="13.21875" style="3136" customWidth="1"/>
    <col min="13571" max="13571" width="15.6640625" style="3136" customWidth="1"/>
    <col min="13572" max="13572" width="9.33203125" style="3136" bestFit="1" customWidth="1"/>
    <col min="13573" max="13573" width="13.44140625" style="3136" customWidth="1"/>
    <col min="13574" max="13574" width="9" style="3136"/>
    <col min="13575" max="13575" width="9.33203125" style="3136" bestFit="1" customWidth="1"/>
    <col min="13576" max="13577" width="9" style="3136"/>
    <col min="13578" max="13578" width="9.33203125" style="3136" bestFit="1" customWidth="1"/>
    <col min="13579" max="13579" width="4" style="3136" customWidth="1"/>
    <col min="13580" max="13580" width="5.109375" style="3136" customWidth="1"/>
    <col min="13581" max="13581" width="13.77734375" style="3136" customWidth="1"/>
    <col min="13582" max="13824" width="9" style="3136"/>
    <col min="13825" max="13825" width="4.88671875" style="3136" customWidth="1"/>
    <col min="13826" max="13826" width="13.21875" style="3136" customWidth="1"/>
    <col min="13827" max="13827" width="15.6640625" style="3136" customWidth="1"/>
    <col min="13828" max="13828" width="9.33203125" style="3136" bestFit="1" customWidth="1"/>
    <col min="13829" max="13829" width="13.44140625" style="3136" customWidth="1"/>
    <col min="13830" max="13830" width="9" style="3136"/>
    <col min="13831" max="13831" width="9.33203125" style="3136" bestFit="1" customWidth="1"/>
    <col min="13832" max="13833" width="9" style="3136"/>
    <col min="13834" max="13834" width="9.33203125" style="3136" bestFit="1" customWidth="1"/>
    <col min="13835" max="13835" width="4" style="3136" customWidth="1"/>
    <col min="13836" max="13836" width="5.109375" style="3136" customWidth="1"/>
    <col min="13837" max="13837" width="13.77734375" style="3136" customWidth="1"/>
    <col min="13838" max="14080" width="9" style="3136"/>
    <col min="14081" max="14081" width="4.88671875" style="3136" customWidth="1"/>
    <col min="14082" max="14082" width="13.21875" style="3136" customWidth="1"/>
    <col min="14083" max="14083" width="15.6640625" style="3136" customWidth="1"/>
    <col min="14084" max="14084" width="9.33203125" style="3136" bestFit="1" customWidth="1"/>
    <col min="14085" max="14085" width="13.44140625" style="3136" customWidth="1"/>
    <col min="14086" max="14086" width="9" style="3136"/>
    <col min="14087" max="14087" width="9.33203125" style="3136" bestFit="1" customWidth="1"/>
    <col min="14088" max="14089" width="9" style="3136"/>
    <col min="14090" max="14090" width="9.33203125" style="3136" bestFit="1" customWidth="1"/>
    <col min="14091" max="14091" width="4" style="3136" customWidth="1"/>
    <col min="14092" max="14092" width="5.109375" style="3136" customWidth="1"/>
    <col min="14093" max="14093" width="13.77734375" style="3136" customWidth="1"/>
    <col min="14094" max="14336" width="9" style="3136"/>
    <col min="14337" max="14337" width="4.88671875" style="3136" customWidth="1"/>
    <col min="14338" max="14338" width="13.21875" style="3136" customWidth="1"/>
    <col min="14339" max="14339" width="15.6640625" style="3136" customWidth="1"/>
    <col min="14340" max="14340" width="9.33203125" style="3136" bestFit="1" customWidth="1"/>
    <col min="14341" max="14341" width="13.44140625" style="3136" customWidth="1"/>
    <col min="14342" max="14342" width="9" style="3136"/>
    <col min="14343" max="14343" width="9.33203125" style="3136" bestFit="1" customWidth="1"/>
    <col min="14344" max="14345" width="9" style="3136"/>
    <col min="14346" max="14346" width="9.33203125" style="3136" bestFit="1" customWidth="1"/>
    <col min="14347" max="14347" width="4" style="3136" customWidth="1"/>
    <col min="14348" max="14348" width="5.109375" style="3136" customWidth="1"/>
    <col min="14349" max="14349" width="13.77734375" style="3136" customWidth="1"/>
    <col min="14350" max="14592" width="9" style="3136"/>
    <col min="14593" max="14593" width="4.88671875" style="3136" customWidth="1"/>
    <col min="14594" max="14594" width="13.21875" style="3136" customWidth="1"/>
    <col min="14595" max="14595" width="15.6640625" style="3136" customWidth="1"/>
    <col min="14596" max="14596" width="9.33203125" style="3136" bestFit="1" customWidth="1"/>
    <col min="14597" max="14597" width="13.44140625" style="3136" customWidth="1"/>
    <col min="14598" max="14598" width="9" style="3136"/>
    <col min="14599" max="14599" width="9.33203125" style="3136" bestFit="1" customWidth="1"/>
    <col min="14600" max="14601" width="9" style="3136"/>
    <col min="14602" max="14602" width="9.33203125" style="3136" bestFit="1" customWidth="1"/>
    <col min="14603" max="14603" width="4" style="3136" customWidth="1"/>
    <col min="14604" max="14604" width="5.109375" style="3136" customWidth="1"/>
    <col min="14605" max="14605" width="13.77734375" style="3136" customWidth="1"/>
    <col min="14606" max="14848" width="9" style="3136"/>
    <col min="14849" max="14849" width="4.88671875" style="3136" customWidth="1"/>
    <col min="14850" max="14850" width="13.21875" style="3136" customWidth="1"/>
    <col min="14851" max="14851" width="15.6640625" style="3136" customWidth="1"/>
    <col min="14852" max="14852" width="9.33203125" style="3136" bestFit="1" customWidth="1"/>
    <col min="14853" max="14853" width="13.44140625" style="3136" customWidth="1"/>
    <col min="14854" max="14854" width="9" style="3136"/>
    <col min="14855" max="14855" width="9.33203125" style="3136" bestFit="1" customWidth="1"/>
    <col min="14856" max="14857" width="9" style="3136"/>
    <col min="14858" max="14858" width="9.33203125" style="3136" bestFit="1" customWidth="1"/>
    <col min="14859" max="14859" width="4" style="3136" customWidth="1"/>
    <col min="14860" max="14860" width="5.109375" style="3136" customWidth="1"/>
    <col min="14861" max="14861" width="13.77734375" style="3136" customWidth="1"/>
    <col min="14862" max="15104" width="9" style="3136"/>
    <col min="15105" max="15105" width="4.88671875" style="3136" customWidth="1"/>
    <col min="15106" max="15106" width="13.21875" style="3136" customWidth="1"/>
    <col min="15107" max="15107" width="15.6640625" style="3136" customWidth="1"/>
    <col min="15108" max="15108" width="9.33203125" style="3136" bestFit="1" customWidth="1"/>
    <col min="15109" max="15109" width="13.44140625" style="3136" customWidth="1"/>
    <col min="15110" max="15110" width="9" style="3136"/>
    <col min="15111" max="15111" width="9.33203125" style="3136" bestFit="1" customWidth="1"/>
    <col min="15112" max="15113" width="9" style="3136"/>
    <col min="15114" max="15114" width="9.33203125" style="3136" bestFit="1" customWidth="1"/>
    <col min="15115" max="15115" width="4" style="3136" customWidth="1"/>
    <col min="15116" max="15116" width="5.109375" style="3136" customWidth="1"/>
    <col min="15117" max="15117" width="13.77734375" style="3136" customWidth="1"/>
    <col min="15118" max="15360" width="9" style="3136"/>
    <col min="15361" max="15361" width="4.88671875" style="3136" customWidth="1"/>
    <col min="15362" max="15362" width="13.21875" style="3136" customWidth="1"/>
    <col min="15363" max="15363" width="15.6640625" style="3136" customWidth="1"/>
    <col min="15364" max="15364" width="9.33203125" style="3136" bestFit="1" customWidth="1"/>
    <col min="15365" max="15365" width="13.44140625" style="3136" customWidth="1"/>
    <col min="15366" max="15366" width="9" style="3136"/>
    <col min="15367" max="15367" width="9.33203125" style="3136" bestFit="1" customWidth="1"/>
    <col min="15368" max="15369" width="9" style="3136"/>
    <col min="15370" max="15370" width="9.33203125" style="3136" bestFit="1" customWidth="1"/>
    <col min="15371" max="15371" width="4" style="3136" customWidth="1"/>
    <col min="15372" max="15372" width="5.109375" style="3136" customWidth="1"/>
    <col min="15373" max="15373" width="13.77734375" style="3136" customWidth="1"/>
    <col min="15374" max="15616" width="9" style="3136"/>
    <col min="15617" max="15617" width="4.88671875" style="3136" customWidth="1"/>
    <col min="15618" max="15618" width="13.21875" style="3136" customWidth="1"/>
    <col min="15619" max="15619" width="15.6640625" style="3136" customWidth="1"/>
    <col min="15620" max="15620" width="9.33203125" style="3136" bestFit="1" customWidth="1"/>
    <col min="15621" max="15621" width="13.44140625" style="3136" customWidth="1"/>
    <col min="15622" max="15622" width="9" style="3136"/>
    <col min="15623" max="15623" width="9.33203125" style="3136" bestFit="1" customWidth="1"/>
    <col min="15624" max="15625" width="9" style="3136"/>
    <col min="15626" max="15626" width="9.33203125" style="3136" bestFit="1" customWidth="1"/>
    <col min="15627" max="15627" width="4" style="3136" customWidth="1"/>
    <col min="15628" max="15628" width="5.109375" style="3136" customWidth="1"/>
    <col min="15629" max="15629" width="13.77734375" style="3136" customWidth="1"/>
    <col min="15630" max="15872" width="9" style="3136"/>
    <col min="15873" max="15873" width="4.88671875" style="3136" customWidth="1"/>
    <col min="15874" max="15874" width="13.21875" style="3136" customWidth="1"/>
    <col min="15875" max="15875" width="15.6640625" style="3136" customWidth="1"/>
    <col min="15876" max="15876" width="9.33203125" style="3136" bestFit="1" customWidth="1"/>
    <col min="15877" max="15877" width="13.44140625" style="3136" customWidth="1"/>
    <col min="15878" max="15878" width="9" style="3136"/>
    <col min="15879" max="15879" width="9.33203125" style="3136" bestFit="1" customWidth="1"/>
    <col min="15880" max="15881" width="9" style="3136"/>
    <col min="15882" max="15882" width="9.33203125" style="3136" bestFit="1" customWidth="1"/>
    <col min="15883" max="15883" width="4" style="3136" customWidth="1"/>
    <col min="15884" max="15884" width="5.109375" style="3136" customWidth="1"/>
    <col min="15885" max="15885" width="13.77734375" style="3136" customWidth="1"/>
    <col min="15886" max="16128" width="9" style="3136"/>
    <col min="16129" max="16129" width="4.88671875" style="3136" customWidth="1"/>
    <col min="16130" max="16130" width="13.21875" style="3136" customWidth="1"/>
    <col min="16131" max="16131" width="15.6640625" style="3136" customWidth="1"/>
    <col min="16132" max="16132" width="9.33203125" style="3136" bestFit="1" customWidth="1"/>
    <col min="16133" max="16133" width="13.44140625" style="3136" customWidth="1"/>
    <col min="16134" max="16134" width="9" style="3136"/>
    <col min="16135" max="16135" width="9.33203125" style="3136" bestFit="1" customWidth="1"/>
    <col min="16136" max="16137" width="9" style="3136"/>
    <col min="16138" max="16138" width="9.33203125" style="3136" bestFit="1" customWidth="1"/>
    <col min="16139" max="16139" width="4" style="3136" customWidth="1"/>
    <col min="16140" max="16140" width="5.109375" style="3136" customWidth="1"/>
    <col min="16141" max="16141" width="13.77734375" style="3136" customWidth="1"/>
    <col min="16142" max="16384" width="9" style="3136"/>
  </cols>
  <sheetData>
    <row r="1" spans="1:257" s="3200" customFormat="1" ht="15" thickBot="1">
      <c r="A1" s="3194"/>
      <c r="B1" s="3201" t="s">
        <v>2898</v>
      </c>
      <c r="C1" s="3195">
        <f>项目基本情况!D3</f>
        <v>43385</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6"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399999999999999">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2">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31.2">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6.8">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3328" t="s">
        <v>3026</v>
      </c>
      <c r="E1" s="3322" t="s">
        <v>3030</v>
      </c>
      <c r="F1" s="3323" t="s">
        <v>3034</v>
      </c>
    </row>
    <row r="2" spans="1:13" ht="19.8">
      <c r="A2" s="3329" t="s">
        <v>3027</v>
      </c>
    </row>
    <row r="3" spans="1:13" ht="15.6">
      <c r="A3" s="3330" t="s">
        <v>3028</v>
      </c>
    </row>
    <row r="4" spans="1:13">
      <c r="A4" s="3320" t="s">
        <v>3029</v>
      </c>
      <c r="B4" s="3325" t="s">
        <v>3031</v>
      </c>
      <c r="C4" s="3326"/>
      <c r="D4" s="3327"/>
      <c r="E4" s="3325" t="s">
        <v>141</v>
      </c>
      <c r="F4" s="3326"/>
      <c r="G4" s="3327"/>
      <c r="H4" s="3325" t="s">
        <v>3032</v>
      </c>
      <c r="I4" s="3326"/>
      <c r="J4" s="3327"/>
      <c r="K4" s="3325" t="s">
        <v>39</v>
      </c>
      <c r="L4" s="3326"/>
      <c r="M4" s="3327"/>
    </row>
    <row r="5" spans="1:13">
      <c r="A5" s="3321" t="s">
        <v>3033</v>
      </c>
      <c r="B5" s="3320" t="s">
        <v>3035</v>
      </c>
      <c r="C5" s="3320" t="s">
        <v>3036</v>
      </c>
      <c r="D5" s="3320" t="s">
        <v>3037</v>
      </c>
      <c r="E5" s="3320" t="s">
        <v>3035</v>
      </c>
      <c r="F5" s="3320" t="s">
        <v>3036</v>
      </c>
      <c r="G5" s="3320" t="s">
        <v>3037</v>
      </c>
      <c r="H5" s="3320" t="s">
        <v>3035</v>
      </c>
      <c r="I5" s="3320" t="s">
        <v>3036</v>
      </c>
      <c r="J5" s="3320" t="s">
        <v>3037</v>
      </c>
      <c r="K5" s="3320" t="s">
        <v>3035</v>
      </c>
      <c r="L5" s="3320" t="s">
        <v>3036</v>
      </c>
      <c r="M5" s="3320" t="s">
        <v>3037</v>
      </c>
    </row>
    <row r="6" spans="1:13">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C73" workbookViewId="0">
      <selection activeCell="M96" sqref="M96"/>
    </sheetView>
  </sheetViews>
  <sheetFormatPr defaultRowHeight="14.4"/>
  <sheetData>
    <row r="82" spans="1:13">
      <c r="A82" s="3367"/>
      <c r="B82" s="3367" t="s">
        <v>3122</v>
      </c>
      <c r="C82" s="3367" t="s">
        <v>3123</v>
      </c>
      <c r="D82" s="3367" t="s">
        <v>3124</v>
      </c>
      <c r="E82" s="3367" t="s">
        <v>3125</v>
      </c>
      <c r="I82">
        <v>1</v>
      </c>
      <c r="J82">
        <v>16655.87</v>
      </c>
      <c r="K82" s="3389">
        <v>0.4</v>
      </c>
    </row>
    <row r="83" spans="1:13">
      <c r="A83" s="3367" t="s">
        <v>3116</v>
      </c>
      <c r="B83" s="3367">
        <f>'数据-基础表'!I5</f>
        <v>66249</v>
      </c>
      <c r="C83" s="3367">
        <v>2000</v>
      </c>
      <c r="D83" s="3367">
        <v>1.4</v>
      </c>
      <c r="E83" s="3368">
        <v>0.1</v>
      </c>
      <c r="F83" s="3368"/>
      <c r="I83">
        <v>2</v>
      </c>
      <c r="J83">
        <v>16629.87</v>
      </c>
      <c r="K83" s="3389">
        <f>K82</f>
        <v>0.4</v>
      </c>
    </row>
    <row r="84" spans="1:13">
      <c r="A84" s="3367" t="s">
        <v>141</v>
      </c>
      <c r="B84" s="3367">
        <f>'数据-基础表'!K5</f>
        <v>68635.83</v>
      </c>
      <c r="C84" s="3367">
        <v>3000</v>
      </c>
      <c r="D84" s="3367">
        <v>1.8</v>
      </c>
      <c r="E84" s="3368">
        <v>0.12</v>
      </c>
      <c r="F84" s="3371"/>
      <c r="I84">
        <v>3</v>
      </c>
      <c r="J84">
        <v>16481.63</v>
      </c>
      <c r="K84" s="3389">
        <v>0.7</v>
      </c>
      <c r="L84" s="3382">
        <f>J84+J85+J88+J92</f>
        <v>56645.09</v>
      </c>
    </row>
    <row r="85" spans="1:13">
      <c r="A85" s="3367" t="s">
        <v>3120</v>
      </c>
      <c r="B85" s="3367">
        <f>'数据-基础表'!M5</f>
        <v>16210.670000000002</v>
      </c>
      <c r="C85" s="3367">
        <v>2000</v>
      </c>
      <c r="D85" s="3367">
        <v>0.3</v>
      </c>
      <c r="E85" s="3368">
        <v>0.05</v>
      </c>
      <c r="F85" s="3371"/>
      <c r="I85">
        <v>4</v>
      </c>
      <c r="J85">
        <v>16481.63</v>
      </c>
      <c r="K85" s="3389">
        <f>K84</f>
        <v>0.7</v>
      </c>
    </row>
    <row r="86" spans="1:13">
      <c r="A86" s="3367"/>
      <c r="B86" s="3367">
        <f>SUM(B83:B85)</f>
        <v>151095.50000000003</v>
      </c>
      <c r="C86" s="3367">
        <f>ROUND((B83*C83+B84*C84+B85*C85)/B86,0)</f>
        <v>2454</v>
      </c>
      <c r="D86" s="3367">
        <f>ROUND((D83*B83+D84*B84+D85*B85)/B86,2)</f>
        <v>1.46</v>
      </c>
      <c r="E86" s="3369">
        <f>ROUND((E83*B83+E84*B84+E85*B85)/B86,2)</f>
        <v>0.1</v>
      </c>
      <c r="F86" s="3372"/>
      <c r="K86" s="3389"/>
      <c r="M86">
        <f>SUM(J82:J85)</f>
        <v>66249</v>
      </c>
    </row>
    <row r="87" spans="1:13">
      <c r="A87" s="3367"/>
      <c r="B87" s="3367"/>
      <c r="C87" s="3367"/>
      <c r="D87" s="3367"/>
      <c r="I87" s="3380" t="s">
        <v>3184</v>
      </c>
      <c r="J87">
        <v>16663.78</v>
      </c>
      <c r="K87" s="3389">
        <v>0.75</v>
      </c>
    </row>
    <row r="88" spans="1:13">
      <c r="A88" s="3367"/>
      <c r="B88" s="3367"/>
      <c r="C88" s="3367"/>
      <c r="D88" s="3367"/>
      <c r="I88" s="3380" t="s">
        <v>3185</v>
      </c>
      <c r="J88">
        <v>7550.85</v>
      </c>
      <c r="K88" s="3389">
        <f>K87</f>
        <v>0.75</v>
      </c>
    </row>
    <row r="89" spans="1:13">
      <c r="A89" s="3367"/>
      <c r="B89" s="3367" t="s">
        <v>3122</v>
      </c>
      <c r="C89" s="3367" t="s">
        <v>3123</v>
      </c>
      <c r="D89" t="s">
        <v>3128</v>
      </c>
      <c r="I89" s="3380" t="s">
        <v>3186</v>
      </c>
      <c r="J89">
        <v>27495</v>
      </c>
      <c r="K89" s="3389">
        <v>0.7</v>
      </c>
    </row>
    <row r="90" spans="1:13">
      <c r="A90" s="3367" t="s">
        <v>3126</v>
      </c>
      <c r="B90" s="3367">
        <f>'数据-基础表'!AN17</f>
        <v>0</v>
      </c>
      <c r="C90" s="3367">
        <v>5000</v>
      </c>
      <c r="D90" s="3368">
        <v>0.5</v>
      </c>
      <c r="I90" s="3380" t="s">
        <v>3187</v>
      </c>
      <c r="J90">
        <v>16926.2</v>
      </c>
      <c r="K90" s="3389">
        <f>K89</f>
        <v>0.7</v>
      </c>
    </row>
    <row r="91" spans="1:13">
      <c r="A91" s="3367" t="s">
        <v>3127</v>
      </c>
      <c r="B91" s="3367">
        <f>'数据-基础表'!AP5+'数据-基础表'!AN26+'数据-基础表'!AN28+'数据-基础表'!AN29+'数据-基础表'!AN31+'数据-基础表'!AN32+'数据-基础表'!AN30</f>
        <v>51.6</v>
      </c>
      <c r="C91" s="3367">
        <v>2000</v>
      </c>
      <c r="D91" s="3368">
        <v>0.5</v>
      </c>
      <c r="K91" s="3389"/>
      <c r="M91">
        <f>SUM(J87:J90)</f>
        <v>68635.83</v>
      </c>
    </row>
    <row r="92" spans="1:13">
      <c r="A92" s="3367"/>
      <c r="B92" s="3367">
        <f>SUM(B90:B91)</f>
        <v>51.6</v>
      </c>
      <c r="C92" s="3367">
        <f>ROUND((C90*B90+C91*B91)/B92,0)</f>
        <v>2000</v>
      </c>
      <c r="D92" s="3369">
        <f>SUMPRODUCT(B90:B91*D90:D91/(B90+B91))</f>
        <v>0.5</v>
      </c>
      <c r="I92" s="3380" t="s">
        <v>3188</v>
      </c>
      <c r="J92">
        <v>16130.98</v>
      </c>
      <c r="K92" s="3389">
        <v>0.75</v>
      </c>
    </row>
    <row r="93" spans="1:13">
      <c r="I93" s="3381"/>
      <c r="J93" s="3381">
        <f>SUM(J82:J92)</f>
        <v>151015.81000000003</v>
      </c>
      <c r="K93" s="3390">
        <f>SUMPRODUCT(J82:J92*K82:K92/J93)</f>
        <v>0.64723438890272467</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4.4"/>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4.4"/>
  <cols>
    <col min="1" max="1" width="27.6640625" customWidth="1"/>
    <col min="2" max="9" width="12.109375" customWidth="1"/>
  </cols>
  <sheetData>
    <row r="1" spans="1:9" ht="18" thickBot="1">
      <c r="A1" s="3412" t="str">
        <f>IF(项目基本情况!B9="房地产市场价值","估价结果一览表","结果表-2")</f>
        <v>结果表-2</v>
      </c>
      <c r="B1" s="3412"/>
      <c r="C1" s="3412"/>
      <c r="D1" s="3412"/>
      <c r="E1" s="3412"/>
      <c r="F1" s="3412"/>
      <c r="G1" s="3412"/>
      <c r="H1" s="3412"/>
      <c r="I1" s="3412"/>
    </row>
    <row r="2" spans="1:9" ht="30" customHeight="1" thickTop="1">
      <c r="A2" s="3413" t="s">
        <v>2867</v>
      </c>
      <c r="B2" s="3413" t="s">
        <v>2035</v>
      </c>
      <c r="C2" s="3413" t="s">
        <v>2036</v>
      </c>
      <c r="D2" s="3413" t="str">
        <f>结果表!D116</f>
        <v>出让国有建设用地使用权价值</v>
      </c>
      <c r="E2" s="3413"/>
      <c r="F2" s="3413" t="str">
        <f>结果表!F116</f>
        <v>在建建筑物价值</v>
      </c>
      <c r="G2" s="3413"/>
      <c r="H2" s="3413" t="str">
        <f>IF(项目基本情况!B9="房地产市场价值","房地产市场价值","房地产价值")</f>
        <v>房地产价值</v>
      </c>
      <c r="I2" s="3413"/>
    </row>
    <row r="3" spans="1:9" ht="15.6">
      <c r="A3" s="3407"/>
      <c r="B3" s="3407"/>
      <c r="C3" s="3407"/>
      <c r="D3" s="1911" t="s">
        <v>7</v>
      </c>
      <c r="E3" s="1911" t="s">
        <v>2037</v>
      </c>
      <c r="F3" s="1911" t="s">
        <v>7</v>
      </c>
      <c r="G3" s="1911" t="s">
        <v>8</v>
      </c>
      <c r="H3" s="1911" t="s">
        <v>7</v>
      </c>
      <c r="I3" s="1911" t="s">
        <v>8</v>
      </c>
    </row>
    <row r="4" spans="1:9" ht="62.4">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22876</v>
      </c>
      <c r="E4" s="1975">
        <f ca="1">结果表!E118</f>
        <v>1292</v>
      </c>
      <c r="F4" s="1975">
        <f ca="1">结果表!F118</f>
        <v>42670</v>
      </c>
      <c r="G4" s="1975">
        <f ca="1">结果表!G118</f>
        <v>2409</v>
      </c>
      <c r="H4" s="1975">
        <f ca="1">结果表!H118</f>
        <v>65546</v>
      </c>
      <c r="I4" s="1975">
        <f ca="1">结果表!I118</f>
        <v>3701</v>
      </c>
    </row>
    <row r="5" spans="1:9" ht="30" customHeight="1">
      <c r="A5" s="3407" t="s">
        <v>9</v>
      </c>
      <c r="B5" s="3407"/>
      <c r="C5" s="3407"/>
      <c r="D5" s="3408" t="str">
        <f ca="1">结果表!D119</f>
        <v>贰亿贰仟捌佰柒拾陆万元整</v>
      </c>
      <c r="E5" s="3408"/>
      <c r="F5" s="3408" t="str">
        <f ca="1">结果表!F119</f>
        <v>肆亿贰仟陆佰柒拾万元整</v>
      </c>
      <c r="G5" s="3408"/>
      <c r="H5" s="3408" t="str">
        <f ca="1">结果表!H119</f>
        <v>陆亿伍仟伍佰肆拾陆万元整</v>
      </c>
      <c r="I5" s="3408"/>
    </row>
    <row r="6" spans="1:9" ht="15.6">
      <c r="A6" s="3405" t="str">
        <f>结果表!A120</f>
        <v>估价师知悉的法定优先受偿款</v>
      </c>
      <c r="B6" s="3405"/>
      <c r="C6" s="3405"/>
      <c r="D6" s="3406">
        <f>结果表!D120</f>
        <v>0</v>
      </c>
      <c r="E6" s="3406"/>
      <c r="F6" s="3406"/>
      <c r="G6" s="3406"/>
      <c r="H6" s="3406"/>
      <c r="I6" s="3406"/>
    </row>
    <row r="7" spans="1:9" ht="15.6">
      <c r="A7" s="3407" t="s">
        <v>9</v>
      </c>
      <c r="B7" s="3407"/>
      <c r="C7" s="3407"/>
      <c r="D7" s="3409" t="str">
        <f>结果表!D121</f>
        <v>零元整</v>
      </c>
      <c r="E7" s="3410"/>
      <c r="F7" s="3410"/>
      <c r="G7" s="3410"/>
      <c r="H7" s="3410"/>
      <c r="I7" s="3411"/>
    </row>
    <row r="8" spans="1:9" ht="15.6">
      <c r="A8" s="3405" t="str">
        <f>结果表!A122</f>
        <v>房地产抵押价值</v>
      </c>
      <c r="B8" s="3405"/>
      <c r="C8" s="3405"/>
      <c r="D8" s="3406">
        <f ca="1">结果表!D122</f>
        <v>65546</v>
      </c>
      <c r="E8" s="3406"/>
      <c r="F8" s="3406"/>
      <c r="G8" s="3406"/>
      <c r="H8" s="3406"/>
      <c r="I8" s="3406"/>
    </row>
    <row r="9" spans="1:9" ht="15.6">
      <c r="A9" s="3407" t="s">
        <v>9</v>
      </c>
      <c r="B9" s="3407"/>
      <c r="C9" s="3407"/>
      <c r="D9" s="3408" t="str">
        <f ca="1">结果表!D123</f>
        <v>陆亿伍仟伍佰肆拾陆万元整</v>
      </c>
      <c r="E9" s="3408"/>
      <c r="F9" s="3408"/>
      <c r="G9" s="3408"/>
      <c r="H9" s="3408"/>
      <c r="I9" s="3408"/>
    </row>
    <row r="10" spans="1:9" ht="15.6">
      <c r="A10" s="3405" t="str">
        <f>结果表!A124</f>
        <v/>
      </c>
      <c r="B10" s="3405"/>
      <c r="C10" s="3405"/>
      <c r="D10" s="3406" t="str">
        <f>结果表!D124</f>
        <v>——</v>
      </c>
      <c r="E10" s="3406"/>
      <c r="F10" s="3406"/>
      <c r="G10" s="3406"/>
      <c r="H10" s="3406"/>
      <c r="I10" s="3406"/>
    </row>
    <row r="11" spans="1:9" ht="15.6">
      <c r="A11" s="3407" t="s">
        <v>9</v>
      </c>
      <c r="B11" s="3407"/>
      <c r="C11" s="3407"/>
      <c r="D11" s="3408" t="e">
        <f>结果表!D125</f>
        <v>#VALUE!</v>
      </c>
      <c r="E11" s="3408"/>
      <c r="F11" s="3408"/>
      <c r="G11" s="3408"/>
      <c r="H11" s="3408"/>
      <c r="I11" s="3408"/>
    </row>
    <row r="12" spans="1:9" ht="15.6">
      <c r="A12" s="3405" t="str">
        <f>结果表!A126</f>
        <v/>
      </c>
      <c r="B12" s="3405"/>
      <c r="C12" s="3405"/>
      <c r="D12" s="3406" t="str">
        <f>结果表!D126</f>
        <v>——</v>
      </c>
      <c r="E12" s="3406"/>
      <c r="F12" s="3406"/>
      <c r="G12" s="3406"/>
      <c r="H12" s="3406"/>
      <c r="I12" s="3406"/>
    </row>
    <row r="13" spans="1:9" ht="16.2" thickBot="1">
      <c r="A13" s="3402" t="s">
        <v>9</v>
      </c>
      <c r="B13" s="3402"/>
      <c r="C13" s="3402"/>
      <c r="D13" s="3403" t="e">
        <f>结果表!D127</f>
        <v>#VALUE!</v>
      </c>
      <c r="E13" s="3403"/>
      <c r="F13" s="3403"/>
      <c r="G13" s="3403"/>
      <c r="H13" s="3403"/>
      <c r="I13" s="3403"/>
    </row>
    <row r="14" spans="1:9" ht="15" thickTop="1">
      <c r="A14" s="3404" t="s">
        <v>2038</v>
      </c>
      <c r="B14" s="3404"/>
      <c r="C14" s="3404"/>
      <c r="D14" s="3404"/>
      <c r="E14" s="3404"/>
      <c r="F14" s="3404"/>
      <c r="G14" s="3404"/>
      <c r="H14" s="3404"/>
      <c r="I14" s="3404"/>
    </row>
    <row r="16" spans="1:9" ht="17.399999999999999">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4.4"/>
  <cols>
    <col min="1" max="1" width="16.6640625" customWidth="1"/>
    <col min="2" max="3" width="22.33203125" customWidth="1"/>
    <col min="4" max="4" width="23" customWidth="1"/>
  </cols>
  <sheetData>
    <row r="1" spans="1:4" ht="17.399999999999999">
      <c r="A1" s="3420" t="s">
        <v>2844</v>
      </c>
      <c r="B1" s="3420"/>
      <c r="C1" s="3420"/>
      <c r="D1" s="3420"/>
    </row>
    <row r="2" spans="1:4" ht="17.399999999999999">
      <c r="A2" s="3421" t="s">
        <v>2107</v>
      </c>
      <c r="B2" s="3421"/>
      <c r="C2" s="3421"/>
      <c r="D2" s="3421"/>
    </row>
    <row r="3" spans="1:4" ht="17.399999999999999">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7.399999999999999">
      <c r="A6" s="3421" t="s">
        <v>2608</v>
      </c>
      <c r="B6" s="3421"/>
      <c r="C6" s="3421"/>
      <c r="D6" s="3421"/>
    </row>
    <row r="7" spans="1:4" ht="17.399999999999999">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7.399999999999999">
      <c r="A10" s="2092" t="s">
        <v>2115</v>
      </c>
      <c r="B10" s="1494"/>
      <c r="C10" s="1494"/>
      <c r="D10" s="1494"/>
    </row>
    <row r="11" spans="1:4" ht="30" customHeight="1">
      <c r="A11" s="3422" t="s">
        <v>2699</v>
      </c>
      <c r="B11" s="3414"/>
      <c r="C11" s="3414"/>
      <c r="D11" s="3414"/>
    </row>
    <row r="12" spans="1:4" ht="15.6">
      <c r="A12" s="34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spans="1:4" ht="30" customHeight="1">
      <c r="A13" s="34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spans="1:4" ht="15.75" customHeight="1">
      <c r="A14" s="3414" t="str">
        <f>IF(项目基本情况!B8="抵押","4.本次评估估价师所知悉的法定优先受偿款情况说明如下：","——")</f>
        <v>4.本次评估估价师所知悉的法定优先受偿款情况说明如下：</v>
      </c>
      <c r="B14" s="3419"/>
      <c r="C14" s="3419"/>
      <c r="D14" s="3419"/>
    </row>
    <row r="15" spans="1:4" ht="42" customHeight="1">
      <c r="A15" s="3414" t="str">
        <f>IF(项目基本情况!B8="抵押","（1）"&amp;CONCATENATE(项目基本情况!L20,项目基本情况!L21,项目基本情况!L22),"——")</f>
        <v>（1）根据估价对象《不动产权证书》复印件、《国有土地使用权》——，截至价值时点，估价对象抵押权未见登记。</v>
      </c>
      <c r="B15" s="3414"/>
      <c r="C15" s="3414"/>
      <c r="D15" s="3414"/>
    </row>
    <row r="16" spans="1:4" ht="30" customHeight="1">
      <c r="A16" s="3416" t="s">
        <v>2119</v>
      </c>
      <c r="B16" s="3416"/>
      <c r="C16" s="3416"/>
      <c r="D16" s="3416"/>
    </row>
    <row r="17" spans="1:4" ht="144" customHeight="1">
      <c r="A17" s="3416" t="s">
        <v>2120</v>
      </c>
      <c r="B17" s="3416"/>
      <c r="C17" s="3416"/>
      <c r="D17" s="3416"/>
    </row>
    <row r="18" spans="1:4" ht="15.75" customHeight="1">
      <c r="A18" s="3414" t="str">
        <f>IF(项目基本情况!B8="抵押",结果表!K120,"——")</f>
        <v>故，本次评估不存在估价师知悉的法定优先受偿款</v>
      </c>
      <c r="B18" s="3414"/>
      <c r="C18" s="3414"/>
      <c r="D18" s="3414"/>
    </row>
    <row r="19" spans="1:4" ht="46.5" customHeight="1">
      <c r="A19" s="34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4"/>
      <c r="C19" s="3414"/>
      <c r="D19" s="3414"/>
    </row>
    <row r="20" spans="1:4" ht="57.75" customHeight="1">
      <c r="A20" s="34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4"/>
      <c r="C20" s="3414"/>
      <c r="D20" s="3414"/>
    </row>
    <row r="21" spans="1:4" ht="57.75" customHeight="1">
      <c r="A21" s="34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7"/>
      <c r="C21" s="3417"/>
      <c r="D21" s="3417"/>
    </row>
    <row r="22" spans="1:4" ht="18.75" customHeight="1">
      <c r="A22" s="3418" t="s">
        <v>2865</v>
      </c>
      <c r="B22" s="3418"/>
      <c r="C22" s="3418"/>
      <c r="D22" s="3418"/>
    </row>
    <row r="23" spans="1:4">
      <c r="A23" s="1982"/>
      <c r="B23" s="1991"/>
      <c r="C23" s="1991"/>
      <c r="D23" s="1991"/>
    </row>
    <row r="24" spans="1:4">
      <c r="A24" s="1982"/>
      <c r="B24" s="1991"/>
      <c r="C24" s="1991"/>
      <c r="D24" s="1991"/>
    </row>
    <row r="25" spans="1:4" ht="17.399999999999999">
      <c r="A25" s="1980" t="s">
        <v>2116</v>
      </c>
    </row>
    <row r="26" spans="1:4" ht="17.399999999999999">
      <c r="A26" s="1952"/>
    </row>
    <row r="27" spans="1:4" ht="17.399999999999999">
      <c r="A27" s="1952" t="s">
        <v>2117</v>
      </c>
    </row>
    <row r="30" spans="1:4" ht="17.399999999999999">
      <c r="D30" s="1980" t="s">
        <v>2118</v>
      </c>
    </row>
    <row r="31" spans="1:4" ht="13.5" customHeight="1">
      <c r="C31" s="3415">
        <v>42551</v>
      </c>
      <c r="D31" s="341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ColWidth="9" defaultRowHeight="14.4"/>
  <cols>
    <col min="1" max="2" width="13.109375" style="1991" customWidth="1"/>
    <col min="3" max="10" width="12.44140625" style="1991" customWidth="1"/>
    <col min="11" max="16384" width="9" style="1991"/>
  </cols>
  <sheetData>
    <row r="1" spans="1:10" ht="17.399999999999999">
      <c r="A1" s="2869" t="s">
        <v>2123</v>
      </c>
      <c r="B1" s="2881"/>
      <c r="C1" s="2881"/>
      <c r="D1" s="2881"/>
      <c r="E1" s="2881"/>
      <c r="F1" s="2881"/>
      <c r="G1" s="2881"/>
      <c r="H1" s="2881"/>
      <c r="I1" s="2881"/>
      <c r="J1" s="2881"/>
    </row>
    <row r="2" spans="1:10" ht="17.399999999999999">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44140625" defaultRowHeight="15.6"/>
  <cols>
    <col min="1" max="1" width="14.44140625" style="1141" customWidth="1"/>
    <col min="2" max="16384" width="14.44140625" style="1139"/>
  </cols>
  <sheetData>
    <row r="1" spans="1:7" s="1137" customFormat="1" ht="17.399999999999999">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4.4">
      <c r="A15" s="3428" t="s">
        <v>555</v>
      </c>
      <c r="B15" s="3423" t="s">
        <v>1134</v>
      </c>
      <c r="C15" s="3424"/>
    </row>
    <row r="16" spans="1:7" ht="14.4">
      <c r="A16" s="3429"/>
      <c r="B16" s="3423" t="s">
        <v>528</v>
      </c>
      <c r="C16" s="3424"/>
    </row>
    <row r="17" spans="1:3" ht="14.4">
      <c r="A17" s="3429"/>
      <c r="B17" s="3426" t="s">
        <v>556</v>
      </c>
      <c r="C17" s="1148" t="s">
        <v>555</v>
      </c>
    </row>
    <row r="18" spans="1:3" ht="14.4">
      <c r="A18" s="3429"/>
      <c r="B18" s="3426"/>
      <c r="C18" s="1148" t="s">
        <v>557</v>
      </c>
    </row>
    <row r="19" spans="1:3" ht="14.4">
      <c r="A19" s="3429"/>
      <c r="B19" s="3426"/>
      <c r="C19" s="1148" t="s">
        <v>558</v>
      </c>
    </row>
    <row r="20" spans="1:3" ht="14.4">
      <c r="A20" s="3430"/>
      <c r="B20" s="3425" t="s">
        <v>559</v>
      </c>
      <c r="C20" s="3424"/>
    </row>
    <row r="21" spans="1:3" ht="14.4">
      <c r="A21" s="1149" t="s">
        <v>560</v>
      </c>
      <c r="B21" s="1150"/>
      <c r="C21" s="1151"/>
    </row>
    <row r="22" spans="1:3" ht="14.4">
      <c r="A22" s="3427" t="s">
        <v>561</v>
      </c>
      <c r="B22" s="3425" t="s">
        <v>562</v>
      </c>
      <c r="C22" s="3424"/>
    </row>
    <row r="23" spans="1:3" ht="14.4">
      <c r="A23" s="3427"/>
      <c r="B23" s="3425" t="s">
        <v>563</v>
      </c>
      <c r="C23" s="3424"/>
    </row>
    <row r="24" spans="1:3" ht="14.4">
      <c r="A24" s="3427"/>
      <c r="B24" s="3425" t="s">
        <v>564</v>
      </c>
      <c r="C24" s="3424"/>
    </row>
    <row r="25" spans="1:3" ht="14.4">
      <c r="A25" s="3427"/>
      <c r="B25" s="3426" t="s">
        <v>565</v>
      </c>
      <c r="C25" s="1148" t="s">
        <v>566</v>
      </c>
    </row>
    <row r="26" spans="1:3" ht="14.4">
      <c r="A26" s="3427"/>
      <c r="B26" s="3426"/>
      <c r="C26" s="1148" t="s">
        <v>567</v>
      </c>
    </row>
    <row r="27" spans="1:3" ht="14.4">
      <c r="A27" s="3427"/>
      <c r="B27" s="3426"/>
      <c r="C27" s="1148" t="s">
        <v>568</v>
      </c>
    </row>
    <row r="28" spans="1:3" ht="14.4">
      <c r="A28" s="3427"/>
      <c r="B28" s="3426"/>
      <c r="C28" s="1148" t="s">
        <v>569</v>
      </c>
    </row>
    <row r="29" spans="1:3" ht="14.4">
      <c r="A29" s="3427"/>
      <c r="B29" s="3426"/>
      <c r="C29" s="1148" t="s">
        <v>570</v>
      </c>
    </row>
    <row r="30" spans="1:3" ht="14.4">
      <c r="A30" s="3427"/>
      <c r="B30" s="3426"/>
      <c r="C30" s="1148" t="s">
        <v>571</v>
      </c>
    </row>
    <row r="31" spans="1:3" ht="14.4">
      <c r="A31" s="3427"/>
      <c r="B31" s="3426"/>
      <c r="C31" s="1148" t="s">
        <v>572</v>
      </c>
    </row>
    <row r="32" spans="1:3" ht="14.4">
      <c r="A32" s="3427"/>
      <c r="B32" s="3426"/>
      <c r="C32" s="1148" t="s">
        <v>573</v>
      </c>
    </row>
    <row r="33" spans="1:3" ht="14.4">
      <c r="A33" s="3427"/>
      <c r="B33" s="3426"/>
      <c r="C33" s="1148" t="s">
        <v>574</v>
      </c>
    </row>
    <row r="34" spans="1:3">
      <c r="A34" s="1152" t="s">
        <v>543</v>
      </c>
    </row>
    <row r="37" spans="1:3">
      <c r="A37" s="1152" t="s">
        <v>575</v>
      </c>
    </row>
    <row r="38" spans="1:3" ht="14.4">
      <c r="A38" s="1153" t="s">
        <v>544</v>
      </c>
    </row>
    <row r="39" spans="1:3" ht="14.4">
      <c r="A39" s="1153" t="s">
        <v>545</v>
      </c>
    </row>
    <row r="40" spans="1:3" ht="14.4">
      <c r="A40" s="1153" t="s">
        <v>546</v>
      </c>
    </row>
    <row r="41" spans="1:3" ht="14.4">
      <c r="A41" s="1154" t="s">
        <v>547</v>
      </c>
    </row>
    <row r="42" spans="1:3" ht="14.4">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640625" defaultRowHeight="24" customHeight="1"/>
  <cols>
    <col min="1" max="2" width="22.6640625" style="1886"/>
    <col min="3" max="3" width="23.6640625" style="1886" bestFit="1" customWidth="1"/>
    <col min="4" max="5" width="22.6640625" style="1886"/>
    <col min="6" max="6" width="25.6640625" style="1886" customWidth="1"/>
    <col min="7" max="16384" width="22.6640625" style="1886"/>
  </cols>
  <sheetData>
    <row r="2" spans="1:6" ht="24" customHeight="1">
      <c r="A2" s="1888" t="s">
        <v>1968</v>
      </c>
      <c r="B2" s="1889">
        <f ca="1">TODAY()</f>
        <v>43388</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t="str">
        <f ca="1">IF(C7&lt;B2,"已过期",1120050019)</f>
        <v>已过期</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f ca="1">IF(C10&lt;B2,"已过期",1120060040)</f>
        <v>1120060040</v>
      </c>
      <c r="C10" s="3204">
        <v>43483</v>
      </c>
      <c r="D10" s="3203" t="s">
        <v>1981</v>
      </c>
      <c r="E10" s="1894">
        <f ca="1">IF(F10&lt;B2,"已过期",2004110096)</f>
        <v>2004110096</v>
      </c>
      <c r="F10" s="1903">
        <v>47118</v>
      </c>
    </row>
    <row r="11" spans="1:6" ht="24" customHeight="1">
      <c r="A11" s="3203" t="s">
        <v>1982</v>
      </c>
      <c r="B11" s="1894">
        <f ca="1">IF(C11&lt;B2,"已过期",1120100036)</f>
        <v>1120100036</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f ca="1">IF(C14&lt;B2,"已过期",1120130020)</f>
        <v>1120130020</v>
      </c>
      <c r="C14" s="3204">
        <v>43622</v>
      </c>
      <c r="D14" s="3203"/>
      <c r="E14" s="1894"/>
      <c r="F14" s="1894"/>
    </row>
    <row r="15" spans="1:6" ht="24" customHeight="1">
      <c r="A15" s="3205" t="s">
        <v>2697</v>
      </c>
      <c r="B15" s="1894">
        <v>1120070085</v>
      </c>
      <c r="C15" s="3204">
        <v>43814</v>
      </c>
      <c r="D15" s="3205" t="s">
        <v>2697</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t="str">
        <f ca="1">IF(C22&lt;B2,"已过期",1120020033)</f>
        <v>已过期</v>
      </c>
      <c r="C22" s="3204">
        <v>43304</v>
      </c>
      <c r="D22" s="3203" t="s">
        <v>1987</v>
      </c>
      <c r="E22" s="1894">
        <f ca="1">IF(F22&lt;B2,"已过期",2000110137)</f>
        <v>2000110137</v>
      </c>
      <c r="F22" s="1903">
        <v>46387</v>
      </c>
    </row>
    <row r="23" spans="1:7" ht="24" customHeight="1">
      <c r="A23" s="3203" t="s">
        <v>1988</v>
      </c>
      <c r="B23" s="1894">
        <f ca="1">IF(C23&lt;B2,"已过期",1120130048)</f>
        <v>1120130048</v>
      </c>
      <c r="C23" s="3204">
        <v>43686</v>
      </c>
      <c r="D23" s="3203"/>
      <c r="E23" s="1894"/>
      <c r="F23" s="1894"/>
    </row>
    <row r="24" spans="1:7" s="1896" customFormat="1" ht="24" customHeight="1">
      <c r="A24" s="3205" t="s">
        <v>2931</v>
      </c>
      <c r="B24" s="3205" t="s">
        <v>2931</v>
      </c>
      <c r="C24" s="3205" t="s">
        <v>2931</v>
      </c>
      <c r="D24" s="3205" t="s">
        <v>2931</v>
      </c>
      <c r="E24" s="3205" t="s">
        <v>2931</v>
      </c>
      <c r="F24" s="3205" t="s">
        <v>2931</v>
      </c>
    </row>
    <row r="25" spans="1:7" ht="24" customHeight="1">
      <c r="A25" s="3431" t="s">
        <v>1989</v>
      </c>
      <c r="B25" s="3431"/>
      <c r="C25" s="3431"/>
      <c r="D25" s="3431"/>
      <c r="E25" s="3431"/>
      <c r="F25" s="3431"/>
      <c r="G25" s="3431"/>
    </row>
    <row r="26" spans="1:7" s="1898" customFormat="1" ht="24" customHeight="1">
      <c r="A26" s="3432" t="s">
        <v>1990</v>
      </c>
      <c r="B26" s="3432"/>
      <c r="C26" s="3432"/>
      <c r="D26" s="1897"/>
      <c r="E26" s="3432" t="s">
        <v>1991</v>
      </c>
      <c r="F26" s="3432"/>
      <c r="G26" s="3432"/>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3038</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2017-09-21T02:47:15Z</cp:lastPrinted>
  <dcterms:created xsi:type="dcterms:W3CDTF">2015-07-13T07:17:23Z</dcterms:created>
  <dcterms:modified xsi:type="dcterms:W3CDTF">2018-10-15T05:53:11Z</dcterms:modified>
</cp:coreProperties>
</file>