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40" yWindow="-60" windowWidth="14808" windowHeight="12612"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0年企业提供面积" sheetId="82" r:id="rId12"/>
    <sheet name="房屋建筑面积总表" sheetId="81"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基准地价修正" sheetId="43" r:id="rId25"/>
    <sheet name="土地比较法-住宅、综合" sheetId="39" r:id="rId26"/>
    <sheet name="土地案例" sheetId="84"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收益法" sheetId="15" r:id="rId48"/>
    <sheet name="管理协议" sheetId="80" r:id="rId49"/>
    <sheet name="资料" sheetId="83" r:id="rId50"/>
  </sheets>
  <externalReferences>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5" hidden="1">'土地比较法-住宅、综合'!$A$1:$L$48</definedName>
    <definedName name="_xlnm._FilterDatabase" localSheetId="13"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2">房屋建筑面积总表!$A$1:$F$33</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9">结果表!$A$1:$I$127</definedName>
    <definedName name="_xlnm.Print_Area" localSheetId="47">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[1]修正!$C$17:$C$39</definedName>
    <definedName name="二级分类">修正!$C$19:$C$51</definedName>
    <definedName name="法定最高年限" localSheetId="11">[1]定义!$G$1:$G$4</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判定">[1]定义!$D$1:$D$4</definedName>
    <definedName name="七级">区片价!$O$1:$O$45</definedName>
    <definedName name="七通一平" localSheetId="11">[1]修正!$A$6:$A$14</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修正!$C$71:$C$138</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'土地比较法-住宅、综合'!$B$105:$M$105</definedName>
    <definedName name="套综工程地质条件" localSheetId="11">'[1]土地比较法-住宅、综合'!$B$125:$M$125</definedName>
    <definedName name="套综工程地质条件">'土地比较法-住宅、综合'!$B$124:$M$124</definedName>
    <definedName name="套综交易情况" localSheetId="11">'[1]土地比较法-住宅、综合'!$A$73:$M$73</definedName>
    <definedName name="套综交易情况">'土地比较法-住宅、综合'!$A$72:$M$72</definedName>
    <definedName name="套综临街宽度及深度" localSheetId="11">'[1]土地比较法-住宅、综合'!$B$121:$M$121</definedName>
    <definedName name="套综临街宽度及深度">'土地比较法-住宅、综合'!$B$120:$M$120</definedName>
    <definedName name="套综土地级别" localSheetId="11">'[1]土地比较法-住宅、综合'!$B$108:$M$108</definedName>
    <definedName name="套综土地级别">'土地比较法-住宅、综合'!$B$107:$M$107</definedName>
    <definedName name="套综用途" localSheetId="11">'[1]土地比较法-住宅、综合'!$B$75:$M$75</definedName>
    <definedName name="套综用途">'土地比较法-住宅、综合'!$B$74:$M$74</definedName>
    <definedName name="套综宗地内开发程度" localSheetId="11">'[1]土地比较法-住宅、综合'!$B$123:$M$123</definedName>
    <definedName name="套综宗地内开发程度">'土地比较法-住宅、综合'!$B$122:$M$122</definedName>
    <definedName name="套综宗地形状" localSheetId="11">'[1]土地比较法-住宅、综合'!$B$119:$M$119</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7">'[2]数据-汇总表'!$C$17:$C$26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估价师及机构信息!$A$3:$A$16</definedName>
  </definedNames>
  <calcPr calcId="144525" concurrentCalc="0"/>
</workbook>
</file>

<file path=xl/calcChain.xml><?xml version="1.0" encoding="utf-8"?>
<calcChain xmlns="http://schemas.openxmlformats.org/spreadsheetml/2006/main">
  <c r="F34" i="68" l="1"/>
  <c r="C34" i="68"/>
  <c r="C35" i="68"/>
  <c r="C36" i="68"/>
  <c r="D9" i="68"/>
  <c r="D10" i="68"/>
  <c r="D19" i="68"/>
  <c r="D37" i="68"/>
  <c r="C37" i="68"/>
  <c r="C38" i="68"/>
  <c r="C33" i="68"/>
  <c r="C39" i="68"/>
  <c r="D5" i="73"/>
  <c r="G1" i="73"/>
  <c r="B40" i="1"/>
  <c r="F22" i="68"/>
  <c r="C42" i="68"/>
  <c r="C43" i="68"/>
  <c r="C41" i="68"/>
  <c r="F27" i="68"/>
  <c r="C46" i="68"/>
  <c r="C45" i="68"/>
  <c r="C44" i="68"/>
  <c r="D41" i="68"/>
  <c r="C47" i="68"/>
  <c r="D45" i="68"/>
  <c r="C49" i="68"/>
  <c r="D13" i="77"/>
  <c r="D12" i="77"/>
  <c r="R10" i="77"/>
  <c r="R14" i="77"/>
  <c r="R19" i="77"/>
  <c r="R24" i="77"/>
  <c r="R25" i="77"/>
  <c r="R5" i="77"/>
  <c r="D6" i="77"/>
  <c r="D15" i="77"/>
  <c r="D16" i="77"/>
  <c r="D11" i="77"/>
  <c r="D17" i="77"/>
  <c r="D9" i="77"/>
  <c r="D10" i="77"/>
  <c r="D7" i="77"/>
  <c r="C26" i="77"/>
  <c r="C23" i="77"/>
  <c r="C29" i="77"/>
  <c r="C32" i="77"/>
  <c r="G31" i="77"/>
  <c r="D23" i="77"/>
  <c r="E23" i="77"/>
  <c r="G23" i="77"/>
  <c r="G22" i="77"/>
  <c r="L48" i="15"/>
  <c r="J53" i="15"/>
  <c r="F1" i="15"/>
  <c r="AE6" i="1"/>
  <c r="F41" i="15"/>
  <c r="D36" i="77"/>
  <c r="D26" i="77"/>
  <c r="D29" i="77"/>
  <c r="D32" i="77"/>
  <c r="D38" i="77"/>
  <c r="D39" i="77"/>
  <c r="E39" i="77"/>
  <c r="A13" i="3"/>
  <c r="I13" i="3"/>
  <c r="BB13" i="3"/>
  <c r="BA13" i="3"/>
  <c r="AN13" i="3"/>
  <c r="BR13" i="3"/>
  <c r="BL13" i="3"/>
  <c r="AZ13" i="3"/>
  <c r="AZ5" i="3"/>
  <c r="E3" i="6"/>
  <c r="B4" i="77"/>
  <c r="E26" i="77"/>
  <c r="E29" i="77"/>
  <c r="E32" i="77"/>
  <c r="G32" i="77"/>
  <c r="C30" i="77"/>
  <c r="E38" i="77"/>
  <c r="I5" i="3"/>
  <c r="F19" i="6"/>
  <c r="E19" i="6"/>
  <c r="K6" i="1"/>
  <c r="M6" i="1"/>
  <c r="BR5" i="3"/>
  <c r="G28" i="6"/>
  <c r="E28" i="6"/>
  <c r="BA5" i="3"/>
  <c r="E27" i="6"/>
  <c r="K19" i="6"/>
  <c r="S6" i="1"/>
  <c r="T6" i="1"/>
  <c r="C14" i="15"/>
  <c r="F15" i="15"/>
  <c r="C15" i="15"/>
  <c r="F16" i="15"/>
  <c r="C16" i="15"/>
  <c r="F43" i="15"/>
  <c r="C17" i="15"/>
  <c r="F18" i="15"/>
  <c r="C18" i="15"/>
  <c r="C19" i="15"/>
  <c r="C20" i="15"/>
  <c r="F24" i="15"/>
  <c r="C23" i="15"/>
  <c r="F26" i="15"/>
  <c r="C26" i="15"/>
  <c r="C24" i="15"/>
  <c r="C27" i="15"/>
  <c r="C29" i="15"/>
  <c r="J57" i="15"/>
  <c r="J55" i="15"/>
  <c r="J58" i="15"/>
  <c r="J59" i="15"/>
  <c r="J60" i="15"/>
  <c r="L46" i="15"/>
  <c r="E2" i="77"/>
  <c r="K7" i="1"/>
  <c r="K8" i="1"/>
  <c r="K9" i="1"/>
  <c r="K10" i="1"/>
  <c r="K11" i="1"/>
  <c r="K12" i="1"/>
  <c r="K13" i="1"/>
  <c r="G16" i="1"/>
  <c r="F10" i="39"/>
  <c r="AA10" i="39"/>
  <c r="R47" i="39"/>
  <c r="H10" i="39"/>
  <c r="AB10" i="39"/>
  <c r="T47" i="39"/>
  <c r="J10" i="39"/>
  <c r="AC10" i="39"/>
  <c r="V47" i="39"/>
  <c r="R48" i="39"/>
  <c r="C48" i="39"/>
  <c r="B56" i="39"/>
  <c r="BB5" i="3"/>
  <c r="E8" i="6"/>
  <c r="E56" i="39"/>
  <c r="F56" i="39"/>
  <c r="B57" i="39"/>
  <c r="F57" i="39"/>
  <c r="B58" i="39"/>
  <c r="F58" i="39"/>
  <c r="B59" i="39"/>
  <c r="F59" i="39"/>
  <c r="B60" i="39"/>
  <c r="E11" i="6"/>
  <c r="E60" i="39"/>
  <c r="F60" i="39"/>
  <c r="B61" i="39"/>
  <c r="E12" i="6"/>
  <c r="E61" i="39"/>
  <c r="F61" i="39"/>
  <c r="B62" i="39"/>
  <c r="E13" i="6"/>
  <c r="E62" i="39"/>
  <c r="F62" i="39"/>
  <c r="B63" i="39"/>
  <c r="E14" i="6"/>
  <c r="E63" i="39"/>
  <c r="F63" i="39"/>
  <c r="B64" i="39"/>
  <c r="E15" i="6"/>
  <c r="E64" i="39"/>
  <c r="F64" i="39"/>
  <c r="F65" i="39"/>
  <c r="B2" i="39"/>
  <c r="C6" i="68"/>
  <c r="C7" i="68"/>
  <c r="C5" i="68"/>
  <c r="C23" i="68"/>
  <c r="C24" i="68"/>
  <c r="C20" i="68"/>
  <c r="C25" i="68"/>
  <c r="C22" i="68"/>
  <c r="C28" i="68"/>
  <c r="C27" i="68"/>
  <c r="C26" i="68"/>
  <c r="D22" i="68"/>
  <c r="C29" i="68"/>
  <c r="D27" i="68"/>
  <c r="C31" i="68"/>
  <c r="F35" i="68"/>
  <c r="F38" i="68"/>
  <c r="M7" i="1"/>
  <c r="M8" i="1"/>
  <c r="M9" i="1"/>
  <c r="M10" i="1"/>
  <c r="M11" i="1"/>
  <c r="M12" i="1"/>
  <c r="M13" i="1"/>
  <c r="K14" i="1"/>
  <c r="M14" i="1"/>
  <c r="M16" i="1"/>
  <c r="N16" i="1"/>
  <c r="F50" i="68"/>
  <c r="C51" i="68"/>
  <c r="C52" i="68"/>
  <c r="B2" i="68"/>
  <c r="C19" i="9"/>
  <c r="C38" i="77"/>
  <c r="C39" i="77"/>
  <c r="C40" i="77"/>
  <c r="B2" i="77"/>
  <c r="D19" i="9"/>
  <c r="G19" i="9"/>
  <c r="C32" i="9"/>
  <c r="H118" i="9"/>
  <c r="H101" i="9"/>
  <c r="D14" i="74"/>
  <c r="X28" i="83"/>
  <c r="D35" i="77"/>
  <c r="E35" i="77"/>
  <c r="F27" i="6"/>
  <c r="F31" i="6"/>
  <c r="K23" i="9"/>
  <c r="C34" i="77"/>
  <c r="E58" i="39"/>
  <c r="E57" i="39"/>
  <c r="I38" i="39"/>
  <c r="G38" i="39"/>
  <c r="E38" i="39"/>
  <c r="I11" i="39"/>
  <c r="G11" i="39"/>
  <c r="E11" i="39"/>
  <c r="C11" i="39"/>
  <c r="I46" i="39"/>
  <c r="G46" i="39"/>
  <c r="E46" i="39"/>
  <c r="G117" i="39"/>
  <c r="F117" i="39"/>
  <c r="E117" i="39"/>
  <c r="D117" i="39"/>
  <c r="O70" i="39"/>
  <c r="N70" i="39"/>
  <c r="M70" i="39"/>
  <c r="L70" i="39"/>
  <c r="K70" i="39"/>
  <c r="J70" i="39"/>
  <c r="I70" i="39"/>
  <c r="H70" i="39"/>
  <c r="G70" i="39"/>
  <c r="F70" i="39"/>
  <c r="E70" i="39"/>
  <c r="D70" i="39"/>
  <c r="I7" i="39"/>
  <c r="G7" i="39"/>
  <c r="E7" i="39"/>
  <c r="I5" i="39"/>
  <c r="G5" i="39"/>
  <c r="E5" i="39"/>
  <c r="I67" i="83"/>
  <c r="G67" i="83"/>
  <c r="I66" i="83"/>
  <c r="G66" i="83"/>
  <c r="S55" i="83"/>
  <c r="O55" i="83"/>
  <c r="S54" i="83"/>
  <c r="O54" i="83"/>
  <c r="K15" i="1"/>
  <c r="K16" i="1"/>
  <c r="M27" i="1"/>
  <c r="M25" i="1"/>
  <c r="L27" i="1"/>
  <c r="L26" i="1"/>
  <c r="L25" i="1"/>
  <c r="L23" i="1"/>
  <c r="U6" i="1"/>
  <c r="G36" i="77"/>
  <c r="E27" i="77"/>
  <c r="D34" i="77"/>
  <c r="E14" i="77"/>
  <c r="G3" i="43"/>
  <c r="E26" i="43"/>
  <c r="G26" i="43"/>
  <c r="F26" i="43"/>
  <c r="D26" i="43"/>
  <c r="C25" i="43"/>
  <c r="C33" i="43"/>
  <c r="D33" i="43"/>
  <c r="E33" i="43"/>
  <c r="C30" i="43"/>
  <c r="B2" i="43"/>
  <c r="D38" i="43"/>
  <c r="D37" i="43"/>
  <c r="B59" i="1"/>
  <c r="G1" i="68"/>
  <c r="C10" i="68"/>
  <c r="B29" i="1"/>
  <c r="N14" i="1"/>
  <c r="N20" i="1"/>
  <c r="N6" i="1"/>
  <c r="G19" i="6"/>
  <c r="K13" i="3"/>
  <c r="G3" i="82"/>
  <c r="G6" i="82"/>
  <c r="G7" i="82"/>
  <c r="G8" i="82"/>
  <c r="G9" i="82"/>
  <c r="G11" i="82"/>
  <c r="G12" i="82"/>
  <c r="G13" i="82"/>
  <c r="G14" i="82"/>
  <c r="G15" i="82"/>
  <c r="G16" i="82"/>
  <c r="G17" i="82"/>
  <c r="I16" i="81"/>
  <c r="C11" i="4"/>
  <c r="F93" i="43"/>
  <c r="H101" i="43"/>
  <c r="G101" i="43"/>
  <c r="H100" i="43"/>
  <c r="G100" i="43"/>
  <c r="H99" i="43"/>
  <c r="G99" i="43"/>
  <c r="H98" i="43"/>
  <c r="G98" i="43"/>
  <c r="H97" i="43"/>
  <c r="G97" i="43"/>
  <c r="H96" i="43"/>
  <c r="G96" i="43"/>
  <c r="H95" i="43"/>
  <c r="G95" i="43"/>
  <c r="H94" i="43"/>
  <c r="G94" i="43"/>
  <c r="H93" i="43"/>
  <c r="G93" i="43"/>
  <c r="F83" i="43"/>
  <c r="H90" i="43"/>
  <c r="G90" i="43"/>
  <c r="H89" i="43"/>
  <c r="G89" i="43"/>
  <c r="H88" i="43"/>
  <c r="G88" i="43"/>
  <c r="H87" i="43"/>
  <c r="G87" i="43"/>
  <c r="H86" i="43"/>
  <c r="G86" i="43"/>
  <c r="H85" i="43"/>
  <c r="G85" i="43"/>
  <c r="H84" i="43"/>
  <c r="G84" i="43"/>
  <c r="H83" i="43"/>
  <c r="G83" i="43"/>
  <c r="F72" i="43"/>
  <c r="H80" i="43"/>
  <c r="G80" i="43"/>
  <c r="H79" i="43"/>
  <c r="G79" i="43"/>
  <c r="H78" i="43"/>
  <c r="G78" i="43"/>
  <c r="H77" i="43"/>
  <c r="G77" i="43"/>
  <c r="H76" i="43"/>
  <c r="G76" i="43"/>
  <c r="H75" i="43"/>
  <c r="G75" i="43"/>
  <c r="H74" i="43"/>
  <c r="G74" i="43"/>
  <c r="H73" i="43"/>
  <c r="G73" i="43"/>
  <c r="H72" i="43"/>
  <c r="G72" i="43"/>
  <c r="F61" i="43"/>
  <c r="H69" i="43"/>
  <c r="G69" i="43"/>
  <c r="H68" i="43"/>
  <c r="G68" i="43"/>
  <c r="H67" i="43"/>
  <c r="G67" i="43"/>
  <c r="H66" i="43"/>
  <c r="G66" i="43"/>
  <c r="H65" i="43"/>
  <c r="G65" i="43"/>
  <c r="H64" i="43"/>
  <c r="G64" i="43"/>
  <c r="H63" i="43"/>
  <c r="G63" i="43"/>
  <c r="H62" i="43"/>
  <c r="G62" i="43"/>
  <c r="H61" i="43"/>
  <c r="G61" i="43"/>
  <c r="G2" i="43"/>
  <c r="I2" i="43"/>
  <c r="N4" i="43"/>
  <c r="F50" i="43"/>
  <c r="H58" i="43"/>
  <c r="G58" i="43"/>
  <c r="H57" i="43"/>
  <c r="G57" i="43"/>
  <c r="H56" i="43"/>
  <c r="G56" i="43"/>
  <c r="H55" i="43"/>
  <c r="G55" i="43"/>
  <c r="H54" i="43"/>
  <c r="G54" i="43"/>
  <c r="H53" i="43"/>
  <c r="G53" i="43"/>
  <c r="H52" i="43"/>
  <c r="G52" i="43"/>
  <c r="H51" i="43"/>
  <c r="G51" i="43"/>
  <c r="H50" i="43"/>
  <c r="G50" i="43"/>
  <c r="G112" i="33"/>
  <c r="F112" i="33"/>
  <c r="E112" i="33"/>
  <c r="D112" i="33"/>
  <c r="C112" i="33"/>
  <c r="E104" i="33"/>
  <c r="F104" i="33"/>
  <c r="G104" i="33"/>
  <c r="D104" i="33"/>
  <c r="E89" i="33"/>
  <c r="F89" i="33"/>
  <c r="G89" i="33"/>
  <c r="D89" i="33"/>
  <c r="E66" i="33"/>
  <c r="F66" i="33"/>
  <c r="D66" i="33"/>
  <c r="F122" i="21"/>
  <c r="E122" i="21"/>
  <c r="D122" i="21"/>
  <c r="C122" i="21"/>
  <c r="G116" i="21"/>
  <c r="F116" i="21"/>
  <c r="E116" i="21"/>
  <c r="D116" i="21"/>
  <c r="C116" i="21"/>
  <c r="E104" i="21"/>
  <c r="F104" i="21"/>
  <c r="G104" i="21"/>
  <c r="D104" i="21"/>
  <c r="J52" i="67"/>
  <c r="J49" i="67"/>
  <c r="J52" i="15"/>
  <c r="J49" i="15"/>
  <c r="C66" i="9"/>
  <c r="D14" i="9"/>
  <c r="BC13" i="3"/>
  <c r="H13" i="3"/>
  <c r="AC13" i="3"/>
  <c r="G13" i="3"/>
  <c r="G5" i="3"/>
  <c r="B3" i="3"/>
  <c r="AY6" i="3"/>
  <c r="D3" i="6"/>
  <c r="M19" i="9"/>
  <c r="C118" i="9"/>
  <c r="C14" i="74"/>
  <c r="M18" i="9"/>
  <c r="B118" i="9"/>
  <c r="B14" i="74"/>
  <c r="B35" i="1"/>
  <c r="B21" i="1"/>
  <c r="Y6" i="1"/>
  <c r="N18" i="1"/>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3" i="79"/>
  <c r="M5"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D14" i="77"/>
  <c r="R13" i="77"/>
  <c r="R12" i="77"/>
  <c r="R11" i="77"/>
  <c r="E11" i="77"/>
  <c r="E7" i="77"/>
  <c r="C27" i="77"/>
  <c r="R9" i="77"/>
  <c r="R8" i="77"/>
  <c r="R7" i="77"/>
  <c r="R4" i="77"/>
  <c r="R3" i="77"/>
  <c r="R35" i="77"/>
  <c r="U34" i="77"/>
  <c r="AH9" i="71"/>
  <c r="AG9" i="71"/>
  <c r="AE9" i="71"/>
  <c r="AF9" i="71"/>
  <c r="AD9" i="71"/>
  <c r="Q9" i="71"/>
  <c r="P9" i="71"/>
  <c r="O9" i="71"/>
  <c r="N9" i="71"/>
  <c r="U5"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X29" i="71"/>
  <c r="Q30" i="71"/>
  <c r="AB30" i="71"/>
  <c r="P30" i="71"/>
  <c r="O30" i="71"/>
  <c r="Y30" i="71"/>
  <c r="Z30" i="71"/>
  <c r="N30" i="71"/>
  <c r="Q29" i="71"/>
  <c r="F30" i="71"/>
  <c r="F31" i="71"/>
  <c r="F32" i="71"/>
  <c r="V32" i="71"/>
  <c r="P29" i="71"/>
  <c r="O29" i="71"/>
  <c r="N29" i="71"/>
  <c r="D29" i="71"/>
  <c r="O28" i="71"/>
  <c r="N28" i="71"/>
  <c r="B30" i="71"/>
  <c r="B31" i="71"/>
  <c r="B32" i="71"/>
  <c r="S32"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51" i="71"/>
  <c r="D50" i="71"/>
  <c r="P28" i="71"/>
  <c r="E55" i="71"/>
  <c r="E56" i="71"/>
  <c r="U56" i="71"/>
  <c r="E59" i="71"/>
  <c r="E60" i="71"/>
  <c r="U60" i="71"/>
  <c r="E63" i="71"/>
  <c r="E64" i="71"/>
  <c r="U64" i="7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4" i="71"/>
  <c r="D63" i="71"/>
  <c r="D83" i="71"/>
  <c r="C82" i="71"/>
  <c r="D82" i="71"/>
  <c r="D75" i="71"/>
  <c r="C74" i="71"/>
  <c r="D74" i="71"/>
  <c r="N65" i="71"/>
  <c r="N66" i="71"/>
  <c r="D87" i="71"/>
  <c r="C86" i="71"/>
  <c r="D86" i="71"/>
  <c r="D79" i="71"/>
  <c r="C78" i="71"/>
  <c r="D78" i="71"/>
  <c r="D71" i="71"/>
  <c r="C70" i="71"/>
  <c r="D70" i="71"/>
  <c r="C60" i="71"/>
  <c r="D59" i="71"/>
  <c r="C56" i="71"/>
  <c r="D55" i="71"/>
  <c r="P67" i="71"/>
  <c r="E66" i="71"/>
  <c r="P65" i="7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F18" i="35"/>
  <c r="AA18" i="35"/>
  <c r="C18" i="35"/>
  <c r="Z21" i="37"/>
  <c r="Q21" i="37"/>
  <c r="D77" i="37"/>
  <c r="E77" i="37"/>
  <c r="C21" i="37"/>
  <c r="Q21" i="34"/>
  <c r="Z21" i="34"/>
  <c r="D84" i="34"/>
  <c r="E84" i="34"/>
  <c r="F21" i="34"/>
  <c r="AA21" i="34"/>
  <c r="C21" i="34"/>
  <c r="Z21" i="33"/>
  <c r="Q21" i="33"/>
  <c r="D83" i="33"/>
  <c r="E83" i="33"/>
  <c r="F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G68" i="35"/>
  <c r="J18" i="35"/>
  <c r="F77" i="37"/>
  <c r="G77" i="37"/>
  <c r="H21" i="37"/>
  <c r="F21" i="37"/>
  <c r="AA21" i="37"/>
  <c r="F84" i="34"/>
  <c r="H21" i="34"/>
  <c r="AB21" i="34"/>
  <c r="H21" i="33"/>
  <c r="U21" i="33"/>
  <c r="F21" i="33"/>
  <c r="E83" i="21"/>
  <c r="S21" i="21"/>
  <c r="H1" i="69"/>
  <c r="W25" i="40"/>
  <c r="U25" i="40"/>
  <c r="U29" i="39"/>
  <c r="W29" i="39"/>
  <c r="W18" i="36"/>
  <c r="AB21" i="37"/>
  <c r="U21" i="37"/>
  <c r="U21" i="34"/>
  <c r="AA21" i="33"/>
  <c r="S21" i="33"/>
  <c r="U18" i="35"/>
  <c r="AC18" i="35"/>
  <c r="W18" i="35"/>
  <c r="J21" i="37"/>
  <c r="G84" i="34"/>
  <c r="J21" i="34"/>
  <c r="W21" i="34"/>
  <c r="G83" i="33"/>
  <c r="J21" i="33"/>
  <c r="W21" i="33"/>
  <c r="F83" i="21"/>
  <c r="H21" i="21"/>
  <c r="U21" i="21"/>
  <c r="F38" i="69"/>
  <c r="E37" i="69"/>
  <c r="F36" i="69"/>
  <c r="F35" i="69"/>
  <c r="F21" i="69"/>
  <c r="F40" i="69"/>
  <c r="F20" i="69"/>
  <c r="F39" i="69"/>
  <c r="E10" i="69"/>
  <c r="E9" i="69"/>
  <c r="C7" i="69"/>
  <c r="AC21" i="37"/>
  <c r="W21" i="37"/>
  <c r="AC21" i="34"/>
  <c r="AB21" i="21"/>
  <c r="G83" i="21"/>
  <c r="J21" i="21"/>
  <c r="AC21" i="21"/>
  <c r="C40" i="69"/>
  <c r="E37" i="68"/>
  <c r="F36" i="68"/>
  <c r="F21" i="68"/>
  <c r="F40" i="68"/>
  <c r="C21" i="68"/>
  <c r="F20" i="68"/>
  <c r="F39" i="68"/>
  <c r="E10" i="68"/>
  <c r="E9"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M51" i="43"/>
  <c r="N51" i="43"/>
  <c r="K51" i="43"/>
  <c r="J51" i="43"/>
  <c r="D51" i="43"/>
  <c r="M50" i="43"/>
  <c r="N50" i="43"/>
  <c r="K50" i="43"/>
  <c r="J50" i="43"/>
  <c r="D50" i="43"/>
  <c r="Q72" i="15"/>
  <c r="Q58" i="15"/>
  <c r="Q51" i="15"/>
  <c r="Q59" i="15"/>
  <c r="AE13" i="1"/>
  <c r="M47" i="15"/>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A11" i="1"/>
  <c r="B11" i="1"/>
  <c r="E11" i="1"/>
  <c r="A12" i="1"/>
  <c r="A13" i="1"/>
  <c r="B13" i="1"/>
  <c r="E13" i="1"/>
  <c r="A6"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7"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AA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H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F85" i="33"/>
  <c r="G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J35" i="34"/>
  <c r="U34" i="34"/>
  <c r="H39" i="33"/>
  <c r="AB39" i="33"/>
  <c r="F26" i="33"/>
  <c r="AA26"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E113" i="33"/>
  <c r="F113" i="33"/>
  <c r="G113" i="33"/>
  <c r="H113" i="33"/>
  <c r="I113" i="33"/>
  <c r="J113" i="33"/>
  <c r="K113" i="33"/>
  <c r="L113" i="33"/>
  <c r="M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H37" i="33"/>
  <c r="AB37" i="33"/>
  <c r="H15" i="33"/>
  <c r="AB15" i="33"/>
  <c r="H11" i="33"/>
  <c r="AB11" i="33"/>
  <c r="F28" i="40"/>
  <c r="AA28" i="40"/>
  <c r="AA42" i="34"/>
  <c r="S42" i="34"/>
  <c r="AC38" i="34"/>
  <c r="AA38" i="34"/>
  <c r="J37" i="34"/>
  <c r="AC37" i="34"/>
  <c r="J11" i="33"/>
  <c r="W11" i="33"/>
  <c r="S28" i="34"/>
  <c r="U23" i="40"/>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AC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AA14" i="33"/>
  <c r="J36" i="37"/>
  <c r="AC36" i="37"/>
  <c r="J10" i="36"/>
  <c r="AC10" i="36"/>
  <c r="AB26" i="33"/>
  <c r="AB30" i="21"/>
  <c r="AA14" i="37"/>
  <c r="W31" i="34"/>
  <c r="W13" i="36"/>
  <c r="S11" i="36"/>
  <c r="AB46" i="34"/>
  <c r="AA14" i="34"/>
  <c r="AB45" i="33"/>
  <c r="U31" i="33"/>
  <c r="AC28" i="21"/>
  <c r="BA586" i="3"/>
  <c r="BA585" i="3"/>
  <c r="AZ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S28" i="31"/>
  <c r="S27" i="31"/>
  <c r="S26" i="31"/>
  <c r="U35" i="35"/>
  <c r="AA12" i="35"/>
  <c r="W23" i="35"/>
  <c r="AB28" i="37"/>
  <c r="U33" i="37"/>
  <c r="U39" i="37"/>
  <c r="W26" i="37"/>
  <c r="U26" i="37"/>
  <c r="AB13" i="34"/>
  <c r="AC36" i="34"/>
  <c r="AA13" i="33"/>
  <c r="AC31" i="33"/>
  <c r="AC45" i="33"/>
  <c r="U11" i="33"/>
  <c r="U19" i="21"/>
  <c r="W44" i="21"/>
  <c r="AC46" i="21"/>
  <c r="U12" i="21"/>
  <c r="F43" i="33"/>
  <c r="AA43" i="33"/>
  <c r="W15" i="34"/>
  <c r="AC15" i="34"/>
  <c r="W16" i="35"/>
  <c r="W40" i="37"/>
  <c r="G107" i="37"/>
  <c r="H107" i="37"/>
  <c r="I107" i="37"/>
  <c r="J107" i="37"/>
  <c r="K107" i="37"/>
  <c r="L107" i="37"/>
  <c r="M107" i="37"/>
  <c r="H37" i="21"/>
  <c r="U37" i="21"/>
  <c r="H19" i="34"/>
  <c r="AB19" i="34"/>
  <c r="F36" i="35"/>
  <c r="S36" i="35"/>
  <c r="J9" i="37"/>
  <c r="W9" i="37"/>
  <c r="H9" i="37"/>
  <c r="U9" i="37"/>
  <c r="F9" i="37"/>
  <c r="S9" i="37"/>
  <c r="J12" i="37"/>
  <c r="W12" i="37"/>
  <c r="H12" i="37"/>
  <c r="AB12" i="37"/>
  <c r="F12" i="37"/>
  <c r="S12" i="37"/>
  <c r="E71" i="37"/>
  <c r="F71"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AZ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AZ380" i="3"/>
  <c r="AZ384" i="3"/>
  <c r="AZ388" i="3"/>
  <c r="AZ392" i="3"/>
  <c r="AZ396" i="3"/>
  <c r="AZ394" i="3"/>
  <c r="AZ499" i="3"/>
  <c r="AZ509" i="3"/>
  <c r="G509" i="3"/>
  <c r="BL493" i="3"/>
  <c r="AZ493" i="3"/>
  <c r="AZ491" i="3"/>
  <c r="AZ376" i="3"/>
  <c r="AZ382" i="3"/>
  <c r="U36" i="40"/>
  <c r="U17" i="39"/>
  <c r="S14" i="35"/>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S13" i="1"/>
  <c r="AR13" i="1"/>
  <c r="R13" i="1"/>
  <c r="J51" i="67"/>
  <c r="C42" i="1"/>
  <c r="C24" i="12"/>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S27" i="33"/>
  <c r="S32" i="33"/>
  <c r="AA29" i="33"/>
  <c r="AB29" i="33"/>
  <c r="W38" i="33"/>
  <c r="H41" i="33"/>
  <c r="AB41" i="33"/>
  <c r="F36" i="33"/>
  <c r="AA36" i="33"/>
  <c r="G108" i="33"/>
  <c r="H108" i="33"/>
  <c r="I108" i="33"/>
  <c r="J108" i="33"/>
  <c r="K108" i="33"/>
  <c r="L108" i="33"/>
  <c r="M108" i="33"/>
  <c r="J35" i="33"/>
  <c r="W35" i="33"/>
  <c r="S37" i="33"/>
  <c r="F101" i="33"/>
  <c r="G101" i="33"/>
  <c r="H101" i="33"/>
  <c r="I101" i="33"/>
  <c r="J101" i="33"/>
  <c r="K101" i="33"/>
  <c r="L101" i="33"/>
  <c r="M101" i="33"/>
  <c r="J32" i="33"/>
  <c r="W32" i="33"/>
  <c r="S46" i="33"/>
  <c r="H27" i="33"/>
  <c r="U27" i="33"/>
  <c r="F87" i="33"/>
  <c r="H25" i="33"/>
  <c r="F25" i="33"/>
  <c r="AA25" i="33"/>
  <c r="J23" i="33"/>
  <c r="H23" i="33"/>
  <c r="AB23" i="33"/>
  <c r="F81" i="33"/>
  <c r="G81" i="33"/>
  <c r="F19" i="33"/>
  <c r="S19" i="33"/>
  <c r="J17" i="33"/>
  <c r="F79" i="33"/>
  <c r="S15" i="33"/>
  <c r="U9" i="33"/>
  <c r="J10" i="33"/>
  <c r="W10" i="33"/>
  <c r="H10" i="33"/>
  <c r="U10" i="33"/>
  <c r="AC11" i="33"/>
  <c r="AB14" i="33"/>
  <c r="W43" i="21"/>
  <c r="W41" i="21"/>
  <c r="J15" i="21"/>
  <c r="W15" i="21"/>
  <c r="F77" i="21"/>
  <c r="G77" i="21"/>
  <c r="F23" i="21"/>
  <c r="S23" i="21"/>
  <c r="E85" i="21"/>
  <c r="AA14" i="21"/>
  <c r="D120" i="9"/>
  <c r="D121" i="9"/>
  <c r="D7" i="52"/>
  <c r="C18" i="9"/>
  <c r="D18" i="9"/>
  <c r="F34" i="67"/>
  <c r="F62" i="67"/>
  <c r="M20" i="67"/>
  <c r="F34" i="15"/>
  <c r="F62" i="15"/>
  <c r="BL17" i="3"/>
  <c r="AZ17" i="3"/>
  <c r="J56" i="9"/>
  <c r="J57" i="9"/>
  <c r="J59" i="9"/>
  <c r="J61" i="9"/>
  <c r="A24" i="51"/>
  <c r="B18" i="72"/>
  <c r="U29" i="34"/>
  <c r="E5" i="6"/>
  <c r="E32" i="6"/>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L20" i="6"/>
  <c r="B6" i="1"/>
  <c r="E6" i="1"/>
  <c r="O11" i="1"/>
  <c r="B9" i="1"/>
  <c r="E9"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c r="K101" i="21"/>
  <c r="L101" i="21"/>
  <c r="M101" i="21"/>
  <c r="F33" i="21"/>
  <c r="AA33" i="21"/>
  <c r="J33" i="21"/>
  <c r="AC33" i="21"/>
  <c r="H33" i="21"/>
  <c r="AB33" i="21"/>
  <c r="F37" i="21"/>
  <c r="AA37" i="21"/>
  <c r="AB14" i="21"/>
  <c r="AB46" i="21"/>
  <c r="AB31" i="21"/>
  <c r="U31" i="21"/>
  <c r="U13" i="21"/>
  <c r="AB13" i="21"/>
  <c r="J37" i="21"/>
  <c r="W37" i="21"/>
  <c r="H15" i="21"/>
  <c r="U15" i="21"/>
  <c r="J17" i="21"/>
  <c r="AC17" i="21"/>
  <c r="AC14" i="21"/>
  <c r="W30" i="21"/>
  <c r="S46" i="21"/>
  <c r="H45" i="21"/>
  <c r="U45" i="21"/>
  <c r="F29" i="21"/>
  <c r="S29" i="21"/>
  <c r="F13" i="21"/>
  <c r="AA13" i="21"/>
  <c r="H32" i="21"/>
  <c r="AB32" i="21"/>
  <c r="H9" i="21"/>
  <c r="J9" i="21"/>
  <c r="J32" i="21"/>
  <c r="W32" i="21"/>
  <c r="F32" i="21"/>
  <c r="AA32" i="21"/>
  <c r="AA31" i="21"/>
  <c r="U17" i="21"/>
  <c r="W29" i="21"/>
  <c r="S9" i="21"/>
  <c r="AA9" i="21"/>
  <c r="K141" i="21"/>
  <c r="K144" i="21"/>
  <c r="K143" i="21"/>
  <c r="U27" i="21"/>
  <c r="AB25" i="21"/>
  <c r="AB44" i="21"/>
  <c r="AA30" i="21"/>
  <c r="W13" i="21"/>
  <c r="W42" i="21"/>
  <c r="AC45" i="21"/>
  <c r="F10" i="21"/>
  <c r="AA10" i="2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J36" i="33"/>
  <c r="W36" i="33"/>
  <c r="H36" i="33"/>
  <c r="U36" i="33"/>
  <c r="J27" i="33"/>
  <c r="AC27" i="33"/>
  <c r="U25" i="33"/>
  <c r="AB25" i="33"/>
  <c r="S25" i="33"/>
  <c r="G87" i="33"/>
  <c r="H87" i="33"/>
  <c r="I87" i="33"/>
  <c r="J87" i="33"/>
  <c r="K87" i="33"/>
  <c r="L87" i="33"/>
  <c r="M87" i="33"/>
  <c r="J25" i="33"/>
  <c r="W25" i="33"/>
  <c r="F23" i="33"/>
  <c r="AC23" i="33"/>
  <c r="W23" i="33"/>
  <c r="H19" i="33"/>
  <c r="U19" i="33"/>
  <c r="G79" i="33"/>
  <c r="H17" i="33"/>
  <c r="U17" i="33"/>
  <c r="F17" i="33"/>
  <c r="W17" i="33"/>
  <c r="AC17" i="33"/>
  <c r="AA23" i="21"/>
  <c r="AB15" i="21"/>
  <c r="J23" i="21"/>
  <c r="W23" i="21"/>
  <c r="F85" i="21"/>
  <c r="G85" i="21"/>
  <c r="H23" i="21"/>
  <c r="U23" i="21"/>
  <c r="S13" i="21"/>
  <c r="D6" i="52"/>
  <c r="AP7" i="1"/>
  <c r="AB45" i="21"/>
  <c r="AB9" i="21"/>
  <c r="U9" i="21"/>
  <c r="W9" i="21"/>
  <c r="AC9" i="21"/>
  <c r="U32" i="39"/>
  <c r="AC32" i="39"/>
  <c r="W32" i="39"/>
  <c r="W19" i="37"/>
  <c r="AC19" i="37"/>
  <c r="W23" i="37"/>
  <c r="AC23" i="37"/>
  <c r="H63" i="37"/>
  <c r="I63" i="37"/>
  <c r="J63" i="37"/>
  <c r="K63" i="37"/>
  <c r="L63" i="37"/>
  <c r="M63" i="37"/>
  <c r="J11" i="37"/>
  <c r="AC11" i="37"/>
  <c r="H70" i="34"/>
  <c r="I70" i="34"/>
  <c r="J70" i="34"/>
  <c r="K70" i="34"/>
  <c r="L70" i="34"/>
  <c r="M70" i="34"/>
  <c r="J11" i="34"/>
  <c r="W11" i="34"/>
  <c r="AA23" i="33"/>
  <c r="S23" i="33"/>
  <c r="AA17" i="33"/>
  <c r="S17" i="33"/>
  <c r="H10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E7" i="76"/>
  <c r="M22" i="67"/>
  <c r="D4" i="73"/>
  <c r="M9" i="15"/>
  <c r="E12" i="76"/>
  <c r="J15" i="15"/>
  <c r="F8" i="67"/>
  <c r="B7" i="76"/>
  <c r="M29" i="67"/>
  <c r="F42" i="67"/>
  <c r="F37" i="15"/>
  <c r="D3" i="73"/>
  <c r="F13" i="15"/>
  <c r="D6" i="73"/>
  <c r="M8" i="15"/>
  <c r="E13" i="76"/>
  <c r="M24" i="67"/>
  <c r="F4" i="73"/>
  <c r="B8" i="76"/>
  <c r="M22" i="15"/>
  <c r="M6" i="67"/>
  <c r="L48" i="67"/>
  <c r="F43" i="67"/>
  <c r="F42" i="15"/>
  <c r="F3" i="73"/>
  <c r="F7" i="73"/>
  <c r="F6" i="67"/>
  <c r="E8" i="76"/>
  <c r="E9" i="76"/>
  <c r="F6" i="15"/>
  <c r="M8" i="67"/>
  <c r="M26" i="15"/>
  <c r="F5" i="73"/>
  <c r="F37" i="67"/>
  <c r="B12" i="76"/>
  <c r="M24" i="15"/>
  <c r="B11" i="76"/>
  <c r="E2" i="69"/>
  <c r="F8" i="15"/>
  <c r="M23" i="15"/>
  <c r="B10" i="76"/>
  <c r="J15" i="67"/>
  <c r="F38" i="67"/>
  <c r="C76" i="67"/>
  <c r="F16" i="67"/>
  <c r="F40" i="67"/>
  <c r="E10" i="76"/>
  <c r="M9" i="67"/>
  <c r="F9" i="67"/>
  <c r="F36" i="15"/>
  <c r="AO13" i="1"/>
  <c r="E2" i="68"/>
  <c r="F7" i="15"/>
  <c r="F7" i="67"/>
  <c r="D7" i="73"/>
  <c r="L47" i="67"/>
  <c r="E11" i="76"/>
  <c r="F9" i="15"/>
  <c r="F13" i="67"/>
  <c r="M28" i="67"/>
  <c r="M23" i="67"/>
  <c r="B13" i="76"/>
  <c r="B9" i="76"/>
  <c r="F20" i="31"/>
  <c r="M6" i="15"/>
  <c r="M29" i="15"/>
  <c r="F40" i="15"/>
  <c r="F26" i="67"/>
  <c r="F38" i="15"/>
  <c r="M28" i="15"/>
  <c r="M26" i="67"/>
  <c r="F36" i="67"/>
  <c r="L47" i="15"/>
  <c r="F6" i="73"/>
  <c r="C76" i="15"/>
  <c r="J88" i="43"/>
  <c r="D88" i="43"/>
  <c r="D52" i="43"/>
  <c r="W43" i="33"/>
  <c r="J41" i="33"/>
  <c r="AC41" i="33"/>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c r="F32" i="67"/>
  <c r="F60" i="67"/>
  <c r="F52" i="9"/>
  <c r="F28" i="67"/>
  <c r="F30" i="68"/>
  <c r="F48" i="68"/>
  <c r="D93" i="9"/>
  <c r="F29" i="6"/>
  <c r="A15" i="62"/>
  <c r="B61" i="72"/>
  <c r="D19" i="53"/>
  <c r="B38" i="72"/>
  <c r="D16" i="53"/>
  <c r="B34" i="72"/>
  <c r="C28" i="67"/>
  <c r="E19" i="71"/>
  <c r="E18" i="71"/>
  <c r="E17" i="71"/>
  <c r="E16" i="71"/>
  <c r="V20" i="71"/>
  <c r="D17" i="71"/>
  <c r="C16" i="71"/>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c r="F12" i="34"/>
  <c r="F34" i="35"/>
  <c r="H34" i="35"/>
  <c r="J36" i="35"/>
  <c r="F23" i="36"/>
  <c r="H23" i="36"/>
  <c r="G551" i="3"/>
  <c r="BL548" i="3"/>
  <c r="AZ548" i="3"/>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c r="D46" i="71"/>
  <c r="X9" i="71"/>
  <c r="X10" i="71"/>
  <c r="AB9" i="71"/>
  <c r="AB10" i="71"/>
  <c r="X22" i="71"/>
  <c r="AA24" i="71"/>
  <c r="AA22" i="71"/>
  <c r="X21" i="71"/>
  <c r="Y18" i="71"/>
  <c r="Z18" i="71"/>
  <c r="X17" i="71"/>
  <c r="Y17" i="71"/>
  <c r="Z17" i="71"/>
  <c r="AB18" i="71"/>
  <c r="Y14" i="71"/>
  <c r="Z14" i="71"/>
  <c r="AA17" i="71"/>
  <c r="U18" i="36"/>
  <c r="Y9" i="71"/>
  <c r="Z9" i="71"/>
  <c r="Y10" i="71"/>
  <c r="Z10" i="71"/>
  <c r="AA9" i="71"/>
  <c r="AA10" i="71"/>
  <c r="AB24" i="71"/>
  <c r="Y21" i="71"/>
  <c r="Z21" i="71"/>
  <c r="AB23" i="71"/>
  <c r="AB21" i="71"/>
  <c r="AA21" i="71"/>
  <c r="X18" i="71"/>
  <c r="AA18" i="71"/>
  <c r="X14" i="71"/>
  <c r="AA13" i="71"/>
  <c r="AB17" i="71"/>
  <c r="F67" i="71"/>
  <c r="X24" i="71"/>
  <c r="Y24" i="71"/>
  <c r="Z24" i="71"/>
  <c r="AB15" i="71"/>
  <c r="AB12" i="71"/>
  <c r="AB14" i="71"/>
  <c r="AA11" i="71"/>
  <c r="X11" i="71"/>
  <c r="Y13" i="71"/>
  <c r="Z13" i="71"/>
  <c r="Y12" i="71"/>
  <c r="Z12" i="71"/>
  <c r="Y23" i="71"/>
  <c r="Z23" i="71"/>
  <c r="Y22" i="71"/>
  <c r="Z22" i="71"/>
  <c r="AA23" i="71"/>
  <c r="X15" i="71"/>
  <c r="AA15" i="71"/>
  <c r="AB11" i="71"/>
  <c r="AB13" i="71"/>
  <c r="AA12" i="71"/>
  <c r="AA14" i="71"/>
  <c r="X13" i="71"/>
  <c r="X12" i="71"/>
  <c r="Y11" i="71"/>
  <c r="Z11" i="7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94" i="9"/>
  <c r="C92" i="9"/>
  <c r="C48" i="69"/>
  <c r="C31" i="12"/>
  <c r="C30" i="68"/>
  <c r="C77" i="9"/>
  <c r="C74" i="9"/>
  <c r="C30" i="11"/>
  <c r="C21" i="69"/>
  <c r="J84" i="43"/>
  <c r="J85" i="43"/>
  <c r="J86" i="43"/>
  <c r="J87" i="43"/>
  <c r="J89" i="43"/>
  <c r="J90" i="43"/>
  <c r="D83" i="43"/>
  <c r="E83" i="43"/>
  <c r="B81" i="43"/>
  <c r="D66" i="43"/>
  <c r="D64" i="43"/>
  <c r="D62" i="43"/>
  <c r="D67" i="43"/>
  <c r="D65" i="43"/>
  <c r="D63" i="43"/>
  <c r="D69" i="43"/>
  <c r="D73" i="43"/>
  <c r="D75" i="43"/>
  <c r="D79" i="43"/>
  <c r="D22" i="67"/>
  <c r="AQ13" i="1"/>
  <c r="Q16" i="1"/>
  <c r="E57" i="40"/>
  <c r="E10" i="6"/>
  <c r="H16" i="1"/>
  <c r="P6" i="1"/>
  <c r="C13" i="12"/>
  <c r="P11" i="1"/>
  <c r="E59" i="40"/>
  <c r="D9" i="11"/>
  <c r="C9" i="11"/>
  <c r="D19" i="12"/>
  <c r="C19" i="12"/>
  <c r="O9" i="1"/>
  <c r="P9" i="1"/>
  <c r="O12" i="1"/>
  <c r="P12" i="1"/>
  <c r="O8" i="1"/>
  <c r="P8" i="1"/>
  <c r="C23" i="43"/>
  <c r="O23" i="43"/>
  <c r="I18" i="43"/>
  <c r="E17" i="43"/>
  <c r="C17" i="43"/>
  <c r="C24" i="43"/>
  <c r="H26" i="43"/>
  <c r="J26" i="43"/>
  <c r="A1" i="79"/>
  <c r="N370" i="46"/>
  <c r="N94" i="46"/>
  <c r="C69" i="39"/>
  <c r="D67" i="39"/>
  <c r="D69" i="39"/>
  <c r="T35" i="4"/>
  <c r="A19" i="51"/>
  <c r="B14" i="72"/>
  <c r="H110" i="9"/>
  <c r="D18" i="53"/>
  <c r="B35" i="72"/>
  <c r="K5" i="4"/>
  <c r="B47" i="48"/>
  <c r="Y8" i="71"/>
  <c r="Z8" i="71"/>
  <c r="X8" i="71"/>
  <c r="AB8" i="71"/>
  <c r="AA8" i="71"/>
  <c r="B8" i="74"/>
  <c r="C8" i="74"/>
  <c r="D127" i="9"/>
  <c r="D13" i="52"/>
  <c r="D12" i="52"/>
  <c r="D20" i="53"/>
  <c r="B40" i="72"/>
  <c r="D17" i="53"/>
  <c r="B36" i="72"/>
  <c r="D124" i="9"/>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L56"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F65" i="15"/>
  <c r="N59" i="67"/>
  <c r="L59" i="67"/>
  <c r="L58" i="67"/>
  <c r="M59" i="67"/>
  <c r="B13" i="70"/>
  <c r="M7" i="67"/>
  <c r="J6" i="67"/>
  <c r="F50" i="67"/>
  <c r="F68" i="67"/>
  <c r="F64" i="67"/>
  <c r="F68" i="15"/>
  <c r="D9" i="69"/>
  <c r="F27" i="69"/>
  <c r="C36" i="69"/>
  <c r="C16" i="67"/>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F66" i="71"/>
  <c r="Q67" i="71"/>
  <c r="C44" i="71"/>
  <c r="D43" i="71"/>
  <c r="AA23" i="36"/>
  <c r="S23" i="36"/>
  <c r="AB34" i="35"/>
  <c r="U34" i="35"/>
  <c r="S12" i="34"/>
  <c r="AA12" i="34"/>
  <c r="AC12" i="21"/>
  <c r="W12" i="21"/>
  <c r="C15" i="71"/>
  <c r="T16" i="71"/>
  <c r="B15" i="71"/>
  <c r="B14" i="71"/>
  <c r="B13" i="71"/>
  <c r="B12" i="71"/>
  <c r="S16" i="71"/>
  <c r="AB23" i="36"/>
  <c r="U23" i="36"/>
  <c r="AC36" i="35"/>
  <c r="W36" i="35"/>
  <c r="AA34" i="35"/>
  <c r="S34" i="35"/>
  <c r="E15" i="71"/>
  <c r="E14" i="71"/>
  <c r="E13" i="71"/>
  <c r="E12" i="71"/>
  <c r="V16" i="71"/>
  <c r="E61" i="43"/>
  <c r="B59" i="43"/>
  <c r="C28" i="43"/>
  <c r="B116" i="43"/>
  <c r="Z7" i="43"/>
  <c r="E30" i="6"/>
  <c r="H7" i="34"/>
  <c r="AB7" i="34"/>
  <c r="T49" i="34"/>
  <c r="G49" i="34"/>
  <c r="E67" i="39"/>
  <c r="E69" i="39"/>
  <c r="J7" i="34"/>
  <c r="W7" i="34"/>
  <c r="F7" i="34"/>
  <c r="S7" i="34"/>
  <c r="AA26" i="35"/>
  <c r="S26" i="35"/>
  <c r="AC26" i="35"/>
  <c r="W26" i="35"/>
  <c r="AB26" i="35"/>
  <c r="U26" i="35"/>
  <c r="E56" i="40"/>
  <c r="C47" i="69"/>
  <c r="D45" i="69"/>
  <c r="C9" i="69"/>
  <c r="C9" i="68"/>
  <c r="E72" i="43"/>
  <c r="B70" i="43"/>
  <c r="C29" i="69"/>
  <c r="D27" i="69"/>
  <c r="F45" i="69"/>
  <c r="F27" i="11"/>
  <c r="C29" i="11"/>
  <c r="D27" i="11"/>
  <c r="F28" i="12"/>
  <c r="C29" i="12"/>
  <c r="D28" i="12"/>
  <c r="E60" i="40"/>
  <c r="K26" i="6"/>
  <c r="M26" i="6"/>
  <c r="I26" i="6"/>
  <c r="S26" i="6"/>
  <c r="E51" i="40"/>
  <c r="E16" i="6"/>
  <c r="AC6" i="3"/>
  <c r="H6" i="3"/>
  <c r="E58" i="40"/>
  <c r="D5" i="43"/>
  <c r="J10" i="40"/>
  <c r="AC10" i="40"/>
  <c r="U10" i="39"/>
  <c r="F10" i="40"/>
  <c r="S10" i="40"/>
  <c r="W10" i="39"/>
  <c r="H10" i="40"/>
  <c r="AB10" i="40"/>
  <c r="C7" i="43"/>
  <c r="C5" i="43"/>
  <c r="D10" i="52"/>
  <c r="D125" i="9"/>
  <c r="D11" i="52"/>
  <c r="B7" i="74"/>
  <c r="C7" i="74"/>
  <c r="F67" i="39"/>
  <c r="F59" i="67"/>
  <c r="H7" i="37"/>
  <c r="AB7" i="37"/>
  <c r="T42" i="37"/>
  <c r="G42" i="37"/>
  <c r="L36" i="43"/>
  <c r="S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Q52" i="15"/>
  <c r="J18" i="67"/>
  <c r="C32" i="15"/>
  <c r="F1" i="67"/>
  <c r="Q52" i="67"/>
  <c r="Q60" i="15"/>
  <c r="Q73" i="15"/>
  <c r="Q61" i="67"/>
  <c r="Q74" i="67"/>
  <c r="Q74" i="15"/>
  <c r="Q61" i="15"/>
  <c r="AE11" i="1"/>
  <c r="AE9" i="1"/>
  <c r="AE7" i="1"/>
  <c r="AE8" i="1"/>
  <c r="AE12" i="1"/>
  <c r="AE10" i="1"/>
  <c r="F41" i="67"/>
  <c r="E11" i="71"/>
  <c r="E10" i="71"/>
  <c r="E9" i="71"/>
  <c r="E8" i="71"/>
  <c r="E7" i="71"/>
  <c r="E6" i="71"/>
  <c r="E5" i="71"/>
  <c r="V12" i="71"/>
  <c r="B11" i="71"/>
  <c r="B10" i="71"/>
  <c r="B9" i="71"/>
  <c r="B8" i="71"/>
  <c r="B7" i="71"/>
  <c r="B6" i="71"/>
  <c r="B5" i="71"/>
  <c r="S12" i="71"/>
  <c r="D15" i="71"/>
  <c r="C14" i="71"/>
  <c r="D44" i="71"/>
  <c r="T44" i="71"/>
  <c r="Q66" i="71"/>
  <c r="Q65" i="71"/>
  <c r="E65" i="39"/>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c r="L18" i="9"/>
  <c r="C17" i="4"/>
  <c r="B4" i="52"/>
  <c r="B43" i="72"/>
  <c r="D3" i="33"/>
  <c r="D3" i="37"/>
  <c r="C39" i="43"/>
  <c r="C42" i="43"/>
  <c r="E42" i="43"/>
  <c r="C38" i="43"/>
  <c r="AA10" i="40"/>
  <c r="U10" i="40"/>
  <c r="W10" i="40"/>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M27" i="15"/>
  <c r="M27" i="67"/>
  <c r="D14" i="71"/>
  <c r="C13" i="71"/>
  <c r="D116" i="43"/>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26" i="12"/>
  <c r="D25" i="12"/>
  <c r="C44" i="11"/>
  <c r="D41" i="11"/>
  <c r="C23" i="11"/>
  <c r="C24" i="11"/>
  <c r="C25" i="11"/>
  <c r="C26" i="11"/>
  <c r="D22" i="11"/>
  <c r="C66" i="67"/>
  <c r="C60" i="67"/>
  <c r="D10" i="69"/>
  <c r="C34" i="69"/>
  <c r="C17" i="67"/>
  <c r="C14" i="67"/>
  <c r="C12" i="71"/>
  <c r="D13" i="71"/>
  <c r="C18" i="67"/>
  <c r="C15" i="67"/>
  <c r="H23" i="6"/>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C4" i="52"/>
  <c r="B45" i="72"/>
  <c r="A10" i="51"/>
  <c r="B9" i="72"/>
  <c r="A7" i="51"/>
  <c r="B7" i="72"/>
  <c r="R25" i="6"/>
  <c r="R12" i="1"/>
  <c r="H69" i="39"/>
  <c r="I67" i="39"/>
  <c r="G65" i="40"/>
  <c r="H63" i="40"/>
  <c r="C43" i="37"/>
  <c r="C42" i="37"/>
  <c r="I48" i="35"/>
  <c r="C48" i="33"/>
  <c r="C49" i="33"/>
  <c r="H58" i="21"/>
  <c r="E47" i="37"/>
  <c r="F47" i="37"/>
  <c r="E46" i="37"/>
  <c r="F46" i="37"/>
  <c r="I47" i="37"/>
  <c r="J47" i="37"/>
  <c r="E53" i="33"/>
  <c r="F53" i="33"/>
  <c r="E52" i="33"/>
  <c r="F52" i="33"/>
  <c r="C33" i="15"/>
  <c r="C22" i="11"/>
  <c r="C31" i="11"/>
  <c r="C33" i="67"/>
  <c r="J19" i="67"/>
  <c r="E6" i="76"/>
  <c r="B6" i="76"/>
  <c r="C11" i="71"/>
  <c r="T12" i="71"/>
  <c r="D12" i="71"/>
  <c r="U12"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F7" i="21"/>
  <c r="J48" i="35"/>
  <c r="J7" i="21"/>
  <c r="AC7" i="21"/>
  <c r="V48" i="21"/>
  <c r="I48" i="21"/>
  <c r="D11" i="71"/>
  <c r="C10" i="71"/>
  <c r="C23" i="67"/>
  <c r="C29" i="67"/>
  <c r="J59" i="67"/>
  <c r="J60" i="67"/>
  <c r="Q48" i="67"/>
  <c r="C30" i="12"/>
  <c r="C28" i="12"/>
  <c r="C38" i="11"/>
  <c r="C35" i="11"/>
  <c r="H27" i="6"/>
  <c r="R19" i="6"/>
  <c r="C27" i="12"/>
  <c r="C25" i="12"/>
  <c r="C20" i="69"/>
  <c r="C28" i="69"/>
  <c r="C27" i="69"/>
  <c r="C39" i="69"/>
  <c r="C43" i="69"/>
  <c r="C42" i="69"/>
  <c r="B3" i="76"/>
  <c r="J69" i="39"/>
  <c r="K67" i="39"/>
  <c r="U7" i="21"/>
  <c r="AB7" i="21"/>
  <c r="T48" i="21"/>
  <c r="G48" i="21"/>
  <c r="S7" i="21"/>
  <c r="AA7" i="21"/>
  <c r="R48" i="21"/>
  <c r="J63" i="40"/>
  <c r="I65" i="40"/>
  <c r="K48" i="35"/>
  <c r="L48" i="35"/>
  <c r="M48" i="35"/>
  <c r="N48" i="35"/>
  <c r="O48" i="35"/>
  <c r="H7" i="35"/>
  <c r="W7" i="21"/>
  <c r="J7" i="35"/>
  <c r="D10" i="71"/>
  <c r="C9" i="71"/>
  <c r="Q49" i="67"/>
  <c r="J14" i="67"/>
  <c r="J13" i="67"/>
  <c r="J23" i="67"/>
  <c r="C36" i="67"/>
  <c r="C57" i="67"/>
  <c r="C64" i="67"/>
  <c r="C13" i="67"/>
  <c r="Q70" i="67"/>
  <c r="C33" i="11"/>
  <c r="C39" i="11"/>
  <c r="C61" i="67"/>
  <c r="C32" i="12"/>
  <c r="B2" i="12"/>
  <c r="B3" i="12"/>
  <c r="C41" i="69"/>
  <c r="R27" i="6"/>
  <c r="R6" i="1"/>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F35" i="15"/>
  <c r="M21" i="15"/>
  <c r="M21" i="67"/>
  <c r="F35" i="67"/>
  <c r="C8" i="71"/>
  <c r="D9" i="71"/>
  <c r="C56" i="67"/>
  <c r="C65" i="67"/>
  <c r="J22" i="67"/>
  <c r="C37" i="67"/>
  <c r="C75" i="67"/>
  <c r="C36"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02" i="9"/>
  <c r="C21" i="9"/>
  <c r="B3" i="68"/>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C20" i="9"/>
  <c r="D2" i="21"/>
  <c r="C103" i="9"/>
  <c r="C6" i="71"/>
  <c r="D7"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M24" i="43"/>
  <c r="L57" i="67"/>
  <c r="L60" i="67"/>
  <c r="L46" i="67"/>
  <c r="D2" i="67"/>
  <c r="B2" i="67"/>
  <c r="Q67" i="67"/>
  <c r="Q65" i="67"/>
  <c r="B2" i="33"/>
  <c r="B3" i="33"/>
  <c r="C83" i="67"/>
  <c r="C82" i="67"/>
  <c r="Q47" i="67"/>
  <c r="Q53" i="67"/>
  <c r="C46" i="67"/>
  <c r="Q56" i="67"/>
  <c r="C43" i="67"/>
  <c r="C80" i="15"/>
  <c r="C79" i="15"/>
  <c r="C40" i="15"/>
  <c r="C46" i="15"/>
  <c r="H7" i="39"/>
  <c r="J7" i="39"/>
  <c r="S7" i="39"/>
  <c r="AA7" i="39"/>
  <c r="O63" i="40"/>
  <c r="O65" i="40"/>
  <c r="N65" i="40"/>
  <c r="D2" i="36"/>
  <c r="L51" i="15"/>
  <c r="D2" i="34"/>
  <c r="D2" i="37"/>
  <c r="D2" i="35"/>
  <c r="Q57" i="67"/>
  <c r="Q66" i="67"/>
  <c r="Q75" i="67"/>
  <c r="Q62" i="67"/>
  <c r="B3" i="67"/>
  <c r="L57" i="15"/>
  <c r="L60" i="15"/>
  <c r="Q57" i="15"/>
  <c r="Q67" i="15"/>
  <c r="B2" i="36"/>
  <c r="B3" i="36"/>
  <c r="B2" i="35"/>
  <c r="B3" i="35"/>
  <c r="M3" i="35"/>
  <c r="B2" i="37"/>
  <c r="B3" i="37"/>
  <c r="B2" i="34"/>
  <c r="B3" i="34"/>
  <c r="B2" i="15"/>
  <c r="Q47" i="15"/>
  <c r="Q53" i="15"/>
  <c r="C43" i="15"/>
  <c r="Q65" i="15"/>
  <c r="C83" i="15"/>
  <c r="C82" i="15"/>
  <c r="Q56" i="15"/>
  <c r="W7" i="39"/>
  <c r="AC7" i="39"/>
  <c r="I47" i="39"/>
  <c r="E47" i="39"/>
  <c r="AB7" i="39"/>
  <c r="U7" i="39"/>
  <c r="G47" i="39"/>
  <c r="J7" i="40"/>
  <c r="F7" i="40"/>
  <c r="H7" i="40"/>
  <c r="AO7" i="1"/>
  <c r="AO9" i="1"/>
  <c r="AO10" i="1"/>
  <c r="AO11" i="1"/>
  <c r="AO8" i="1"/>
  <c r="AO12" i="1"/>
  <c r="AO6" i="1"/>
  <c r="D102" i="9"/>
  <c r="D21" i="9"/>
  <c r="G21" i="9"/>
  <c r="D22" i="9"/>
  <c r="Q66" i="15"/>
  <c r="Q75" i="15"/>
  <c r="Q62" i="15"/>
  <c r="B9" i="70"/>
  <c r="B11" i="70"/>
  <c r="B7" i="70"/>
  <c r="B10" i="70"/>
  <c r="B12" i="70"/>
  <c r="B6" i="70"/>
  <c r="B8" i="70"/>
  <c r="B3" i="15"/>
  <c r="G51" i="39"/>
  <c r="H51" i="39"/>
  <c r="G52" i="39"/>
  <c r="H52" i="39"/>
  <c r="I51" i="39"/>
  <c r="J51" i="39"/>
  <c r="I52" i="39"/>
  <c r="J52" i="39"/>
  <c r="C47" i="39"/>
  <c r="E52" i="39"/>
  <c r="F52" i="39"/>
  <c r="E51" i="39"/>
  <c r="F51" i="39"/>
  <c r="U7" i="40"/>
  <c r="AB7" i="40"/>
  <c r="T42" i="40"/>
  <c r="G42" i="40"/>
  <c r="AA7" i="40"/>
  <c r="R42" i="40"/>
  <c r="S7" i="40"/>
  <c r="AC7" i="40"/>
  <c r="V42" i="40"/>
  <c r="I42" i="40"/>
  <c r="W7" i="40"/>
  <c r="D20" i="9"/>
  <c r="D103" i="9"/>
  <c r="G20" i="9"/>
  <c r="B2" i="70"/>
  <c r="B3" i="70"/>
  <c r="B3" i="39"/>
  <c r="I46" i="40"/>
  <c r="J46" i="40"/>
  <c r="R43" i="40"/>
  <c r="E42" i="40"/>
  <c r="G47" i="40"/>
  <c r="H47" i="40"/>
  <c r="G46" i="40"/>
  <c r="H46" i="40"/>
  <c r="D35" i="9"/>
  <c r="C35" i="9"/>
  <c r="C34" i="9"/>
  <c r="C42" i="40"/>
  <c r="C43" i="40"/>
  <c r="E47" i="40"/>
  <c r="F47" i="40"/>
  <c r="E46" i="40"/>
  <c r="F46" i="40"/>
  <c r="I47" i="40"/>
  <c r="J47" i="40"/>
  <c r="D34" i="9"/>
  <c r="B58" i="40"/>
  <c r="F58" i="40"/>
  <c r="B54" i="40"/>
  <c r="F54" i="40"/>
  <c r="B53" i="40"/>
  <c r="F53" i="40"/>
  <c r="B59" i="40"/>
  <c r="F59" i="40"/>
  <c r="B52" i="40"/>
  <c r="F52" i="40"/>
  <c r="B56" i="40"/>
  <c r="F56" i="40"/>
  <c r="B60" i="40"/>
  <c r="F60" i="40"/>
  <c r="B57" i="40"/>
  <c r="F57" i="40"/>
  <c r="B51" i="40"/>
  <c r="F51" i="40"/>
  <c r="F61" i="40"/>
  <c r="B2" i="40"/>
  <c r="B3" i="40"/>
  <c r="F118" i="9"/>
  <c r="F4" i="52"/>
  <c r="B51" i="72"/>
  <c r="H4" i="52"/>
  <c r="D118" i="9"/>
  <c r="D4" i="52"/>
  <c r="B47" i="72"/>
  <c r="D119" i="9"/>
  <c r="D5" i="52"/>
  <c r="B49" i="72"/>
  <c r="I118" i="9"/>
  <c r="F119" i="9"/>
  <c r="F5" i="52"/>
  <c r="B53" i="72"/>
  <c r="G118" i="9"/>
  <c r="G4" i="52"/>
  <c r="B52" i="72"/>
  <c r="C104" i="9"/>
  <c r="H119" i="9"/>
  <c r="H5" i="52"/>
  <c r="M48" i="9"/>
  <c r="D5" i="53"/>
  <c r="D45" i="9"/>
  <c r="H107" i="9"/>
  <c r="C105" i="9"/>
  <c r="I4" i="52"/>
  <c r="H102" i="9"/>
  <c r="D7" i="53"/>
  <c r="B21" i="72"/>
  <c r="E118" i="9"/>
  <c r="E4" i="52"/>
  <c r="B48" i="72"/>
  <c r="D122" i="9"/>
  <c r="H108" i="9"/>
  <c r="D15" i="53"/>
  <c r="B31" i="72"/>
  <c r="M49" i="9"/>
  <c r="D13" i="53"/>
  <c r="B20" i="72"/>
  <c r="D6" i="53"/>
  <c r="B22" i="72"/>
  <c r="D52" i="9"/>
  <c r="C72" i="9"/>
  <c r="D53" i="9"/>
  <c r="D48" i="9"/>
  <c r="M52" i="9"/>
  <c r="C78" i="9"/>
  <c r="C73" i="9"/>
  <c r="C64" i="9"/>
  <c r="C63" i="9"/>
  <c r="C67" i="9"/>
  <c r="C93" i="9"/>
  <c r="C86" i="9"/>
  <c r="D55" i="9"/>
  <c r="M53" i="9"/>
  <c r="C85" i="9"/>
  <c r="B5" i="74"/>
  <c r="F14" i="74"/>
  <c r="E14" i="74"/>
  <c r="C95" i="9"/>
  <c r="C96" i="9"/>
  <c r="E96" i="9"/>
  <c r="E97" i="9"/>
  <c r="D5" i="74"/>
  <c r="C5" i="74"/>
  <c r="C79" i="9"/>
  <c r="B30" i="72"/>
  <c r="D14" i="53"/>
  <c r="B32" i="72"/>
  <c r="C68" i="9"/>
  <c r="D54" i="9"/>
  <c r="D59" i="9"/>
  <c r="M55" i="9"/>
  <c r="L64" i="9"/>
  <c r="M64" i="9"/>
  <c r="L67" i="9"/>
  <c r="M67" i="9"/>
  <c r="L66" i="9"/>
  <c r="M66" i="9"/>
  <c r="L65" i="9"/>
  <c r="M65" i="9"/>
  <c r="L63" i="9"/>
  <c r="M63" i="9"/>
  <c r="L68" i="9"/>
  <c r="M68" i="9"/>
  <c r="M69" i="9"/>
  <c r="N69" i="9"/>
  <c r="D8" i="52"/>
  <c r="D123" i="9"/>
  <c r="D9" i="52"/>
  <c r="G14" i="74"/>
  <c r="B6" i="74"/>
  <c r="C97" i="9"/>
  <c r="D58" i="9"/>
  <c r="D56" i="9"/>
  <c r="M54" i="9"/>
  <c r="N57" i="9"/>
  <c r="N58" i="9"/>
  <c r="D6" i="74"/>
  <c r="C6" i="74"/>
  <c r="C80" i="9"/>
  <c r="C81" i="9"/>
  <c r="E80" i="9"/>
  <c r="E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<sst xmlns="http://schemas.openxmlformats.org/spreadsheetml/2006/main" count="8861" uniqueCount="3784">
  <si>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</si>
  <si>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</si>
  <si>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</si>
  <si>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</si>
  <si>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</si>
  <si>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</si>
  <si>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</si>
  <si>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</si>
  <si>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</si>
  <si>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</si>
  <si>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</si>
  <si>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</si>
  <si>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</si>
  <si>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</si>
  <si>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</si>
  <si>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</si>
  <si>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</si>
  <si>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</si>
  <si>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</si>
  <si>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</si>
  <si>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</si>
  <si>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</si>
  <si>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</si>
  <si>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</si>
  <si>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</si>
  <si>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</si>
  <si>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</si>
  <si>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</si>
  <si>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</si>
  <si>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</si>
  <si>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</si>
  <si>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</si>
  <si>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</si>
  <si>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</si>
  <si>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</si>
  <si>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</si>
  <si>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</si>
  <si>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</si>
  <si>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</si>
  <si>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</si>
  <si>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</si>
  <si>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</si>
  <si>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</si>
  <si>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</si>
  <si>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</si>
  <si>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</si>
  <si>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</si>
  <si>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</si>
  <si>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</si>
  <si>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</si>
  <si>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</si>
  <si>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</si>
  <si>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</si>
  <si>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</si>
  <si>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</si>
  <si>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</si>
  <si>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</si>
  <si>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</si>
  <si>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</si>
  <si>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</si>
  <si>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</si>
  <si>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</si>
  <si>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</si>
  <si>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</si>
  <si>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</si>
  <si>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</si>
  <si>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</si>
  <si>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</si>
  <si>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</si>
  <si>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</si>
  <si>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</si>
  <si>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</si>
  <si>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</si>
  <si>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</si>
  <si>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</si>
  <si>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</si>
  <si>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</si>
  <si>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</si>
  <si>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</si>
  <si>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</si>
  <si>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</si>
  <si>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</si>
  <si>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</si>
  <si>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</si>
  <si>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</si>
  <si>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</si>
  <si>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</si>
  <si>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</si>
  <si>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</si>
  <si>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</si>
  <si>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</si>
  <si>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</si>
  <si>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</si>
  <si>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</si>
  <si>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</si>
  <si>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</si>
  <si>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</si>
  <si>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</si>
  <si>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</si>
  <si>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</si>
  <si>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</si>
  <si>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</si>
  <si>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</si>
  <si>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</si>
  <si>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</si>
  <si>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</si>
  <si>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</si>
  <si>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</si>
  <si>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</si>
  <si>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</si>
  <si>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</si>
  <si>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</si>
  <si>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</si>
  <si>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</si>
  <si>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</si>
  <si>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</si>
  <si>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</si>
  <si>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</si>
  <si>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</si>
  <si>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</si>
  <si>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</si>
  <si>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</si>
  <si>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</si>
  <si>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</si>
  <si>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</si>
  <si>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</si>
  <si>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</si>
  <si>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</si>
  <si>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</si>
  <si>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</si>
  <si>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</si>
  <si>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</si>
  <si>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</si>
  <si>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</si>
  <si>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</si>
  <si>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</si>
  <si>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</si>
  <si>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</si>
  <si>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</si>
  <si>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</si>
  <si>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</si>
  <si>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</si>
  <si>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</si>
  <si>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</si>
  <si>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</si>
  <si>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</si>
  <si>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</si>
  <si>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</si>
  <si>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</si>
  <si>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</si>
  <si>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</si>
  <si>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</si>
  <si>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</si>
  <si>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</si>
  <si>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</si>
  <si>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</si>
  <si>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</si>
  <si>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</si>
  <si>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</si>
  <si>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</si>
  <si>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</si>
  <si>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</si>
  <si>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</si>
  <si>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</si>
  <si>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</si>
  <si>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</si>
  <si>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</si>
  <si>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</si>
  <si>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</si>
  <si>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</si>
  <si>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</si>
  <si>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</si>
  <si>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</si>
  <si>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</si>
  <si>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</si>
  <si>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</si>
  <si>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</si>
  <si>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</si>
  <si>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</si>
  <si>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</si>
  <si>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</si>
  <si>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</si>
  <si>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</si>
  <si>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</si>
  <si>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</si>
  <si>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</si>
  <si>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</si>
  <si>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</si>
  <si>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</si>
  <si>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</si>
  <si>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</si>
  <si>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</si>
  <si>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</si>
  <si>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</si>
  <si>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</si>
  <si>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</si>
  <si>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</si>
  <si>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</si>
  <si>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</si>
  <si>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</si>
  <si>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</si>
  <si>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</si>
  <si>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</si>
  <si>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</si>
  <si>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</si>
  <si>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</si>
  <si>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</si>
  <si>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</si>
  <si>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</si>
  <si>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</si>
  <si>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</si>
  <si>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</si>
  <si>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</si>
  <si>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</si>
  <si>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</si>
  <si>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</si>
  <si>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</si>
  <si>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</si>
  <si>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</si>
  <si>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</si>
  <si>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</si>
  <si>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</si>
  <si>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</si>
  <si>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</si>
  <si>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</si>
  <si>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</si>
  <si>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</si>
  <si>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</si>
  <si>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</si>
  <si>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</si>
  <si>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</si>
  <si>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</si>
  <si>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</si>
  <si>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</si>
  <si>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</si>
  <si>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</si>
  <si>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</si>
  <si>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</si>
  <si>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</si>
  <si>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</si>
  <si>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</si>
  <si>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</si>
  <si>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</si>
  <si>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</si>
  <si>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</si>
  <si>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</si>
  <si>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</si>
  <si>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</si>
  <si>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</si>
  <si>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</si>
  <si>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</si>
  <si>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</si>
  <si>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</si>
  <si>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</si>
  <si>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</si>
  <si>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</si>
  <si>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</si>
  <si>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</si>
  <si>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</si>
  <si>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</si>
  <si>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</si>
  <si>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</si>
  <si>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</si>
  <si>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</si>
  <si>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</si>
  <si>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</si>
  <si>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</si>
  <si>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</si>
  <si>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</si>
  <si>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</si>
  <si>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</si>
  <si>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</si>
  <si>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</si>
  <si>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</si>
  <si>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</si>
  <si>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</si>
  <si>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</si>
  <si>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</si>
  <si>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</si>
  <si>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</si>
  <si>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</si>
  <si>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</si>
  <si>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</si>
  <si>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</si>
  <si>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</si>
  <si>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</si>
  <si>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</si>
  <si>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</si>
  <si>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</si>
  <si>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</si>
  <si>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</si>
  <si>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</si>
  <si>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</si>
  <si>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</si>
  <si>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</si>
  <si>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</si>
  <si>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</si>
  <si>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</si>
  <si>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</si>
  <si>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</si>
  <si>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</si>
  <si>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</si>
  <si>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</si>
  <si>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</si>
  <si>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</si>
  <si>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</si>
  <si>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</si>
  <si>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</si>
  <si>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</si>
  <si>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</si>
  <si>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</si>
  <si>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</si>
  <si>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</si>
  <si>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</si>
  <si>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</si>
  <si>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</si>
  <si>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</si>
  <si>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</si>
  <si>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</si>
  <si>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</si>
  <si>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</si>
  <si>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</si>
  <si>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</si>
  <si>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</si>
  <si>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</si>
  <si>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</si>
  <si>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</si>
  <si>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</si>
  <si>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</si>
  <si>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</si>
  <si>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</si>
  <si>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</si>
  <si>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</si>
  <si>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</si>
  <si>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</si>
  <si>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</si>
  <si>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</si>
  <si>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</si>
  <si>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</si>
  <si>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</si>
  <si>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</si>
  <si>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</si>
  <si>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</si>
  <si>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</si>
  <si>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</si>
  <si>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</si>
  <si>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</si>
  <si>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</si>
  <si>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</si>
  <si>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</si>
  <si>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</si>
  <si>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</si>
  <si>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</si>
  <si>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</si>
  <si>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</si>
  <si>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</si>
  <si>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</si>
  <si>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</si>
  <si>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</si>
  <si>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</si>
  <si>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</si>
  <si>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</si>
  <si>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</si>
  <si>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</si>
  <si>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</si>
  <si>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</si>
  <si>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</si>
  <si>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</si>
  <si>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</si>
  <si>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</si>
  <si>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</si>
  <si>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</si>
  <si>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</si>
  <si>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</si>
  <si>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</si>
  <si>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</si>
  <si>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</si>
  <si>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</si>
  <si>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</si>
  <si>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</si>
  <si>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</si>
  <si>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</si>
  <si>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</si>
  <si>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</si>
  <si>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</si>
  <si>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</si>
  <si>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</si>
  <si>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</si>
  <si>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</si>
  <si>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</si>
  <si>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</si>
  <si>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</si>
  <si>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</si>
  <si>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</si>
  <si>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</si>
  <si>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</si>
  <si>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</si>
  <si>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</si>
  <si>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</si>
  <si>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</si>
  <si>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</si>
  <si>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</si>
  <si>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</si>
  <si>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</si>
  <si>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</si>
  <si>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</si>
  <si>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</si>
  <si>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</si>
  <si>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</si>
  <si>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</si>
  <si>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</si>
  <si>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</si>
  <si>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</si>
  <si>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</si>
  <si>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</si>
  <si>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</si>
  <si>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</si>
  <si>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</si>
  <si>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</si>
  <si>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</si>
  <si>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</si>
  <si>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</si>
  <si>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</si>
  <si>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</si>
  <si>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</si>
  <si>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</si>
  <si>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</si>
  <si>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</si>
  <si>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</si>
  <si>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</si>
  <si>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</si>
  <si>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</si>
  <si>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</si>
  <si>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</si>
  <si>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</si>
  <si>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</si>
  <si>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</si>
  <si>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</si>
  <si>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</si>
  <si>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</si>
  <si>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</si>
  <si>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</si>
  <si>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</si>
  <si>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</si>
  <si>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</si>
  <si>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</si>
  <si>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</si>
  <si>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</si>
  <si>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</si>
  <si>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</si>
  <si>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</si>
  <si>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</si>
  <si>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</si>
  <si>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</si>
  <si>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</si>
  <si>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</si>
  <si>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</si>
  <si>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</si>
  <si>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</si>
  <si>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</si>
  <si>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</si>
  <si>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</si>
  <si>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</si>
  <si>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</si>
  <si>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</si>
  <si>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</si>
  <si>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</si>
  <si>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</si>
  <si>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</si>
  <si>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</si>
  <si>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</si>
  <si>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</si>
  <si>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</si>
  <si>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</si>
  <si>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</si>
  <si>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</si>
  <si>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</si>
  <si>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</si>
  <si>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</si>
  <si>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</si>
  <si>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</si>
  <si>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</si>
  <si>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</si>
  <si>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</si>
  <si>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</si>
  <si>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</si>
  <si>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</si>
  <si>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</si>
  <si>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</si>
  <si>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</si>
  <si>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</si>
  <si>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</si>
  <si>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</si>
  <si>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</si>
  <si>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</si>
  <si>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</si>
  <si>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</si>
  <si>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</si>
  <si>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</si>
  <si>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</si>
  <si>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</si>
  <si>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</si>
  <si>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</si>
  <si>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</si>
  <si>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</si>
  <si>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</si>
  <si>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</si>
  <si>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</si>
  <si>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</si>
  <si>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</si>
  <si>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</si>
  <si>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</si>
  <si>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</si>
  <si>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</si>
  <si>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</si>
  <si>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</si>
  <si>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</si>
  <si>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</si>
  <si>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</si>
  <si>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</si>
  <si>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</si>
  <si>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</si>
  <si>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</si>
  <si>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</si>
  <si>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</si>
  <si>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</si>
  <si>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</si>
  <si>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</si>
  <si>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</si>
  <si>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</si>
  <si>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</si>
  <si>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</si>
  <si>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</si>
  <si>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</si>
  <si>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</si>
  <si>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</si>
  <si>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</si>
  <si>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</si>
  <si>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</si>
  <si>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</si>
  <si>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</si>
  <si>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</si>
  <si>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</si>
  <si>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</si>
  <si>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</si>
  <si>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</si>
  <si>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</si>
  <si>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</si>
  <si>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</si>
  <si>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</si>
  <si>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</si>
  <si>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</si>
  <si>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</si>
  <si>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</si>
  <si>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</si>
  <si>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</si>
  <si>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</si>
  <si>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</si>
  <si>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</si>
  <si>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</si>
  <si>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</si>
  <si>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</si>
  <si>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</si>
  <si>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</si>
  <si>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</si>
  <si>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</si>
  <si>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</si>
  <si>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</si>
  <si>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</si>
  <si>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</si>
  <si>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</si>
  <si>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</si>
  <si>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</si>
  <si>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</si>
  <si>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</si>
  <si>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</si>
  <si>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</si>
  <si>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</si>
  <si>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</si>
  <si>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</si>
  <si>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</si>
  <si>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</si>
  <si>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</si>
  <si>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</si>
  <si>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</si>
  <si>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</si>
  <si>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</si>
  <si>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</si>
  <si>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</si>
  <si>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</si>
  <si>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</si>
  <si>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</si>
  <si>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</si>
  <si>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</si>
  <si>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</si>
  <si>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</si>
  <si>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</si>
  <si>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</si>
  <si>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</si>
  <si>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</si>
  <si>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</si>
  <si>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</si>
  <si>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</si>
  <si>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</si>
  <si>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</si>
  <si>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</si>
  <si>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</si>
  <si>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</si>
  <si>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</si>
  <si>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</si>
  <si>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</si>
  <si>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</si>
  <si>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</si>
  <si>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</si>
  <si>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</si>
  <si>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</si>
  <si>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</si>
  <si>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</si>
  <si>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</si>
  <si>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</si>
  <si>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</si>
  <si>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</si>
  <si>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</si>
  <si>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</si>
  <si>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</si>
  <si>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</si>
  <si>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</si>
  <si>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</si>
  <si>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</si>
  <si>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</si>
  <si>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</si>
  <si>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</si>
  <si>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</si>
  <si>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</si>
  <si>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</si>
  <si>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</si>
  <si>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</si>
  <si>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</si>
  <si>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</si>
  <si>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</si>
  <si>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</si>
  <si>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</si>
  <si>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</si>
  <si>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</si>
  <si>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</si>
  <si>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</si>
  <si>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</si>
  <si>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</si>
  <si>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</si>
  <si>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</si>
  <si>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</si>
  <si>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</si>
  <si>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</si>
  <si>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</si>
  <si>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</si>
  <si>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</si>
  <si>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</si>
  <si>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</si>
  <si>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</si>
  <si>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</si>
  <si>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</si>
  <si>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</si>
  <si>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</si>
  <si>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</si>
  <si>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</si>
  <si>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</si>
  <si>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</si>
  <si>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</si>
  <si>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</si>
  <si>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</si>
  <si>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</si>
  <si>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</si>
  <si>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</si>
  <si>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</si>
  <si>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</si>
  <si>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</si>
  <si>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</si>
  <si>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</si>
  <si>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</si>
  <si>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</si>
  <si>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</si>
  <si>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</si>
  <si>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</si>
  <si>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</si>
  <si>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</si>
  <si>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</si>
  <si>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</si>
  <si>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</si>
  <si>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</si>
  <si>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</si>
  <si>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</si>
  <si>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</si>
  <si>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</si>
  <si>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</si>
  <si>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</si>
  <si>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</si>
  <si>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</si>
  <si>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</si>
  <si>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</si>
  <si>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</si>
  <si>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</si>
  <si>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</si>
  <si>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</si>
  <si>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</si>
  <si>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</si>
  <si>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</si>
  <si>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</si>
  <si>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</si>
  <si>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</si>
  <si>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</si>
  <si>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</si>
  <si>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</si>
  <si>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</si>
  <si>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</si>
  <si>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</si>
  <si>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</si>
  <si>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</si>
  <si>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</si>
  <si>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</si>
  <si>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</si>
  <si>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</si>
  <si>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</si>
  <si>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</si>
  <si>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</si>
  <si>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</si>
  <si>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</si>
  <si>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</si>
  <si>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</si>
  <si>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</si>
  <si>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</si>
  <si>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</si>
  <si>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</si>
  <si>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</si>
  <si>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</si>
  <si>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</si>
  <si>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</si>
  <si>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</si>
  <si>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</si>
  <si>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</si>
  <si>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</si>
  <si>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</si>
  <si>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</si>
  <si>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</si>
  <si>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</si>
  <si>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</si>
  <si>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</si>
  <si>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</si>
  <si>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</si>
  <si>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</si>
  <si>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</si>
  <si>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</si>
  <si>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</si>
  <si>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</si>
  <si>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</si>
  <si>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</si>
  <si>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</si>
  <si>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</si>
  <si>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</si>
  <si>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</si>
  <si>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</si>
  <si>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</si>
  <si>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</si>
  <si>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</si>
  <si>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</si>
  <si>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</si>
  <si>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</si>
  <si>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</si>
  <si>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</si>
  <si>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</si>
  <si>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</si>
  <si>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</si>
  <si>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</si>
  <si>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</si>
  <si>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</si>
  <si>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</si>
  <si>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</si>
  <si>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</si>
  <si>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</si>
  <si>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</si>
  <si>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</si>
  <si>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</si>
  <si>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</si>
  <si>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</si>
  <si>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</si>
  <si>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</si>
  <si>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</si>
  <si>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</si>
  <si>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</si>
  <si>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</si>
  <si>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</si>
  <si>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</si>
  <si>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</si>
  <si>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</si>
  <si>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</si>
  <si>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</si>
  <si>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</si>
  <si>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</si>
  <si>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</si>
  <si>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</si>
  <si>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</si>
  <si>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</si>
  <si>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</si>
  <si>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</si>
  <si>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</si>
  <si>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</si>
  <si>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</si>
  <si>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</si>
  <si>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</si>
  <si>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</si>
  <si>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</si>
  <si>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</si>
  <si>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</si>
  <si>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</si>
  <si>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</si>
  <si>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</si>
  <si>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</si>
  <si>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</si>
  <si>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</si>
  <si>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</si>
  <si>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</si>
  <si>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</si>
  <si>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</si>
  <si>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</si>
  <si>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</si>
  <si>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</si>
  <si>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</si>
  <si>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</si>
  <si>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</si>
  <si>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</si>
  <si>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</si>
  <si>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</si>
  <si>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</si>
  <si>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</si>
  <si>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</si>
  <si>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</si>
  <si>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</si>
  <si>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</si>
  <si>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</si>
  <si>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</si>
  <si>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</si>
  <si>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</si>
  <si>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</si>
  <si>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</si>
  <si>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</si>
  <si>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</si>
  <si>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</si>
  <si>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</si>
  <si>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</si>
  <si>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</si>
  <si>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</si>
  <si>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</si>
  <si>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</si>
  <si>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</si>
  <si>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</si>
  <si>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</si>
  <si>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</si>
  <si>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</si>
  <si>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</si>
  <si>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</si>
  <si>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</si>
  <si>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</si>
  <si>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</si>
  <si>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</si>
  <si>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</si>
  <si>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</si>
  <si>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</si>
  <si>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</si>
  <si>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</si>
  <si>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</si>
  <si>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</si>
  <si>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</si>
  <si>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</si>
  <si>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</si>
  <si>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</si>
  <si>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</si>
  <si>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</si>
  <si>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</si>
  <si>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</si>
  <si>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</si>
  <si>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</si>
  <si>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</si>
  <si>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</si>
  <si>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</si>
  <si>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</si>
  <si>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</si>
  <si>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</si>
  <si>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</si>
  <si>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</si>
  <si>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</si>
  <si>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</si>
  <si>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</si>
  <si>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</si>
  <si>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</si>
  <si>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</si>
  <si>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</si>
  <si>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</si>
  <si>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</si>
  <si>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</si>
  <si>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</si>
  <si>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</si>
  <si>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</si>
  <si>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</si>
  <si>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</si>
  <si>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</si>
  <si>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</si>
  <si>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</si>
  <si>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</si>
  <si>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</si>
  <si>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</si>
  <si>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</si>
  <si>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</si>
  <si>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</si>
  <si>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</si>
  <si>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</si>
  <si>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</si>
  <si>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</si>
  <si>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</si>
  <si>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</si>
  <si>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</si>
  <si>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</si>
  <si>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</si>
  <si>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</si>
  <si>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</si>
  <si>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</si>
  <si>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</si>
  <si>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</si>
  <si>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</si>
  <si>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</si>
  <si>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</si>
  <si>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</si>
  <si>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</si>
  <si>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</si>
  <si>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</si>
  <si>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</si>
  <si>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</si>
  <si>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</si>
  <si>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</si>
  <si>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</si>
  <si>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</si>
  <si>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</si>
  <si>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</si>
  <si>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</si>
  <si>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</si>
  <si>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</si>
  <si>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</si>
  <si>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</si>
  <si>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</si>
  <si>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</si>
  <si>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</si>
  <si>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</si>
  <si>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</si>
  <si>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</si>
  <si>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</si>
  <si>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</si>
  <si>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</si>
  <si>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</si>
  <si>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</si>
  <si>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</si>
  <si>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</si>
  <si>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</si>
  <si>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</si>
  <si>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</si>
  <si>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</si>
  <si>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</si>
  <si>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</si>
  <si>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</si>
  <si>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</si>
  <si>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</si>
  <si>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</si>
  <si>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</si>
  <si>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</si>
  <si>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</si>
  <si>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</si>
  <si>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</si>
  <si>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</si>
  <si>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</si>
  <si>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</si>
  <si>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</si>
  <si>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</si>
  <si>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</si>
  <si>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</si>
  <si>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</si>
  <si>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</si>
  <si>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</si>
  <si>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</si>
  <si>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</si>
  <si>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</si>
  <si>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</si>
  <si>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</si>
  <si>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</si>
  <si>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</si>
  <si>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</si>
  <si>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</si>
  <si>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</si>
  <si>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</si>
  <si>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</si>
  <si>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</si>
  <si>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</si>
  <si>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</si>
  <si>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</si>
  <si>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</si>
  <si>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</si>
  <si>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</si>
  <si>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</si>
  <si>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</si>
  <si>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</si>
  <si>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</si>
  <si>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</si>
  <si>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</si>
  <si>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</si>
  <si>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</si>
  <si>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</si>
  <si>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</si>
  <si>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</si>
  <si>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</si>
  <si>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</si>
  <si>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</si>
  <si>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</si>
  <si>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</si>
  <si>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</si>
  <si>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</si>
  <si>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</si>
  <si>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</si>
  <si>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</si>
  <si>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</si>
  <si>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</si>
  <si>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</si>
  <si>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</si>
  <si>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</si>
  <si>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</si>
  <si>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</si>
  <si>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</si>
  <si>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</si>
  <si>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</si>
  <si>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</si>
  <si>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</si>
  <si>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</si>
  <si>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</si>
  <si>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</si>
  <si>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</si>
  <si>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</si>
  <si>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</si>
  <si>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</si>
  <si>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</si>
  <si>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</si>
  <si>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</si>
  <si>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</si>
  <si>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</si>
  <si>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</si>
  <si>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</si>
  <si>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</si>
  <si>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</si>
  <si>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</si>
  <si>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</si>
  <si>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</si>
  <si>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</si>
  <si>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</si>
  <si>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</si>
  <si>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</si>
  <si>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</si>
  <si>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</si>
  <si>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</si>
  <si>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</si>
  <si>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</si>
  <si>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</si>
  <si>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</si>
  <si>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</si>
  <si>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</si>
  <si>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</si>
  <si>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</si>
  <si>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</si>
  <si>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</si>
  <si>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</si>
  <si>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</si>
  <si>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</si>
  <si>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</si>
  <si>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</si>
  <si>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</si>
  <si>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</si>
  <si>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</si>
  <si>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</si>
  <si>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</si>
  <si>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</si>
  <si>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</si>
  <si>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</si>
  <si>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</si>
  <si>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</si>
  <si>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</si>
  <si>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</si>
  <si>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</si>
  <si>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</si>
  <si>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</si>
  <si>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</si>
  <si>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</si>
  <si>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</si>
  <si>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</si>
  <si>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</si>
  <si>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</si>
  <si>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</si>
  <si>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</si>
  <si>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</si>
  <si>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</si>
  <si>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</si>
  <si>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</si>
  <si>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</si>
  <si>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</si>
  <si>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</si>
  <si>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</si>
  <si>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</si>
  <si>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</si>
  <si>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</si>
  <si>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</si>
  <si>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</si>
  <si>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</si>
  <si>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</si>
  <si>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</si>
  <si>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</si>
  <si>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</si>
  <si>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</si>
  <si>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</si>
  <si>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</si>
  <si>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</si>
  <si>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</si>
  <si>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</si>
  <si>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</si>
  <si>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</si>
  <si>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</si>
  <si>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</si>
  <si>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</si>
  <si>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</si>
  <si>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</si>
  <si>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</si>
  <si>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</si>
  <si>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</si>
  <si>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</si>
  <si>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</si>
  <si>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</si>
  <si>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</si>
  <si>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</si>
  <si>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</si>
  <si>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</si>
  <si>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</si>
  <si>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</si>
  <si>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</si>
  <si>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</si>
  <si>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</si>
  <si>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</si>
  <si>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</si>
  <si>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</si>
  <si>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</si>
  <si>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</si>
  <si>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</si>
  <si>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</si>
  <si>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</si>
  <si>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</si>
  <si>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</si>
  <si>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</si>
  <si>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</si>
  <si>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</si>
  <si>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</si>
  <si>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</si>
  <si>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</si>
  <si>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</si>
  <si>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</si>
  <si>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</si>
  <si>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</si>
  <si>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</si>
  <si>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</si>
  <si>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</si>
  <si>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</si>
  <si>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</si>
  <si>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</si>
  <si>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</si>
  <si>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</si>
  <si>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</si>
  <si>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</si>
  <si>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</si>
  <si>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</si>
  <si>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</si>
  <si>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</si>
  <si>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</si>
  <si>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</si>
  <si>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</si>
  <si>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</si>
  <si>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</si>
  <si>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</si>
  <si>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</si>
  <si>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</si>
  <si>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</si>
  <si>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</si>
  <si>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</si>
  <si>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</si>
  <si>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</si>
  <si>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</si>
  <si>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</si>
  <si>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</si>
  <si>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</si>
  <si>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</si>
  <si>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</si>
  <si>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</si>
  <si>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</si>
  <si>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</si>
  <si>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</si>
  <si>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</si>
  <si>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</si>
  <si>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</si>
  <si>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</si>
  <si>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</si>
  <si>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</si>
  <si>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</si>
  <si>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</si>
  <si>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</si>
  <si>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</si>
  <si>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</si>
  <si>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</si>
  <si>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</si>
  <si>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</si>
  <si>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</si>
  <si>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</si>
  <si>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</si>
  <si>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</si>
  <si>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</si>
  <si>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</si>
  <si>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</si>
  <si>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</si>
  <si>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</si>
  <si>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</si>
  <si>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</si>
  <si>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</si>
  <si>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</si>
  <si>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</si>
  <si>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</si>
  <si>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</si>
  <si>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</si>
  <si>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</si>
  <si>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</si>
  <si>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</si>
  <si>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</si>
  <si>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</si>
  <si>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</si>
  <si>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</si>
  <si>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</si>
  <si>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</si>
  <si>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</si>
  <si>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</si>
  <si>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</si>
  <si>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</si>
  <si>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</si>
  <si>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</si>
  <si>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</si>
  <si>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</si>
  <si>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</si>
  <si>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</si>
  <si>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</si>
  <si>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</si>
  <si>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</si>
  <si>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</si>
  <si>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</si>
  <si>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</si>
  <si>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</si>
  <si>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</si>
  <si>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</si>
  <si>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</si>
  <si>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</si>
  <si>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</si>
  <si>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</si>
  <si>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</si>
  <si>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</si>
  <si>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</si>
  <si>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</si>
  <si>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</si>
  <si>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</si>
  <si>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</si>
  <si>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</si>
  <si>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</si>
  <si>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</si>
  <si>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</si>
  <si>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</si>
  <si>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</si>
  <si>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</si>
  <si>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</si>
  <si>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</si>
  <si>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</si>
  <si>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</si>
  <si>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</si>
  <si>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</si>
  <si>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</si>
  <si>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</si>
  <si>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</si>
  <si>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</si>
  <si>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</si>
  <si>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</si>
  <si>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</si>
  <si>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</si>
  <si>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</si>
  <si>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</si>
  <si>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</si>
  <si>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</si>
  <si>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</si>
  <si>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</si>
  <si>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</si>
  <si>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</si>
  <si>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</si>
  <si>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</si>
  <si>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</si>
  <si>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</si>
  <si>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</si>
  <si>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</si>
  <si>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</si>
  <si>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</si>
  <si>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</si>
  <si>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</si>
  <si>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</si>
  <si>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</si>
  <si>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</si>
  <si>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</si>
  <si>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</si>
  <si>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</si>
  <si>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</si>
  <si>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</si>
  <si>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</si>
  <si>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</si>
  <si>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</si>
  <si>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</si>
  <si>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</si>
  <si>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</si>
  <si>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</si>
  <si>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</si>
  <si>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</si>
  <si>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</si>
  <si>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</si>
  <si>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</si>
  <si>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</si>
  <si>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</si>
  <si>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</si>
  <si>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</si>
  <si>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</si>
  <si>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</si>
  <si>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</si>
  <si>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</si>
  <si>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</si>
  <si>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</si>
  <si>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</si>
  <si>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</si>
  <si>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</si>
  <si>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</si>
  <si>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</si>
  <si>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</si>
  <si>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</si>
  <si>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</si>
  <si>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</si>
  <si>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</si>
  <si>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</si>
  <si>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</si>
  <si>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</si>
  <si>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</si>
  <si>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</si>
  <si>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</si>
  <si>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</si>
  <si>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</si>
  <si>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</si>
  <si>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</si>
  <si>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</si>
  <si>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</si>
  <si>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</si>
  <si>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</si>
  <si>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</si>
  <si>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</si>
  <si>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</si>
  <si>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</si>
  <si>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</si>
  <si>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</si>
  <si>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</si>
  <si>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</si>
  <si>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</si>
  <si>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</si>
  <si>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</si>
  <si>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</si>
  <si>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</si>
  <si>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</si>
  <si>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</si>
  <si>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</si>
  <si>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</si>
  <si>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</si>
  <si>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</si>
  <si>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</si>
  <si>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</si>
  <si>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</si>
  <si>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</si>
  <si>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</si>
  <si>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</si>
  <si>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</si>
  <si>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</si>
  <si>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</si>
  <si>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</si>
  <si>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</si>
  <si>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</si>
  <si>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</si>
  <si>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</si>
  <si>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</si>
  <si>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</si>
  <si>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</si>
  <si>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</si>
  <si>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</si>
  <si>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</si>
  <si>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</si>
  <si>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</si>
  <si>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</si>
  <si>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</si>
  <si>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</si>
  <si>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</si>
  <si>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</si>
  <si>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</si>
  <si>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</si>
  <si>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</si>
  <si>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</si>
  <si>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</si>
  <si>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</si>
  <si>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</si>
  <si>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</si>
  <si>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</si>
  <si>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</si>
  <si>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</si>
  <si>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</si>
  <si>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</si>
  <si>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</si>
  <si>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</si>
  <si>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</si>
  <si>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</si>
  <si>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</si>
  <si>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</si>
  <si>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</si>
  <si>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</si>
  <si>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</si>
  <si>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</si>
  <si>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</si>
  <si>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</si>
  <si>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</si>
  <si>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</si>
  <si>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</si>
  <si>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</si>
  <si>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</si>
  <si>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</si>
  <si>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</si>
  <si>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</si>
  <si>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</si>
  <si>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</si>
  <si>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</si>
  <si>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</si>
  <si>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</si>
  <si>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</si>
  <si>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</si>
  <si>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</si>
  <si>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</si>
  <si>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</si>
  <si>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</si>
  <si>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</si>
  <si>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</si>
  <si>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</si>
  <si>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</si>
  <si>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</si>
  <si>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</si>
  <si>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</si>
  <si>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</si>
  <si>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</si>
  <si>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</si>
  <si>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</si>
  <si>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</si>
  <si>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</si>
  <si>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</si>
  <si>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</si>
  <si>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</si>
  <si>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</si>
  <si>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</si>
  <si>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</si>
  <si>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</si>
  <si>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</si>
  <si>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</si>
  <si>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</si>
  <si>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</si>
  <si>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</si>
  <si>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</si>
  <si>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</si>
  <si>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</si>
  <si>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</si>
  <si>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</si>
  <si>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</si>
  <si>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</si>
  <si>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</si>
  <si>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</si>
  <si>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</si>
  <si>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</si>
  <si>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</si>
  <si>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</si>
  <si>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</si>
  <si>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</si>
  <si>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</si>
  <si>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</si>
  <si>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</si>
  <si>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</si>
  <si>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</si>
  <si>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</si>
  <si>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</si>
  <si>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</si>
  <si>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</si>
  <si>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</si>
  <si>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</si>
  <si>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</si>
  <si>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</si>
  <si>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</si>
  <si>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</si>
  <si>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</si>
  <si>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</si>
  <si>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</si>
  <si>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</si>
  <si>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</si>
  <si>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</si>
  <si>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</si>
  <si>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</si>
  <si>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</si>
  <si>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</si>
  <si>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</si>
  <si>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</si>
  <si>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</si>
  <si>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</si>
  <si>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</si>
  <si>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</si>
  <si>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</si>
  <si>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</si>
  <si>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</si>
  <si>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</si>
  <si>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</si>
  <si>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</si>
  <si>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</si>
  <si>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</si>
  <si>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</si>
  <si>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</si>
  <si>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</si>
  <si>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</si>
  <si>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</si>
  <si>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</si>
  <si>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</si>
  <si>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</si>
  <si>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</si>
  <si>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</si>
  <si>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</si>
  <si>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</si>
  <si>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</si>
  <si>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</si>
  <si>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</si>
  <si>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</si>
  <si>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</si>
  <si>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</si>
  <si>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</si>
  <si>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</si>
  <si>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</si>
  <si>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</si>
  <si>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</si>
  <si>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</si>
  <si>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</si>
  <si>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</si>
  <si>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</si>
  <si>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</si>
  <si>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</si>
  <si>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</si>
  <si>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</si>
  <si>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</si>
  <si>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</si>
  <si>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</si>
  <si>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</si>
  <si>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</si>
  <si>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</si>
  <si>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</si>
  <si>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</si>
  <si>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</si>
  <si>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</si>
  <si>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</si>
  <si>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</si>
  <si>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</si>
  <si>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</si>
  <si>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</si>
  <si>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</si>
  <si>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</si>
  <si>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</si>
  <si>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</si>
  <si>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</si>
  <si>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</si>
  <si>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</si>
  <si>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</si>
  <si>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</si>
  <si>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</si>
  <si>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</si>
  <si>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</si>
  <si>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</si>
  <si>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</si>
  <si>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</si>
  <si>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</si>
  <si>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</si>
  <si>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</si>
  <si>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</si>
  <si>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</si>
  <si>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</si>
  <si>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</si>
  <si>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</si>
  <si>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</si>
  <si>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</si>
  <si>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</si>
  <si>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</si>
  <si>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</si>
  <si>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</si>
  <si>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</si>
  <si>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</si>
  <si>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</si>
  <si>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</si>
  <si>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</si>
  <si>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</si>
  <si>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</si>
  <si>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</si>
  <si>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</si>
  <si>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</si>
  <si>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</si>
  <si>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</si>
  <si>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</si>
  <si>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</si>
  <si>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</si>
  <si>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</si>
  <si>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</si>
  <si>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</si>
  <si>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</si>
  <si>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</si>
  <si>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</si>
  <si>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</si>
  <si>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</si>
  <si>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</si>
  <si>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</si>
  <si>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</si>
  <si>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</si>
  <si>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</si>
  <si>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</si>
  <si>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</si>
  <si>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</si>
  <si>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</si>
  <si>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</si>
  <si>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</si>
  <si>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</si>
  <si>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</si>
  <si>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</si>
  <si>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</si>
  <si>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</si>
  <si>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</si>
  <si>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</si>
  <si>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</si>
  <si>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</si>
  <si>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</si>
  <si>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</si>
  <si>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</si>
  <si>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</si>
  <si>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</si>
  <si>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</si>
  <si>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</si>
  <si>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</si>
  <si>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</si>
  <si>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</si>
  <si>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</si>
  <si>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</si>
  <si>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</si>
  <si>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</si>
  <si>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</si>
  <si>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</si>
  <si>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</si>
  <si>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</si>
  <si>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</si>
  <si>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</si>
  <si>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</si>
  <si>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</si>
  <si>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</si>
  <si>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</si>
  <si>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</si>
  <si>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</si>
  <si>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</si>
  <si>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</si>
  <si>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</si>
  <si>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</si>
  <si>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</si>
  <si>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</si>
  <si>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</si>
  <si>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</si>
  <si>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</si>
  <si>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</si>
  <si>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</si>
  <si>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</si>
  <si>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</si>
  <si>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</si>
  <si>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</si>
  <si>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</si>
  <si>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</si>
  <si>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</si>
  <si>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</si>
  <si>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</si>
  <si>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</si>
  <si>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</si>
  <si>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</si>
  <si>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</si>
  <si>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</si>
  <si>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</si>
  <si>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</si>
  <si>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</si>
  <si>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</si>
  <si>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</si>
  <si>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</si>
  <si>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</si>
  <si>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</si>
  <si>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</si>
  <si>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</si>
  <si>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</si>
  <si>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</si>
  <si>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</si>
  <si>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</si>
  <si>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</si>
  <si>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</si>
  <si>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</si>
  <si>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</si>
  <si>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</si>
  <si>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</si>
  <si>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</si>
  <si>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</si>
  <si>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</si>
  <si>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</si>
  <si>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</si>
  <si>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</si>
  <si>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</si>
  <si>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</si>
  <si>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</si>
  <si>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</si>
  <si>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</si>
  <si>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</si>
  <si>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</si>
  <si>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</si>
  <si>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</si>
  <si>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</si>
  <si>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</si>
  <si>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</si>
  <si>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</si>
  <si>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</si>
  <si>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</si>
  <si>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</si>
  <si>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</si>
  <si>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</si>
  <si>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</si>
  <si>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</si>
  <si>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</si>
  <si>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</si>
  <si>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</si>
  <si>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</si>
  <si>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</si>
  <si>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</si>
  <si>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</si>
  <si>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</si>
  <si>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</si>
  <si>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</si>
  <si>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</si>
  <si>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</si>
  <si>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</si>
  <si>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</si>
  <si>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</si>
  <si>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</si>
  <si>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</si>
  <si>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</si>
  <si>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</si>
  <si>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</si>
  <si>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</si>
  <si>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</si>
  <si>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</si>
  <si>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</si>
  <si>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</si>
  <si>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</si>
  <si>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</si>
  <si>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</si>
  <si>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</si>
  <si>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</si>
  <si>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</si>
  <si>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</si>
  <si>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</si>
  <si>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</si>
  <si>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</si>
  <si>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</si>
  <si>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</si>
  <si>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</si>
  <si>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</si>
  <si>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</si>
  <si>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</si>
  <si>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</si>
  <si>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</si>
  <si>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</si>
  <si>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</si>
  <si>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</si>
  <si>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</si>
  <si>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</si>
  <si>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</si>
  <si>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</si>
  <si>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</si>
  <si>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</si>
  <si>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</si>
  <si>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</si>
  <si>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</si>
  <si>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</si>
  <si>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</si>
  <si>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</si>
  <si>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</si>
  <si>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</si>
  <si>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</si>
  <si>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</si>
  <si>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</si>
  <si>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</si>
  <si>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</si>
  <si>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</si>
  <si>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</si>
  <si>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</si>
  <si>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</si>
  <si>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</si>
  <si>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</si>
  <si>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</si>
  <si>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</si>
  <si>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</si>
  <si>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</si>
  <si>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</si>
  <si>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</si>
  <si>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</si>
  <si>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</si>
  <si>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</si>
  <si>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</si>
  <si>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</si>
  <si>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</si>
  <si>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</si>
  <si>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</si>
  <si>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</si>
  <si>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</si>
  <si>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</si>
  <si>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</si>
  <si>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</si>
  <si>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</si>
  <si>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</si>
  <si>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</si>
  <si>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</si>
  <si>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</si>
  <si>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</si>
  <si>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</si>
  <si>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</si>
  <si>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</si>
  <si>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</si>
  <si>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</si>
  <si>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</si>
  <si>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</si>
  <si>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</si>
  <si>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</si>
  <si>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</si>
  <si>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</si>
  <si>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</si>
  <si>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</si>
  <si>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</si>
  <si>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</si>
  <si>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</si>
  <si>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</si>
  <si>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</si>
  <si>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</si>
  <si>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</si>
  <si>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</si>
  <si>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</si>
  <si>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</si>
  <si>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</si>
  <si>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</si>
  <si>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</si>
  <si>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</si>
  <si>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</si>
  <si>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</si>
  <si>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</si>
  <si>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</si>
  <si>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</si>
  <si>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</si>
  <si>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</si>
  <si>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</si>
  <si>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</si>
  <si>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</si>
  <si>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</si>
  <si>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</si>
  <si>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</si>
  <si>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</si>
  <si>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</si>
  <si>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</si>
  <si>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</si>
  <si>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</si>
  <si>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</si>
  <si>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</si>
  <si>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</si>
  <si>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</si>
  <si>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</si>
  <si>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</si>
  <si>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</si>
  <si>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</si>
  <si>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</si>
  <si>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</si>
  <si>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</si>
  <si>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</si>
  <si>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</si>
  <si>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</si>
  <si>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</si>
  <si>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</si>
  <si>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</si>
  <si>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</si>
  <si>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</si>
  <si>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</si>
  <si>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</si>
  <si>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</si>
  <si>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</si>
  <si>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</si>
  <si>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</si>
  <si>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</si>
  <si>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</si>
  <si>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</si>
  <si>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</si>
  <si>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</si>
  <si>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</si>
  <si>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</si>
  <si>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</si>
  <si>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</si>
  <si>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</si>
  <si>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</si>
  <si>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</si>
  <si>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</si>
  <si>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</si>
  <si>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</si>
  <si>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</si>
  <si>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</si>
  <si>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</si>
  <si>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</si>
  <si>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</si>
  <si>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</si>
  <si>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</si>
  <si>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</si>
  <si>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</si>
  <si>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</si>
  <si>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</si>
  <si>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</si>
  <si>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</si>
  <si>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</si>
  <si>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</si>
  <si>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</si>
  <si>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</si>
  <si>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</si>
  <si>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</si>
  <si>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</si>
  <si>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</si>
  <si>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</si>
  <si>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</si>
  <si>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</si>
  <si>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</si>
  <si>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</si>
  <si>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</si>
  <si>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</si>
  <si>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</si>
  <si>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</si>
  <si>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</si>
  <si>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</si>
  <si>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</si>
  <si>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</si>
  <si>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</si>
  <si>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</si>
  <si>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</si>
  <si>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</si>
  <si>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</si>
  <si>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</si>
  <si>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</si>
  <si>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</si>
  <si>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</si>
  <si>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</si>
  <si>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</si>
  <si>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</si>
  <si>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</si>
  <si>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</si>
  <si>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</si>
  <si>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</si>
  <si>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</si>
  <si>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</si>
  <si>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</si>
  <si>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</si>
  <si>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</si>
  <si>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</si>
  <si>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</si>
  <si>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</si>
  <si>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</si>
  <si>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</si>
  <si>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</si>
  <si>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</si>
  <si>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</si>
  <si>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</si>
  <si>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</si>
  <si>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</si>
  <si>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</si>
  <si>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</si>
  <si>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</si>
  <si>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</si>
  <si>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</si>
  <si>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</si>
  <si>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</si>
  <si>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</si>
  <si>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</si>
  <si>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</si>
  <si>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</si>
  <si>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</si>
  <si>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</si>
  <si>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</si>
  <si>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</si>
  <si>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</si>
  <si>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</si>
  <si>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</si>
  <si>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</si>
  <si>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</si>
  <si>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</si>
  <si>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</si>
  <si>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</si>
  <si>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</si>
  <si>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</si>
  <si>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</si>
  <si>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</si>
  <si>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</si>
  <si>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</si>
  <si>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</si>
  <si>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</si>
  <si>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</si>
  <si>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</si>
  <si>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</si>
  <si>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</si>
  <si>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</si>
  <si>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</si>
  <si>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</si>
  <si>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</si>
  <si>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</si>
  <si>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</si>
  <si>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</si>
  <si>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</si>
  <si>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</si>
  <si>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</si>
  <si>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</si>
  <si>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</si>
  <si>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</si>
  <si>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</si>
  <si>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</si>
  <si>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</si>
  <si>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</si>
  <si>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</si>
  <si>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</si>
  <si>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</si>
  <si>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</si>
  <si>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</si>
  <si>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</si>
  <si>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</si>
  <si>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</si>
  <si>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</si>
  <si>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</si>
  <si>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</si>
  <si>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</si>
  <si>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</si>
  <si>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</si>
  <si>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</si>
  <si>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</si>
  <si>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</si>
  <si>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</si>
  <si>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</si>
  <si>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</si>
  <si>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</si>
  <si>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</si>
  <si>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</si>
  <si>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</si>
  <si>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</si>
  <si>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</si>
  <si>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</si>
  <si>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</si>
  <si>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</si>
  <si>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</si>
  <si>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</si>
  <si>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</si>
  <si>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</si>
  <si>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</si>
  <si>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</si>
  <si>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</si>
  <si>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</si>
  <si>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</si>
  <si>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</si>
  <si>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</si>
  <si>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</si>
  <si>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</si>
  <si>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</si>
  <si>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</si>
  <si>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</si>
  <si>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</si>
  <si>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</si>
  <si>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</si>
  <si>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</si>
  <si>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</si>
  <si>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</si>
  <si>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</si>
  <si>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</si>
  <si>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</si>
  <si>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</si>
  <si>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</si>
  <si>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</si>
  <si>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</si>
  <si>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</si>
  <si>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</si>
  <si>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</si>
  <si>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</si>
  <si>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</si>
  <si>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</si>
  <si>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</si>
  <si>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</si>
  <si>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</si>
  <si>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</si>
  <si>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</si>
  <si>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</si>
  <si>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</si>
  <si>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</si>
  <si>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</si>
  <si>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</si>
  <si>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</si>
  <si>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</si>
  <si>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</si>
  <si>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</si>
  <si>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</si>
  <si>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</si>
  <si>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</si>
  <si>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</si>
  <si>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</si>
  <si>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</si>
  <si>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</si>
  <si>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</si>
  <si>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</si>
  <si>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</si>
  <si>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</si>
  <si>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</si>
  <si>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</si>
  <si>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</si>
  <si>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</si>
  <si>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</si>
  <si>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</si>
  <si>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</si>
  <si>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</si>
  <si>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</si>
  <si>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</si>
  <si>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</si>
  <si>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</si>
  <si>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</si>
  <si>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</si>
  <si>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</si>
  <si>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</si>
  <si>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</si>
  <si>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</si>
  <si>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</si>
  <si>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</si>
  <si>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</si>
  <si>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</si>
  <si>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</si>
  <si>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</si>
  <si>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</si>
  <si>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</si>
  <si>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</si>
  <si>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</si>
  <si>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</si>
  <si>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</si>
  <si>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</si>
  <si>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</si>
  <si>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</si>
  <si>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</si>
  <si>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</si>
  <si>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</si>
  <si>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</si>
  <si>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</si>
  <si>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</si>
  <si>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</si>
  <si>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</si>
  <si>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</si>
  <si>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</si>
  <si>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</si>
  <si>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</si>
  <si>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</si>
  <si>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</si>
  <si>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</si>
  <si>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</si>
  <si>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</si>
  <si>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</si>
  <si>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</si>
  <si>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</si>
  <si>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</si>
  <si>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</si>
  <si>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</si>
  <si>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</si>
  <si>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</si>
  <si>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</si>
  <si>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</si>
  <si>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</si>
  <si>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</si>
  <si>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</si>
  <si>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</si>
  <si>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</si>
  <si>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</si>
  <si>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</si>
  <si>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</si>
  <si>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</si>
  <si>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</si>
  <si>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</si>
  <si>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</si>
  <si>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</si>
  <si>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</si>
  <si>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</si>
  <si>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</si>
  <si>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</si>
  <si>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</si>
  <si>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</si>
  <si>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</si>
  <si>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</si>
  <si>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</si>
  <si>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</si>
  <si>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</si>
  <si>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</si>
  <si>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</si>
  <si>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</si>
  <si>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</si>
  <si>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</si>
  <si>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</si>
  <si>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</si>
  <si>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</si>
  <si>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</si>
  <si>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</si>
  <si>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</si>
  <si>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</si>
  <si>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</si>
  <si>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</si>
  <si>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</si>
  <si>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</si>
  <si>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</si>
  <si>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</si>
  <si>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</si>
  <si>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</si>
  <si>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</si>
  <si>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</si>
  <si>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</si>
  <si>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</si>
  <si>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</si>
  <si>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</si>
  <si>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</si>
  <si>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</si>
  <si>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</si>
  <si>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</si>
  <si>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</si>
  <si>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</si>
  <si>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</si>
  <si>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</si>
  <si>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</si>
  <si>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</si>
  <si>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</si>
  <si>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</si>
  <si>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</si>
  <si>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</si>
  <si>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</si>
  <si>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</si>
  <si>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</si>
  <si>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</si>
  <si>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</si>
  <si>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</si>
  <si>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</si>
  <si>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</si>
  <si>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</si>
  <si>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</si>
  <si>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</si>
  <si>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</si>
  <si>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</si>
  <si>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</si>
  <si>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</si>
  <si>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</si>
  <si>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</si>
  <si>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</si>
  <si>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</si>
  <si>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</si>
  <si>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</si>
  <si>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</si>
  <si>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</si>
  <si>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</si>
  <si>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</si>
  <si>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</si>
  <si>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</si>
  <si>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</si>
  <si>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</si>
  <si>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</si>
  <si>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</si>
  <si>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</si>
  <si>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</si>
  <si>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</si>
  <si>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</si>
  <si>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</si>
  <si>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</si>
  <si>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</si>
  <si>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</si>
  <si>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</si>
  <si>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</si>
  <si>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</si>
  <si>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</si>
  <si>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</si>
  <si>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</si>
  <si>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</si>
  <si>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</si>
  <si>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</si>
  <si>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</si>
  <si>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</si>
  <si>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</si>
  <si>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</si>
  <si>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</si>
  <si>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</si>
  <si>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</si>
  <si>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</si>
  <si>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</si>
  <si>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</si>
  <si>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</si>
  <si>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</si>
  <si>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</si>
  <si>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</si>
  <si>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</si>
  <si>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</si>
  <si>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</si>
  <si>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</si>
  <si>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</si>
  <si>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</si>
  <si>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</si>
  <si>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</si>
  <si>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</si>
  <si>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</si>
  <si>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</si>
  <si>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</si>
  <si>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</si>
  <si>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</si>
  <si>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</si>
  <si>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</si>
  <si>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</si>
  <si>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</si>
  <si>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</si>
  <si>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</si>
  <si>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</si>
  <si>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</si>
  <si>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</si>
  <si>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</si>
  <si>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</si>
  <si>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</si>
  <si>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</si>
  <si>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</si>
  <si>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</si>
  <si>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</si>
  <si>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</si>
  <si>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</si>
  <si>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</si>
  <si>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</si>
  <si>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</si>
  <si>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</si>
  <si>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</si>
  <si>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</si>
  <si>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</si>
  <si>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</si>
  <si>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</si>
  <si>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</si>
  <si>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</si>
  <si>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</si>
  <si>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</si>
  <si>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</si>
  <si>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</si>
  <si>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</si>
  <si>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</si>
  <si>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</si>
  <si>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</si>
  <si>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</si>
  <si>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</si>
  <si>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</si>
  <si>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</si>
  <si>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</si>
  <si>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</si>
  <si>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</si>
  <si>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</si>
  <si>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</si>
  <si>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</si>
  <si>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</si>
  <si>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</si>
  <si>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</si>
  <si>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</si>
  <si>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</si>
  <si>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</si>
  <si>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</si>
  <si>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</si>
  <si>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</si>
  <si>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</si>
  <si>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</si>
  <si>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</si>
  <si>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</si>
  <si>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</si>
  <si>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</si>
  <si>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</si>
  <si>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</si>
  <si>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</si>
  <si>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</si>
  <si>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</si>
  <si>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</si>
  <si>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</si>
  <si>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</si>
  <si>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</si>
  <si>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</si>
  <si>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</si>
  <si>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</si>
  <si>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</si>
  <si>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</si>
  <si>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</si>
  <si>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</si>
  <si>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</si>
  <si>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</si>
  <si>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</si>
  <si>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</si>
  <si>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</si>
  <si>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</si>
  <si>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</si>
  <si>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</si>
  <si>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</si>
  <si>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</si>
  <si>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</si>
  <si>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</si>
  <si>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</si>
  <si>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</si>
  <si>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</si>
  <si>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</si>
  <si>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</si>
  <si>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</si>
  <si>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</si>
  <si>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</si>
  <si>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</si>
  <si>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</si>
  <si>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</si>
  <si>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</si>
  <si>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</si>
  <si>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</si>
  <si>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</si>
  <si>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</si>
  <si>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</si>
  <si>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</si>
  <si>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</si>
  <si>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</si>
  <si>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</si>
  <si>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</si>
  <si>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</si>
  <si>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</si>
  <si>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</si>
  <si>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</si>
  <si>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</si>
  <si>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</si>
  <si>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</si>
  <si>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</si>
  <si>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</si>
  <si>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</si>
  <si>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</si>
  <si>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</si>
  <si>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</si>
  <si>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</si>
  <si>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</si>
  <si>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</si>
  <si>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</si>
  <si>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</si>
  <si>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</si>
  <si>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</si>
  <si>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</si>
  <si>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</si>
  <si>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</si>
  <si>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</si>
  <si>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</si>
  <si>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</si>
  <si>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</si>
  <si>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</si>
  <si>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</si>
  <si>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</si>
  <si>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</si>
  <si>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</si>
  <si>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</si>
  <si>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</si>
  <si>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</si>
  <si>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</si>
  <si>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</si>
  <si>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</si>
  <si>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</si>
  <si>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</si>
  <si>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</si>
  <si>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</si>
  <si>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</si>
  <si>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</si>
  <si>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</si>
  <si>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</si>
  <si>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</si>
  <si>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</si>
  <si>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</si>
  <si>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</si>
  <si>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</si>
  <si>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</si>
  <si>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</si>
  <si>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</si>
  <si>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</si>
  <si>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</si>
  <si>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</si>
  <si>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</si>
  <si>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</si>
  <si>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</si>
  <si>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</si>
  <si>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</si>
  <si>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</si>
  <si>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</si>
  <si>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</si>
  <si>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</si>
  <si>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</si>
  <si>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</si>
  <si>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</si>
  <si>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</si>
  <si>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</si>
  <si>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</si>
  <si>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</si>
  <si>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</si>
  <si>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</si>
  <si>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</si>
  <si>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</si>
  <si>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</si>
  <si>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</si>
  <si>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</si>
  <si>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</si>
  <si>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</si>
  <si>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</si>
  <si>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</si>
  <si>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</si>
  <si>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</si>
  <si>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</si>
  <si>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</si>
  <si>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</si>
  <si>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</si>
  <si>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</si>
  <si>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</si>
  <si>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</si>
  <si>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</si>
  <si>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</si>
  <si>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</si>
  <si>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</si>
  <si>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</si>
  <si>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</si>
  <si>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</si>
  <si>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</si>
  <si>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</si>
  <si>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</si>
  <si>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</si>
  <si>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</si>
  <si>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</si>
  <si>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</si>
  <si>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</si>
  <si>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</si>
  <si>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</si>
  <si>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</si>
  <si>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</si>
  <si>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</si>
  <si>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</si>
  <si>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</si>
  <si>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</si>
  <si>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</si>
  <si>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</si>
  <si>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</si>
  <si>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</si>
  <si>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</si>
  <si>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</si>
  <si>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</si>
  <si>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</si>
  <si>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</si>
  <si>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</si>
  <si>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</si>
  <si>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</si>
  <si>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</si>
  <si>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</si>
  <si>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</si>
  <si>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</si>
  <si>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</si>
  <si>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</si>
  <si>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</si>
  <si>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</si>
  <si>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</si>
  <si>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</si>
  <si>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</si>
  <si>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</si>
  <si>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</si>
  <si>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</si>
  <si>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</si>
  <si>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</si>
  <si>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</si>
  <si>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</si>
  <si>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</si>
  <si>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</si>
  <si>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</si>
  <si>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</si>
  <si>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</si>
  <si>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</si>
  <si>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</si>
  <si>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</si>
  <si>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</si>
  <si>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</si>
  <si>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</si>
  <si>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</si>
  <si>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</si>
  <si>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</si>
  <si>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</si>
  <si>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</si>
  <si>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</si>
  <si>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</si>
  <si>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</si>
  <si>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</si>
  <si>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</si>
  <si>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</si>
  <si>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</si>
  <si>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</si>
  <si>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</si>
  <si>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</si>
  <si>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</si>
  <si>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</si>
  <si>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</si>
  <si>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</si>
  <si>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</si>
  <si>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</si>
  <si>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</si>
  <si>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</si>
  <si>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</si>
  <si>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</si>
  <si>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</si>
  <si>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</si>
  <si>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</si>
  <si>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</si>
  <si>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</si>
  <si>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</si>
  <si>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</si>
  <si>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</si>
  <si>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</si>
  <si>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</si>
  <si>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</si>
  <si>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</si>
  <si>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</si>
  <si>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</si>
  <si>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</si>
  <si>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</si>
  <si>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</si>
  <si>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</si>
  <si>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</si>
  <si>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</si>
  <si>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</si>
  <si>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</si>
  <si>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</si>
  <si>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</si>
  <si>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</si>
  <si>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</si>
  <si>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</si>
  <si>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</si>
  <si>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</si>
  <si>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</si>
  <si>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</si>
  <si>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</si>
  <si>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</si>
  <si>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</si>
  <si>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</si>
  <si>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</si>
  <si>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</si>
  <si>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</si>
  <si>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</si>
  <si>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</si>
  <si>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</si>
  <si>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</si>
  <si>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</si>
  <si>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</si>
  <si>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</si>
  <si>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</si>
  <si>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</si>
  <si>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</si>
  <si>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</si>
  <si>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</si>
  <si>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</si>
  <si>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</si>
  <si>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</si>
  <si>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</si>
  <si>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</si>
  <si>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</si>
  <si>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</si>
  <si>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</si>
  <si>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</si>
  <si>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</si>
  <si>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</si>
  <si>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</si>
  <si>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</si>
  <si>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</si>
  <si>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</si>
  <si>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</si>
  <si>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</si>
  <si>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</si>
  <si>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</si>
  <si>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</si>
  <si>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</si>
  <si>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</si>
  <si>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</si>
  <si>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</si>
  <si>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</si>
  <si>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</si>
  <si>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</si>
  <si>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</si>
  <si>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</si>
  <si>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</si>
  <si>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</si>
  <si>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</si>
  <si>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</si>
  <si>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</si>
  <si>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</si>
  <si>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</si>
  <si>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</si>
  <si>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</si>
  <si>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</si>
  <si>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</si>
  <si>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</si>
  <si>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</si>
  <si>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</si>
  <si>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</si>
  <si>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</si>
  <si>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</si>
  <si>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</si>
  <si>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</si>
  <si>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</si>
  <si>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</si>
  <si>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</si>
  <si>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</si>
  <si>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</si>
  <si>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</si>
  <si>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</si>
  <si>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</si>
  <si>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</si>
  <si>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</si>
  <si>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</si>
  <si>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</si>
  <si>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</si>
  <si>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</si>
  <si>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</si>
  <si>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</si>
  <si>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</si>
  <si>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</si>
  <si>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</si>
  <si>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</si>
  <si>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</si>
  <si>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</si>
  <si>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</si>
  <si>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</si>
  <si>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</si>
  <si>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</si>
  <si>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</si>
  <si>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</si>
  <si>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</si>
  <si>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</si>
  <si>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</si>
  <si>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</si>
  <si>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</si>
  <si>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</si>
  <si>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</si>
  <si>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</si>
  <si>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</si>
  <si>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</si>
  <si>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</si>
  <si>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</si>
  <si>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</si>
  <si>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</si>
  <si>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</si>
  <si>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</si>
  <si>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</si>
  <si>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</si>
  <si>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</si>
  <si>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</si>
  <si>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</si>
  <si>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</si>
  <si>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</si>
  <si>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</si>
  <si>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</si>
  <si>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</si>
  <si>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</si>
  <si>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</si>
  <si>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</si>
  <si>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</si>
  <si>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</si>
  <si>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</si>
  <si>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</si>
  <si>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</si>
  <si>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</si>
  <si>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</si>
  <si>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</si>
  <si>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</si>
  <si>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</si>
  <si>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</si>
  <si>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</si>
  <si>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</si>
  <si>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</si>
  <si>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</si>
  <si>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</si>
  <si>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</si>
  <si>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</si>
  <si>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</si>
  <si>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</si>
  <si>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</si>
  <si>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</si>
  <si>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</si>
  <si>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</si>
  <si>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</si>
  <si>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</si>
  <si>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</si>
  <si>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</si>
  <si>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</si>
  <si>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</si>
  <si>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</si>
  <si>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</si>
  <si>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</si>
  <si>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</si>
  <si>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</si>
  <si>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</si>
  <si>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</si>
  <si>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</si>
  <si>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</si>
  <si>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</si>
  <si>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</si>
  <si>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</si>
  <si>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</si>
  <si>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</si>
  <si>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</si>
  <si>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</si>
  <si>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</si>
  <si>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</si>
  <si>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</si>
  <si>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</si>
  <si>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</si>
  <si>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</si>
  <si>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</si>
  <si>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</si>
  <si>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</si>
  <si>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</si>
  <si>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</si>
  <si>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</si>
  <si>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</si>
  <si>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</si>
  <si>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</si>
  <si>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</si>
  <si>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</si>
  <si>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</si>
  <si>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</si>
  <si>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</si>
  <si>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</si>
  <si>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</si>
  <si>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</si>
  <si>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</si>
  <si>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</si>
  <si>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</si>
  <si>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</si>
  <si>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</si>
  <si>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</si>
  <si>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</si>
  <si>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</si>
  <si>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</si>
  <si>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</si>
  <si>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</si>
  <si>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</si>
  <si>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</si>
  <si>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</si>
  <si>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</si>
  <si>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</si>
  <si>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</si>
  <si>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</si>
  <si>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</si>
  <si>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</si>
  <si>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</si>
  <si>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</si>
  <si>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</si>
  <si>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</si>
  <si>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</si>
  <si>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</si>
  <si>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</si>
  <si>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</si>
  <si>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</si>
  <si>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</si>
  <si>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</si>
  <si>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</si>
  <si>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</si>
  <si>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</si>
  <si>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</si>
  <si>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</si>
  <si>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</si>
  <si>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</si>
  <si>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</si>
  <si>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</si>
  <si>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</si>
  <si>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</si>
  <si>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</si>
  <si>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</si>
  <si>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</si>
  <si>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</si>
  <si>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</si>
  <si>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</si>
  <si>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</si>
  <si>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</si>
  <si>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</si>
  <si>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</si>
  <si>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</si>
  <si>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</si>
  <si>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</si>
  <si>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</si>
  <si>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</si>
  <si>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</si>
  <si>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</si>
  <si>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</si>
  <si>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</si>
  <si>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</si>
  <si>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</si>
  <si>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</si>
  <si>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</si>
  <si>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</si>
  <si>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</si>
  <si>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</si>
  <si>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</si>
  <si>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</si>
  <si>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</si>
  <si>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</si>
  <si>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</si>
  <si>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</si>
  <si>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</si>
  <si>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</si>
  <si>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</si>
  <si>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</si>
  <si>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</si>
  <si>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</si>
  <si>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</si>
  <si>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</si>
  <si>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</si>
  <si>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</si>
  <si>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</si>
  <si>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</si>
  <si>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</si>
  <si>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</si>
  <si>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</si>
  <si>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</si>
  <si>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</si>
  <si>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</si>
  <si>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</si>
  <si>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</si>
  <si>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</si>
  <si>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</si>
  <si>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</si>
  <si>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</si>
  <si>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</si>
  <si>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</si>
  <si>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</si>
  <si>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</si>
  <si>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</si>
  <si>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</si>
  <si>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</si>
  <si>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</si>
  <si>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</si>
  <si>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</si>
  <si>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</si>
  <si>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</si>
  <si>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</si>
  <si>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</si>
  <si>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</si>
  <si>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</si>
  <si>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</si>
  <si>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</si>
  <si>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</si>
  <si>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</si>
  <si>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</si>
  <si>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</si>
  <si>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</si>
  <si>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</si>
  <si>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</si>
  <si>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</si>
  <si>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</si>
  <si>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</si>
  <si>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</si>
  <si>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</si>
  <si>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</si>
  <si>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</si>
  <si>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</si>
  <si>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</si>
  <si>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</si>
  <si>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</si>
  <si>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</si>
  <si>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</si>
  <si>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</si>
  <si>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</si>
  <si>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</si>
  <si>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</si>
  <si>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</si>
  <si>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</si>
  <si>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</si>
  <si>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</si>
  <si>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</si>
  <si>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</si>
  <si>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</si>
  <si>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</si>
  <si>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</si>
  <si>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</si>
  <si>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</si>
  <si>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</si>
  <si>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</si>
  <si>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</si>
  <si>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</si>
  <si>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</si>
  <si>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</si>
  <si>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</si>
  <si>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</si>
  <si>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</si>
  <si>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</si>
  <si>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</si>
  <si>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</si>
  <si>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</si>
  <si>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</si>
  <si>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</si>
  <si>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</si>
  <si>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</si>
  <si>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</si>
  <si>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</si>
  <si>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</si>
  <si>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</si>
  <si>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</si>
  <si>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</si>
  <si>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</si>
  <si>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</si>
  <si>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</si>
  <si>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</si>
  <si>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</si>
  <si>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</si>
  <si>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</si>
  <si>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</si>
  <si>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</si>
  <si>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</si>
  <si>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</si>
  <si>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</si>
  <si>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</si>
  <si>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</si>
  <si>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</si>
  <si>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</si>
  <si>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</si>
  <si>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</si>
  <si>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</si>
  <si>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</si>
  <si>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</si>
  <si>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</si>
  <si>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</si>
  <si>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</si>
  <si>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</si>
  <si>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</si>
  <si>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</si>
  <si>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</si>
  <si>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</si>
  <si>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</si>
  <si>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</si>
  <si>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</si>
  <si>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</si>
  <si>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</si>
  <si>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</si>
  <si>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</si>
  <si>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</si>
  <si>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</si>
  <si>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</si>
  <si>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</si>
  <si>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</si>
  <si>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</si>
  <si>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</si>
  <si>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</si>
  <si>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</si>
  <si>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</si>
  <si>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</si>
  <si>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</si>
  <si>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</si>
  <si>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</si>
  <si>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</si>
  <si>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</si>
  <si>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</si>
  <si>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</si>
  <si>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</si>
  <si>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</si>
  <si>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</si>
  <si>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</si>
  <si>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</si>
  <si>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</si>
  <si>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</si>
  <si>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</si>
  <si>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</si>
  <si>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</si>
  <si>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</si>
  <si>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</si>
  <si>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</si>
  <si>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</si>
  <si>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</si>
  <si>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</si>
  <si>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</si>
  <si>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</si>
  <si>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</si>
  <si>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</si>
  <si>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</si>
  <si>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</si>
  <si>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</si>
  <si>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</si>
  <si>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</si>
  <si>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</si>
  <si>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</si>
  <si>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</si>
  <si>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</si>
  <si>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</si>
  <si>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</si>
  <si>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</si>
  <si>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</si>
  <si>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</si>
  <si>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</si>
  <si>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</si>
  <si>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</si>
  <si>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</si>
  <si>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</si>
  <si>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</si>
  <si>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</si>
  <si>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</si>
  <si>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</si>
  <si>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</si>
  <si>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</si>
  <si>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</si>
  <si>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</si>
  <si>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</si>
  <si>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</si>
  <si>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</si>
  <si>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</si>
  <si>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</si>
  <si>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</si>
  <si>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</si>
  <si>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</si>
  <si>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</si>
  <si>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</si>
  <si>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</si>
  <si>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</si>
  <si>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</si>
  <si>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</si>
  <si>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</si>
  <si>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</si>
  <si>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</si>
  <si>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</si>
  <si>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</si>
  <si>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</si>
  <si>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</si>
  <si>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</si>
  <si>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</si>
  <si>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</si>
  <si>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</si>
  <si>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</si>
  <si>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</si>
  <si>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</si>
  <si>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</si>
  <si>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</si>
  <si>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</si>
  <si>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</si>
  <si>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</si>
  <si>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</si>
  <si>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</si>
  <si>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</si>
  <si>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</si>
  <si>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</si>
  <si>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</si>
  <si>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</si>
  <si>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</si>
  <si>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</si>
  <si>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</si>
  <si>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</si>
  <si>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</si>
  <si>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</si>
  <si>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</si>
  <si>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</si>
  <si>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</si>
  <si>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</si>
  <si>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</si>
  <si>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</si>
  <si>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</si>
  <si>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</si>
  <si>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</si>
  <si>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</si>
  <si>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</si>
  <si>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</si>
  <si>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</si>
  <si>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</si>
  <si>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</si>
  <si>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</si>
  <si>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</si>
  <si>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</si>
  <si>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</si>
  <si>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</si>
  <si>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</si>
  <si>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</si>
  <si>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</si>
  <si>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</si>
  <si>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</si>
  <si>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</si>
  <si>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</si>
  <si>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</si>
  <si>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</si>
  <si>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</si>
  <si>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</si>
  <si>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</si>
  <si>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</si>
  <si>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</si>
  <si>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</si>
  <si>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</si>
  <si>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</si>
  <si>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</si>
  <si>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</si>
  <si>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</si>
  <si>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</si>
  <si>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</si>
  <si>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</si>
  <si>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</si>
  <si>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</si>
  <si>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</si>
  <si>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</si>
  <si>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</si>
  <si>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</si>
  <si>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</si>
  <si>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</si>
  <si>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</si>
  <si>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</si>
  <si>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</si>
  <si>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</si>
  <si>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</si>
  <si>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</si>
  <si>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</si>
  <si>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</si>
  <si>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</si>
  <si>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</si>
  <si>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</si>
  <si>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</si>
  <si>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</si>
  <si>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</si>
  <si>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</si>
  <si>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</si>
  <si>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</si>
  <si>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</si>
  <si>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</si>
  <si>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</si>
  <si>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</si>
  <si>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</si>
  <si>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</si>
  <si>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</si>
  <si>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</si>
  <si>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</si>
  <si>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</si>
  <si>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</si>
  <si>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</si>
  <si>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</si>
  <si>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</si>
  <si>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</si>
  <si>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</si>
  <si>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</si>
  <si>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</si>
  <si>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</si>
  <si>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</si>
  <si>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</si>
  <si>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</si>
  <si>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</si>
  <si>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</si>
  <si>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</si>
  <si>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</si>
  <si>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</si>
  <si>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</si>
  <si>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</si>
  <si>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</si>
  <si>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</si>
  <si>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</si>
  <si>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</si>
  <si>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</si>
  <si>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</si>
  <si>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</si>
  <si>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</si>
  <si>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</si>
  <si>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</si>
  <si>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</si>
  <si>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</si>
  <si>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</si>
  <si>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</si>
  <si>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</si>
  <si>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</si>
  <si>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</si>
  <si>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</si>
  <si>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</si>
  <si>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</si>
  <si>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</si>
  <si>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</si>
  <si>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</si>
  <si>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</si>
  <si>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</si>
  <si>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</si>
  <si>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</si>
  <si>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</si>
  <si>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</si>
  <si>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</si>
  <si>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</si>
  <si>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</si>
  <si>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</si>
  <si>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</si>
  <si>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</si>
  <si>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</si>
  <si>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</si>
  <si>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</si>
  <si>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</si>
  <si>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</si>
  <si>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</si>
  <si>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</si>
  <si>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</si>
  <si>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</si>
  <si>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</si>
  <si>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</si>
  <si>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</si>
  <si>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</si>
  <si>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</si>
  <si>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</si>
  <si>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</si>
  <si>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</si>
  <si>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</si>
  <si>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</si>
  <si>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</si>
  <si>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</si>
  <si>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</si>
  <si>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</si>
  <si>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</si>
  <si>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</si>
  <si>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</si>
  <si>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</si>
  <si>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</si>
  <si>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</si>
  <si>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</si>
  <si>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</si>
  <si>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</si>
  <si>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</si>
  <si>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</si>
  <si>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</si>
  <si>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</si>
  <si>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</si>
  <si>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</si>
  <si>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</si>
  <si>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</si>
  <si>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</si>
  <si>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</si>
  <si>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</si>
  <si>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</si>
  <si>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</si>
  <si>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</si>
  <si>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</si>
  <si>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</si>
  <si>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</si>
  <si>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</si>
  <si>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</si>
  <si>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</si>
  <si>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</si>
  <si>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</si>
  <si>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</si>
  <si>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</si>
  <si>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</si>
  <si>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</si>
  <si>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</si>
  <si>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</si>
  <si>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</si>
  <si>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</si>
  <si>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</si>
  <si>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</si>
  <si>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</si>
  <si>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</si>
  <si>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</si>
  <si>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</si>
  <si>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</si>
  <si>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</si>
  <si>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</si>
  <si>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</si>
  <si>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</si>
  <si>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</si>
  <si>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</si>
  <si>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</si>
  <si>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</si>
  <si>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</si>
  <si>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</si>
  <si>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</si>
  <si>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</si>
  <si>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</si>
  <si>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</si>
  <si>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</si>
  <si>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</si>
  <si>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</si>
  <si>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</si>
  <si>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</si>
  <si>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</si>
  <si>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</si>
  <si>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</si>
  <si>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</si>
  <si>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</si>
  <si>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</si>
  <si>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</si>
  <si>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</si>
  <si>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</si>
  <si>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</si>
  <si>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</si>
  <si>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</si>
  <si>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</si>
  <si>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</si>
  <si>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</si>
  <si>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</si>
  <si>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</si>
  <si>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</si>
  <si>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</si>
  <si>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</si>
  <si>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</si>
  <si>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</si>
  <si>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</si>
  <si>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</si>
  <si>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</si>
  <si>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</si>
  <si>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</si>
  <si>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</si>
  <si>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</si>
  <si>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</si>
  <si>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</si>
  <si>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</si>
  <si>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</si>
  <si>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</si>
  <si>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</si>
  <si>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</si>
  <si>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</si>
  <si>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</si>
  <si>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</si>
  <si>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</si>
  <si>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</si>
  <si>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</si>
  <si>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</si>
  <si>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</si>
  <si>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</si>
  <si>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</si>
  <si>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</si>
  <si>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</si>
  <si>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</si>
  <si>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</si>
  <si>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</si>
  <si>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</si>
  <si>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</si>
  <si>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</si>
  <si>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</si>
  <si>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</si>
  <si>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</si>
  <si>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</si>
  <si>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</si>
  <si>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</si>
  <si>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</si>
  <si>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</si>
  <si>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</si>
  <si>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</si>
  <si>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</si>
  <si>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</si>
  <si>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</si>
  <si>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</si>
  <si>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</si>
  <si>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</si>
  <si>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</si>
  <si>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</si>
  <si>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</si>
  <si>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</si>
  <si>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</si>
  <si>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</si>
  <si>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</si>
  <si>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</si>
  <si>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</si>
  <si>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</si>
  <si>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</si>
  <si>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</si>
  <si>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</si>
  <si>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</si>
  <si>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</si>
  <si>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</si>
  <si>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</si>
  <si>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</si>
  <si>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</si>
  <si>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</si>
  <si>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</si>
  <si>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</si>
  <si>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</si>
  <si>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</si>
  <si>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</si>
  <si>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</si>
  <si>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</si>
  <si>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</si>
  <si>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</si>
  <si>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初始经营期</t>
    <phoneticPr fontId="134" type="noConversion"/>
  </si>
  <si>
    <r>
      <t>2</t>
    </r>
    <r>
      <rPr>
        <sz val="11"/>
        <color theme="1"/>
        <rFont val="宋体"/>
        <family val="3"/>
        <charset val="134"/>
        <scheme val="minor"/>
      </rPr>
      <t>0年</t>
    </r>
    <phoneticPr fontId="134" type="noConversion"/>
  </si>
  <si>
    <t>延长期</t>
    <phoneticPr fontId="134" type="noConversion"/>
  </si>
  <si>
    <r>
      <t>1</t>
    </r>
    <r>
      <rPr>
        <sz val="11"/>
        <color theme="1"/>
        <rFont val="宋体"/>
        <family val="3"/>
        <charset val="134"/>
        <scheme val="minor"/>
      </rPr>
      <t>0年</t>
    </r>
    <phoneticPr fontId="134" type="noConversion"/>
  </si>
  <si>
    <t>建设银行</t>
    <phoneticPr fontId="6" type="noConversion"/>
  </si>
  <si>
    <t>北京东部绿城置业有限公司</t>
    <phoneticPr fontId="6" type="noConversion"/>
  </si>
  <si>
    <r>
      <rPr>
        <sz val="10"/>
        <color theme="9" tint="-0.249977111117893"/>
        <rFont val="宋体"/>
        <family val="3"/>
        <charset val="134"/>
      </rPr>
      <t>通州区新华东街</t>
    </r>
    <r>
      <rPr>
        <sz val="10"/>
        <color theme="9" tint="-0.249977111117893"/>
        <rFont val="Arial"/>
        <family val="2"/>
      </rPr>
      <t>289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29</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7</t>
    </r>
    <r>
      <rPr>
        <sz val="10"/>
        <color theme="9" tint="-0.249977111117893"/>
        <rFont val="宋体"/>
        <family val="3"/>
        <charset val="134"/>
      </rPr>
      <t>套</t>
    </r>
    <phoneticPr fontId="6" type="noConversion"/>
  </si>
  <si>
    <t>复印件</t>
  </si>
  <si>
    <t>商业项目</t>
  </si>
  <si>
    <t>Ⅳ-通1</t>
  </si>
  <si>
    <r>
      <t>一、房屋建筑面积总表（表</t>
    </r>
    <r>
      <rPr>
        <sz val="16"/>
        <rFont val="Times New Roman"/>
        <family val="1"/>
      </rPr>
      <t xml:space="preserve"> 1</t>
    </r>
    <r>
      <rPr>
        <sz val="16"/>
        <rFont val="黑体"/>
        <family val="3"/>
        <charset val="134"/>
      </rPr>
      <t>）</t>
    </r>
    <phoneticPr fontId="3" type="noConversion"/>
  </si>
  <si>
    <t>项目名称</t>
    <phoneticPr fontId="3" type="noConversion"/>
  </si>
  <si>
    <t>通州区新华大街商业、办公、居住项目2#酒店办公楼等3项</t>
  </si>
  <si>
    <t>宗地号</t>
    <phoneticPr fontId="3" type="noConversion"/>
  </si>
  <si>
    <t/>
  </si>
  <si>
    <t>坐    落</t>
    <phoneticPr fontId="3" type="noConversion"/>
  </si>
  <si>
    <t>通州区新华东街289号院2号楼</t>
  </si>
  <si>
    <t>图幅号</t>
    <phoneticPr fontId="3"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</si>
  <si>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3" type="noConversion"/>
  </si>
  <si>
    <t>宗地面积</t>
    <phoneticPr fontId="3" type="noConversion"/>
  </si>
  <si>
    <t>建筑总面积（不含人防）</t>
    <phoneticPr fontId="3" type="noConversion"/>
  </si>
  <si>
    <t>1、</t>
    <phoneticPr fontId="3" type="noConversion"/>
  </si>
  <si>
    <t>京（2020）通不动产权第0017560号</t>
    <phoneticPr fontId="3" type="noConversion"/>
  </si>
  <si>
    <t>划拨+出让</t>
    <phoneticPr fontId="3" type="noConversion"/>
  </si>
  <si>
    <r>
      <t>其</t>
    </r>
    <r>
      <rPr>
        <sz val="10"/>
        <rFont val="Times New Roman"/>
        <family val="1"/>
      </rPr>
      <t xml:space="preserve">  </t>
    </r>
    <r>
      <rPr>
        <sz val="10"/>
        <rFont val="宋体"/>
        <family val="3"/>
        <charset val="134"/>
      </rPr>
      <t>中</t>
    </r>
    <phoneticPr fontId="3" type="noConversion"/>
  </si>
  <si>
    <r>
      <t xml:space="preserve">地上主体面积 </t>
    </r>
    <r>
      <rPr>
        <vertAlign val="superscript"/>
        <sz val="10"/>
        <rFont val="宋体"/>
        <family val="3"/>
        <charset val="134"/>
      </rPr>
      <t xml:space="preserve"> </t>
    </r>
    <phoneticPr fontId="3" type="noConversion"/>
  </si>
  <si>
    <r>
      <rPr>
        <sz val="12"/>
        <rFont val="宋体"/>
        <family val="3"/>
        <charset val="134"/>
      </rPr>
      <t>酒店</t>
    </r>
    <phoneticPr fontId="3" type="noConversion"/>
  </si>
  <si>
    <t xml:space="preserve">地下面积 </t>
    <phoneticPr fontId="3" type="noConversion"/>
  </si>
  <si>
    <r>
      <rPr>
        <sz val="12"/>
        <rFont val="宋体"/>
        <family val="3"/>
        <charset val="134"/>
      </rPr>
      <t>商业服务</t>
    </r>
    <r>
      <rPr>
        <sz val="12"/>
        <rFont val="Arial Narrow"/>
        <family val="2"/>
      </rPr>
      <t xml:space="preserve">607 </t>
    </r>
    <phoneticPr fontId="3" type="noConversion"/>
  </si>
  <si>
    <r>
      <rPr>
        <sz val="12"/>
        <rFont val="宋体"/>
        <family val="3"/>
        <charset val="134"/>
      </rPr>
      <t>社区卫生服务站</t>
    </r>
    <phoneticPr fontId="3" type="noConversion"/>
  </si>
  <si>
    <t>划拨，已移交社区</t>
    <phoneticPr fontId="3" type="noConversion"/>
  </si>
  <si>
    <t>（目前办公场所）</t>
    <phoneticPr fontId="3" type="noConversion"/>
  </si>
  <si>
    <t xml:space="preserve">屋面附属用房面积 </t>
    <phoneticPr fontId="3" type="noConversion"/>
  </si>
  <si>
    <r>
      <rPr>
        <sz val="12"/>
        <rFont val="宋体"/>
        <family val="3"/>
        <charset val="134"/>
      </rPr>
      <t>文体活动站</t>
    </r>
    <phoneticPr fontId="3" type="noConversion"/>
  </si>
  <si>
    <t>1207已售未做产权分割</t>
    <phoneticPr fontId="3" type="noConversion"/>
  </si>
  <si>
    <t>不在范围内</t>
    <phoneticPr fontId="3" type="noConversion"/>
  </si>
  <si>
    <t xml:space="preserve">另有人防面积 </t>
    <phoneticPr fontId="3" type="noConversion"/>
  </si>
  <si>
    <r>
      <rPr>
        <sz val="12"/>
        <rFont val="宋体"/>
        <family val="3"/>
        <charset val="134"/>
      </rPr>
      <t>合计</t>
    </r>
    <phoneticPr fontId="3"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</si>
  <si>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3" type="noConversion"/>
  </si>
  <si>
    <t>地上层数</t>
    <phoneticPr fontId="3" type="noConversion"/>
  </si>
  <si>
    <t>29</t>
  </si>
  <si>
    <t>地下层数</t>
    <phoneticPr fontId="3" type="noConversion"/>
  </si>
  <si>
    <t>4</t>
  </si>
  <si>
    <t>2、</t>
    <phoneticPr fontId="3" type="noConversion"/>
  </si>
  <si>
    <t>京（2016）通州区不动产权第0056888号</t>
    <phoneticPr fontId="3" type="noConversion"/>
  </si>
  <si>
    <t>96个车位</t>
    <phoneticPr fontId="3" type="noConversion"/>
  </si>
  <si>
    <t>5262.43㎡</t>
    <phoneticPr fontId="3" type="noConversion"/>
  </si>
  <si>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phoneticPr fontId="3" type="noConversion"/>
  </si>
  <si>
    <t>3、</t>
    <phoneticPr fontId="3" type="noConversion"/>
  </si>
  <si>
    <t>京（2020）通不动产权第0017577号（不在范围内）</t>
    <phoneticPr fontId="3" type="noConversion"/>
  </si>
  <si>
    <t>移交办公</t>
    <phoneticPr fontId="3" type="noConversion"/>
  </si>
  <si>
    <t>北京通州希尔顿酒店各楼层面积、空间属性一览表</t>
    <phoneticPr fontId="247" type="noConversion"/>
  </si>
  <si>
    <t>序号</t>
    <phoneticPr fontId="247" type="noConversion"/>
  </si>
  <si>
    <t>楼层</t>
    <phoneticPr fontId="247" type="noConversion"/>
  </si>
  <si>
    <t>建筑面积（㎡）</t>
    <phoneticPr fontId="247" type="noConversion"/>
  </si>
  <si>
    <t>使用空间属性</t>
    <phoneticPr fontId="247" type="noConversion"/>
  </si>
  <si>
    <t>备注</t>
    <phoneticPr fontId="247" type="noConversion"/>
  </si>
  <si>
    <t>建筑面积</t>
    <phoneticPr fontId="247" type="noConversion"/>
  </si>
  <si>
    <t>B1</t>
    <phoneticPr fontId="247" type="noConversion"/>
  </si>
  <si>
    <t>大宴会厅、宴会厅前厅、宴会销售部、多功能厅、多功能厅前厅、会议室、董事长会议室、贵宾房、新娘房、衣帽寄存间、公共卫生间、厨房及服务区域、通道区域、设备用房</t>
    <phoneticPr fontId="247" type="noConversion"/>
  </si>
  <si>
    <t>酒店公共区域</t>
    <phoneticPr fontId="247" type="noConversion"/>
  </si>
  <si>
    <t>M</t>
    <phoneticPr fontId="247" type="noConversion"/>
  </si>
  <si>
    <t>2602（一区）</t>
    <phoneticPr fontId="247" type="noConversion"/>
  </si>
  <si>
    <t>员工宿舍、员工餐厅、员工休息室、对内厨房、内部办公区域及维修间、各类库房、高温冷库、花房、污衣收集间、预洗间、通道区域、卸料平台、设备用房</t>
    <phoneticPr fontId="247" type="noConversion"/>
  </si>
  <si>
    <t>后勤区域</t>
    <phoneticPr fontId="247" type="noConversion"/>
  </si>
  <si>
    <t>2075（二区）</t>
    <phoneticPr fontId="247" type="noConversion"/>
  </si>
  <si>
    <t>员工宿舍、更衣室及淋浴房及卫生间、内部办公区域及培训室、员工制服发放室、值班室、布草间、污布草间、洗衣房、各类仓库、通道区域、设备用房</t>
    <phoneticPr fontId="247" type="noConversion"/>
  </si>
  <si>
    <t>大堂、特色餐厅、宴会厅前厅、宴会会议室、寄存室、名品商店、公共卫生间、内部办公区域、厨房及服务区域、通道区域、设备用房</t>
    <phoneticPr fontId="247" type="noConversion"/>
  </si>
  <si>
    <t>全日式餐厅、休息区、公共卫生间、厨房及服务区域、通道区域、设备用房</t>
    <phoneticPr fontId="247" type="noConversion"/>
  </si>
  <si>
    <t>室内泳池、更衣室及淋浴房及卫生间、桑拿房、湿蒸房、儿童会所、健身房、瑜伽房、服务区域、通道区域、设备用房</t>
    <phoneticPr fontId="247" type="noConversion"/>
  </si>
  <si>
    <t>中餐包房（带备餐间及卫生间）、中餐大包房（带备餐间及卫生间）、中餐散座区域（带卫生间）、厨房及服务区域、通道区域、设备用房</t>
    <phoneticPr fontId="247" type="noConversion"/>
  </si>
  <si>
    <t>5~12</t>
    <phoneticPr fontId="247" type="noConversion"/>
  </si>
  <si>
    <t>/</t>
    <phoneticPr fontId="247" type="noConversion"/>
  </si>
  <si>
    <t>非酒店区域</t>
    <phoneticPr fontId="247" type="noConversion"/>
  </si>
  <si>
    <t>大床房、双床房、连通房、转角房、普通套房、总经理公寓、服务区域、通道、设备用房</t>
    <phoneticPr fontId="247" type="noConversion"/>
  </si>
  <si>
    <t>酒店客房楼层</t>
    <phoneticPr fontId="247" type="noConversion"/>
  </si>
  <si>
    <t>15~16</t>
    <phoneticPr fontId="247" type="noConversion"/>
  </si>
  <si>
    <t>大床房、双床房、转角房、连通房、残疾人房、普通套房、服务区域、通道区域、设备用房</t>
    <phoneticPr fontId="247" type="noConversion"/>
  </si>
  <si>
    <t>酒店客房楼层</t>
    <phoneticPr fontId="247" type="noConversion"/>
  </si>
  <si>
    <t>17~24</t>
    <phoneticPr fontId="247" type="noConversion"/>
  </si>
  <si>
    <t>大床房、双床房、转角房、连通房、普通套房、服务区域、通道区域、设备用房</t>
    <phoneticPr fontId="247" type="noConversion"/>
  </si>
  <si>
    <t>25~27</t>
    <phoneticPr fontId="247" type="noConversion"/>
  </si>
  <si>
    <t>行政大床房、行政双床房、行政转角房、行政套房、服务区域、通道区域、设备用房</t>
    <phoneticPr fontId="247" type="noConversion"/>
  </si>
  <si>
    <t>酒店客房行政楼层</t>
    <phoneticPr fontId="247" type="noConversion"/>
  </si>
  <si>
    <t>行政大床房、行政双床房、行政转角房、行政套房、行政酒廊、服务区域、通道区域、设备用房</t>
    <phoneticPr fontId="247" type="noConversion"/>
  </si>
  <si>
    <t>行政大床房、行政双床房、行政转角房、行政套房、豪华套房、总统套房、服务区域、通道区域、设备用房</t>
    <phoneticPr fontId="247" type="noConversion"/>
  </si>
  <si>
    <t>酒店客房行政楼层</t>
    <phoneticPr fontId="247" type="noConversion"/>
  </si>
  <si>
    <t>地上</t>
  </si>
  <si>
    <t>酒店</t>
  </si>
  <si>
    <t>地下</t>
  </si>
  <si>
    <t>酒店</t>
    <phoneticPr fontId="7" type="noConversion"/>
  </si>
  <si>
    <t>一般</t>
    <phoneticPr fontId="24" type="noConversion"/>
  </si>
  <si>
    <t>自定义容积率</t>
  </si>
  <si>
    <t>与级别开发程度不一致</t>
  </si>
  <si>
    <t>中心城区以外</t>
  </si>
  <si>
    <t>收益法-酒店模型</t>
  </si>
  <si>
    <t>土地</t>
    <phoneticPr fontId="3" type="noConversion"/>
  </si>
  <si>
    <t>装修</t>
    <phoneticPr fontId="3" type="noConversion"/>
  </si>
  <si>
    <t>在建账面</t>
    <phoneticPr fontId="3" type="noConversion"/>
  </si>
  <si>
    <t>工程</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</si>
  <si>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</si>
  <si>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</si>
  <si>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</si>
  <si>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</si>
  <si>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</si>
  <si>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</si>
  <si>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</si>
  <si>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</si>
  <si>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</si>
  <si>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</si>
  <si>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</si>
  <si>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</si>
  <si>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</si>
  <si>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</si>
  <si>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</si>
  <si>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</si>
  <si>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</si>
  <si>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</si>
  <si>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</si>
  <si>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</si>
  <si>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</si>
  <si>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</si>
  <si>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</si>
  <si>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</si>
  <si>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</si>
  <si>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</si>
  <si>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</si>
  <si>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</si>
  <si>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</si>
  <si>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</si>
  <si>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</si>
  <si>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</si>
  <si>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</si>
  <si>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</si>
  <si>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</si>
  <si>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</si>
  <si>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</si>
  <si>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</si>
  <si>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</si>
  <si>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</si>
  <si>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</si>
  <si>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</si>
  <si>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</si>
  <si>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</si>
  <si>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</si>
  <si>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</si>
  <si>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</si>
  <si>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</si>
  <si>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</si>
  <si>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</si>
  <si>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</si>
  <si>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</si>
  <si>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</si>
  <si>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</si>
  <si>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</si>
  <si>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</si>
  <si>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</si>
  <si>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</si>
  <si>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</si>
  <si>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</si>
  <si>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</si>
  <si>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</si>
  <si>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</si>
  <si>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</si>
  <si>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</si>
  <si>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</si>
  <si>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</si>
  <si>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</si>
  <si>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</si>
  <si>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</si>
  <si>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</si>
  <si>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</si>
  <si>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</si>
  <si>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</si>
  <si>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</si>
  <si>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</si>
  <si>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</si>
  <si>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</si>
  <si>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</si>
  <si>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</si>
  <si>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</si>
  <si>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</si>
  <si>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</si>
  <si>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</si>
  <si>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</si>
  <si>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</si>
  <si>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</si>
  <si>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</si>
  <si>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</si>
  <si>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</si>
  <si>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</si>
  <si>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</si>
  <si>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</si>
  <si>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</si>
  <si>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</si>
  <si>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</si>
  <si>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</si>
  <si>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</si>
  <si>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</si>
  <si>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</si>
  <si>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</si>
  <si>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</si>
  <si>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</si>
  <si>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</si>
  <si>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</si>
  <si>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</si>
  <si>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</si>
  <si>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</si>
  <si>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</si>
  <si>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</si>
  <si>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</si>
  <si>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</si>
  <si>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</si>
  <si>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</si>
  <si>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</si>
  <si>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</si>
  <si>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</si>
  <si>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</si>
  <si>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</si>
  <si>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</si>
  <si>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</si>
  <si>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</si>
  <si>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</si>
  <si>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</si>
  <si>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</si>
  <si>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</si>
  <si>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</si>
  <si>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</si>
  <si>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</si>
  <si>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</si>
  <si>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</si>
  <si>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</si>
  <si>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</si>
  <si>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</si>
  <si>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</si>
  <si>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</si>
  <si>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</si>
  <si>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</si>
  <si>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</si>
  <si>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</si>
  <si>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</si>
  <si>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</si>
  <si>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</si>
  <si>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</si>
  <si>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</si>
  <si>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</si>
  <si>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</si>
  <si>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</si>
  <si>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</si>
  <si>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</si>
  <si>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</si>
  <si>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</si>
  <si>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</si>
  <si>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</si>
  <si>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</si>
  <si>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</si>
  <si>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</si>
  <si>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</si>
  <si>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</si>
  <si>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</si>
  <si>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</si>
  <si>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</si>
  <si>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</si>
  <si>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</si>
  <si>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</si>
  <si>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</si>
  <si>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</si>
  <si>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</si>
  <si>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</si>
  <si>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</si>
  <si>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</si>
  <si>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</si>
  <si>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</si>
  <si>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</si>
  <si>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</si>
  <si>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</si>
  <si>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</si>
  <si>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</si>
  <si>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</si>
  <si>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</si>
  <si>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</si>
  <si>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</si>
  <si>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</si>
  <si>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</si>
  <si>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0" type="noConversion"/>
  </si>
  <si>
    <t>F3</t>
  </si>
  <si>
    <t>F3</t>
    <phoneticPr fontId="30" type="noConversion"/>
  </si>
  <si>
    <t>按比例</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</si>
</sst>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
      <sz val="12"/>
      <name val="Arial Narrow"/>
      <family val="2"/>
    </font>
    <font>
      <b/>
      <sz val="13"/>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36" fillId="0" borderId="0" applyFont="0" applyFill="0" applyBorder="0" applyAlignment="0" applyProtection="0"/>
    <xf numFmtId="0" fontId="53" fillId="0" borderId="0"/>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36" fillId="0" borderId="0" xfId="4" applyFill="1" applyProtection="1">
      <protection locked="0"/>
    </xf>
    <xf numFmtId="0" fontId="36" fillId="0" borderId="0" xfId="4" applyProtection="1">
      <protection locked="0"/>
    </xf>
    <xf numFmtId="0" fontId="36" fillId="0" borderId="0" xfId="4" applyFont="1" applyFill="1" applyProtection="1">
      <protection locked="0"/>
    </xf>
    <xf numFmtId="0" fontId="273" fillId="0" borderId="1" xfId="4" applyFont="1" applyFill="1" applyBorder="1" applyProtection="1">
      <protection locked="0"/>
    </xf>
    <xf numFmtId="43" fontId="273" fillId="0" borderId="1" xfId="19" applyFont="1" applyBorder="1" applyAlignment="1" applyProtection="1">
      <alignment wrapText="1"/>
      <protection locked="0"/>
    </xf>
    <xf numFmtId="0" fontId="36" fillId="0" borderId="0" xfId="4" applyFont="1" applyProtection="1">
      <protection locked="0"/>
    </xf>
    <xf numFmtId="0" fontId="273" fillId="0" borderId="1" xfId="4" applyFont="1" applyFill="1" applyBorder="1" applyAlignment="1" applyProtection="1">
      <alignment horizontal="center"/>
      <protection locked="0"/>
    </xf>
    <xf numFmtId="43" fontId="273" fillId="0" borderId="1" xfId="19" applyFont="1" applyBorder="1" applyProtection="1">
      <protection locked="0"/>
    </xf>
    <xf numFmtId="43" fontId="36" fillId="0" borderId="0" xfId="4" applyNumberFormat="1" applyProtection="1">
      <protection locked="0"/>
    </xf>
    <xf numFmtId="0" fontId="95" fillId="0" borderId="0" xfId="10">
      <alignment vertical="center"/>
    </xf>
    <xf numFmtId="0" fontId="95" fillId="0" borderId="1" xfId="10" applyBorder="1" applyAlignment="1">
      <alignment horizontal="center" vertical="center" wrapText="1"/>
    </xf>
    <xf numFmtId="0" fontId="95" fillId="0" borderId="58" xfId="10" applyFill="1" applyBorder="1" applyAlignment="1">
      <alignment horizontal="center" vertical="center" wrapText="1"/>
    </xf>
    <xf numFmtId="0" fontId="95" fillId="0" borderId="0" xfId="10" applyAlignment="1">
      <alignment horizontal="center" vertical="center"/>
    </xf>
    <xf numFmtId="0" fontId="95" fillId="0" borderId="1" xfId="10" applyBorder="1" applyAlignment="1">
      <alignment vertical="center" wrapText="1"/>
    </xf>
    <xf numFmtId="9" fontId="47" fillId="12" borderId="0" xfId="0" applyNumberFormat="1"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78" fontId="53" fillId="0" borderId="1" xfId="4" applyNumberFormat="1" applyFont="1" applyFill="1" applyBorder="1" applyAlignment="1" applyProtection="1">
      <alignment horizontal="left" vertical="center"/>
      <protection locked="0"/>
    </xf>
    <xf numFmtId="4"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274" fillId="0" borderId="0" xfId="10" applyFont="1" applyBorder="1" applyAlignment="1">
      <alignment horizontal="center" vertical="center" wrapText="1"/>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19" fillId="0" borderId="46" xfId="4" applyFont="1" applyFill="1" applyBorder="1" applyAlignment="1" applyProtection="1">
      <alignment vertical="top" wrapText="1"/>
    </xf>
    <xf numFmtId="0" fontId="36" fillId="0" borderId="36" xfId="4" applyFill="1" applyBorder="1" applyProtection="1"/>
    <xf numFmtId="0" fontId="36" fillId="0" borderId="22" xfId="4" applyFill="1" applyBorder="1" applyProtection="1"/>
    <xf numFmtId="0" fontId="36" fillId="0" borderId="58" xfId="4" applyFill="1" applyBorder="1" applyProtection="1"/>
    <xf numFmtId="0" fontId="36" fillId="0" borderId="0" xfId="4" applyFill="1" applyProtection="1"/>
    <xf numFmtId="0" fontId="36" fillId="0" borderId="35" xfId="4" applyFill="1" applyBorder="1" applyProtection="1"/>
    <xf numFmtId="0" fontId="36" fillId="0" borderId="4" xfId="4" applyFill="1" applyBorder="1" applyProtection="1"/>
    <xf numFmtId="0" fontId="36" fillId="0" borderId="60" xfId="4" applyFill="1" applyBorder="1" applyProtection="1"/>
    <xf numFmtId="0" fontId="36" fillId="0" borderId="7" xfId="4" applyFill="1" applyBorder="1" applyProtection="1"/>
    <xf numFmtId="0" fontId="19" fillId="0" borderId="1" xfId="4" applyFont="1" applyFill="1" applyBorder="1" applyAlignment="1" applyProtection="1">
      <alignment horizontal="center" vertical="center" wrapText="1"/>
    </xf>
    <xf numFmtId="179" fontId="19" fillId="0" borderId="1" xfId="4" applyNumberFormat="1" applyFont="1" applyFill="1" applyBorder="1" applyAlignment="1" applyProtection="1">
      <alignment horizontal="center" vertical="center"/>
    </xf>
    <xf numFmtId="0" fontId="19" fillId="0" borderId="46" xfId="4" applyFont="1" applyFill="1" applyBorder="1" applyAlignment="1" applyProtection="1">
      <alignment horizontal="center" vertical="center" wrapText="1"/>
    </xf>
    <xf numFmtId="0" fontId="36" fillId="0" borderId="22" xfId="4" applyBorder="1" applyAlignment="1">
      <alignment horizontal="center" vertical="center"/>
    </xf>
    <xf numFmtId="0" fontId="36" fillId="0" borderId="4" xfId="4" applyBorder="1" applyAlignment="1">
      <alignment horizontal="center" vertical="center"/>
    </xf>
    <xf numFmtId="0" fontId="36" fillId="0" borderId="7" xfId="4" applyBorder="1" applyAlignment="1">
      <alignment horizontal="center" vertical="center"/>
    </xf>
    <xf numFmtId="0" fontId="19" fillId="0" borderId="1" xfId="4" applyFont="1" applyFill="1" applyBorder="1" applyAlignment="1" applyProtection="1">
      <alignment horizontal="center" vertical="center"/>
    </xf>
    <xf numFmtId="49" fontId="19" fillId="0" borderId="1" xfId="4" applyNumberFormat="1" applyFont="1" applyFill="1" applyBorder="1" applyAlignment="1" applyProtection="1">
      <alignment horizontal="center" vertical="center"/>
    </xf>
    <xf numFmtId="0" fontId="19" fillId="0" borderId="1" xfId="4" applyFont="1" applyFill="1" applyBorder="1" applyAlignment="1" applyProtection="1">
      <alignment horizontal="center" vertical="center" textRotation="255"/>
    </xf>
    <xf numFmtId="0" fontId="19" fillId="0" borderId="46" xfId="4" applyFont="1" applyFill="1" applyBorder="1" applyAlignment="1" applyProtection="1">
      <alignment horizontal="center" vertical="center"/>
    </xf>
    <xf numFmtId="0" fontId="19" fillId="0" borderId="22" xfId="4" applyFont="1" applyFill="1" applyBorder="1" applyAlignment="1" applyProtection="1">
      <alignment horizontal="center" vertical="center"/>
    </xf>
    <xf numFmtId="0" fontId="19" fillId="0" borderId="4" xfId="4" applyFont="1" applyFill="1" applyBorder="1" applyAlignment="1" applyProtection="1">
      <alignment horizontal="center" vertical="center"/>
    </xf>
    <xf numFmtId="0" fontId="19" fillId="0" borderId="7" xfId="4" applyFont="1" applyFill="1" applyBorder="1" applyAlignment="1" applyProtection="1">
      <alignment horizontal="center" vertical="center"/>
    </xf>
    <xf numFmtId="176" fontId="19" fillId="0" borderId="46" xfId="4" applyNumberFormat="1" applyFont="1" applyFill="1" applyBorder="1" applyAlignment="1" applyProtection="1">
      <alignment horizontal="center" vertical="center"/>
    </xf>
    <xf numFmtId="0" fontId="36" fillId="0" borderId="36" xfId="4" applyBorder="1" applyProtection="1"/>
    <xf numFmtId="0" fontId="36" fillId="0" borderId="22" xfId="4" applyBorder="1" applyProtection="1"/>
    <xf numFmtId="0" fontId="36" fillId="0" borderId="4" xfId="4" applyBorder="1" applyProtection="1"/>
    <xf numFmtId="0" fontId="36" fillId="0" borderId="60" xfId="4" applyBorder="1" applyProtection="1"/>
    <xf numFmtId="0" fontId="36" fillId="0" borderId="7" xfId="4" applyBorder="1" applyProtection="1"/>
    <xf numFmtId="0" fontId="19" fillId="0" borderId="22" xfId="4" applyFont="1" applyFill="1" applyBorder="1" applyAlignment="1" applyProtection="1">
      <alignment horizontal="center" vertical="center" wrapText="1"/>
    </xf>
    <xf numFmtId="0" fontId="19" fillId="0" borderId="4" xfId="4" applyFont="1" applyFill="1" applyBorder="1" applyAlignment="1" applyProtection="1">
      <alignment horizontal="center" vertical="center" wrapText="1"/>
    </xf>
    <xf numFmtId="0" fontId="19" fillId="0" borderId="7" xfId="4" applyFont="1" applyFill="1" applyBorder="1" applyAlignment="1" applyProtection="1">
      <alignment horizontal="center" vertical="center" wrapText="1"/>
    </xf>
    <xf numFmtId="176" fontId="19" fillId="0" borderId="36" xfId="4" applyNumberFormat="1" applyFont="1" applyFill="1" applyBorder="1" applyAlignment="1" applyProtection="1">
      <alignment horizontal="center" vertical="center"/>
    </xf>
    <xf numFmtId="176" fontId="19" fillId="0" borderId="22" xfId="4" applyNumberFormat="1" applyFont="1" applyFill="1" applyBorder="1" applyAlignment="1" applyProtection="1">
      <alignment horizontal="center" vertical="center"/>
    </xf>
    <xf numFmtId="176" fontId="19" fillId="0" borderId="4" xfId="4" applyNumberFormat="1" applyFont="1" applyFill="1" applyBorder="1" applyAlignment="1" applyProtection="1">
      <alignment horizontal="center" vertical="center"/>
    </xf>
    <xf numFmtId="176" fontId="19" fillId="0" borderId="60" xfId="4" applyNumberFormat="1" applyFont="1" applyFill="1" applyBorder="1" applyAlignment="1" applyProtection="1">
      <alignment horizontal="center" vertical="center"/>
    </xf>
    <xf numFmtId="176" fontId="19" fillId="0" borderId="7" xfId="4" applyNumberFormat="1" applyFont="1" applyFill="1" applyBorder="1" applyAlignment="1" applyProtection="1">
      <alignment horizontal="center" vertical="center"/>
    </xf>
    <xf numFmtId="0" fontId="19" fillId="0" borderId="13" xfId="4" applyFont="1" applyFill="1" applyBorder="1" applyAlignment="1" applyProtection="1">
      <alignment horizontal="center" vertical="center" textRotation="255"/>
    </xf>
    <xf numFmtId="0" fontId="19" fillId="0" borderId="15" xfId="4" applyFont="1" applyFill="1" applyBorder="1" applyAlignment="1" applyProtection="1">
      <alignment horizontal="center" vertical="center" textRotation="255"/>
    </xf>
    <xf numFmtId="0" fontId="19" fillId="0" borderId="2" xfId="4" applyFont="1" applyFill="1" applyBorder="1" applyAlignment="1" applyProtection="1">
      <alignment horizontal="center" vertical="center" textRotation="255"/>
    </xf>
    <xf numFmtId="0" fontId="269" fillId="0" borderId="60" xfId="4" applyFont="1" applyFill="1" applyBorder="1" applyAlignment="1" applyProtection="1">
      <alignment horizontal="center" vertical="center"/>
    </xf>
    <xf numFmtId="0" fontId="19" fillId="0" borderId="46" xfId="4" applyFont="1" applyFill="1" applyBorder="1" applyAlignment="1" applyProtection="1">
      <alignment horizontal="center" vertical="center" shrinkToFit="1"/>
    </xf>
    <xf numFmtId="0" fontId="19" fillId="0" borderId="36" xfId="4" applyFont="1" applyFill="1" applyBorder="1" applyAlignment="1" applyProtection="1">
      <alignment horizontal="center" vertical="center" shrinkToFit="1"/>
    </xf>
    <xf numFmtId="0" fontId="19" fillId="0" borderId="22" xfId="4" applyFont="1" applyFill="1" applyBorder="1" applyAlignment="1" applyProtection="1">
      <alignment horizontal="center" vertical="center" shrinkToFit="1"/>
    </xf>
    <xf numFmtId="0" fontId="19" fillId="0" borderId="4" xfId="4" applyFont="1" applyFill="1" applyBorder="1" applyAlignment="1" applyProtection="1">
      <alignment horizontal="center" vertical="center" shrinkToFit="1"/>
    </xf>
    <xf numFmtId="0" fontId="19" fillId="0" borderId="60" xfId="4" applyFont="1" applyFill="1" applyBorder="1" applyAlignment="1" applyProtection="1">
      <alignment horizontal="center" vertical="center" shrinkToFit="1"/>
    </xf>
    <xf numFmtId="0" fontId="19" fillId="0" borderId="7" xfId="4" applyFont="1" applyFill="1" applyBorder="1" applyAlignment="1" applyProtection="1">
      <alignment horizontal="center" vertical="center" shrinkToFi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3" fontId="47" fillId="0" borderId="1" xfId="0" applyNumberFormat="1" applyFont="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838096" cy="4609524"/>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5238750"/>
          <a:ext cx="7028572" cy="3514286"/>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944100"/>
          <a:ext cx="6790477" cy="3600000"/>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16819049" cy="4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商业用地</v>
          </cell>
          <cell r="D75" t="str">
            <v>F3其他多功能用地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row>
        <row r="123">
          <cell r="B123" t="str">
            <v>宗地开发程度</v>
          </cell>
          <cell r="C123" t="str">
            <v>七通</v>
          </cell>
          <cell r="D123" t="str">
            <v>六通</v>
          </cell>
          <cell r="E123" t="str">
            <v>五通</v>
          </cell>
          <cell r="F123" t="str">
            <v>四通</v>
          </cell>
          <cell r="G123" t="str">
            <v>三通</v>
          </cell>
          <cell r="H123" t="str">
            <v>二通</v>
          </cell>
        </row>
        <row r="125">
          <cell r="B125" t="str">
            <v>工程地质条件</v>
          </cell>
          <cell r="C125" t="str">
            <v>好</v>
          </cell>
          <cell r="D125" t="str">
            <v>较好</v>
          </cell>
          <cell r="E125" t="str">
            <v>一般</v>
          </cell>
          <cell r="F125" t="str">
            <v>较差</v>
          </cell>
          <cell r="G125" t="str">
            <v>差</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北京市通州区新华东街289号院2号楼-3至29层101等7套房地产市场价值预评估</v>
      </c>
    </row>
    <row r="3" spans="1:2" s="1201" customFormat="1">
      <c r="A3" s="1199" t="s">
        <v>523</v>
      </c>
      <c r="B3" s="1200" t="str">
        <f>'预评函-封皮'!B40</f>
        <v>建设银行</v>
      </c>
    </row>
    <row r="4" spans="1:2" s="1201" customFormat="1">
      <c r="A4" s="1199" t="s">
        <v>524</v>
      </c>
      <c r="B4" s="1200" t="str">
        <f ca="1">'预评函-封皮'!B46</f>
        <v>郑燚（注册号：1120070131)、崔锴（注册号：1120100036)</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受贵公司委托，我公司对北京市通州区新华东街289号院2号楼-3至29层101等7套房地产市场价值进行了预评估。</v>
      </c>
    </row>
    <row r="7" spans="1:2" s="1201" customFormat="1">
      <c r="A7" s="1199" t="s">
        <v>566</v>
      </c>
      <c r="B7" s="1200" t="str">
        <f>'预评函-1'!A7</f>
        <v>估价对象为北京市通州区新华东街289号院2号楼-3至29层101等7套房地产，为北京东部绿城置业有限公司所有。根据《国有土地使用证》[]，估价对象（分摊）出让国有建设用地使用权面积为10479.05平方米，建筑面积为48491.65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新华东街289号院2号楼-3至29层101等7套房地产,为北京东部绿城置业有限公司开发建设的商业项目，该项目尚在开发建设中。根据《国有土地使用证》[]，估价对象（分摊）出让国有建设用地使用权面积为10479.05平方米，规划建筑面积为48491.65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东部绿城置业有限公司拟使用北京市通州区新华东街289号院2号楼-3至29层101等7套房地产作为抵押担保物，向建设银行办理贷款手续。建设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2023年8月8日（评估专业人员实地查勘之日）</v>
      </c>
    </row>
    <row r="13" spans="1:2" s="1201" customFormat="1">
      <c r="A13" s="1199" t="s">
        <v>529</v>
      </c>
      <c r="B13" s="1200"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108920</v>
      </c>
    </row>
    <row r="21" spans="1:2" s="1201" customFormat="1">
      <c r="A21" s="1199" t="s">
        <v>537</v>
      </c>
      <c r="B21" s="1200">
        <f ca="1">'预评函-2'!D7</f>
        <v>22462</v>
      </c>
    </row>
    <row r="22" spans="1:2" s="1201" customFormat="1">
      <c r="A22" s="1199" t="s">
        <v>538</v>
      </c>
      <c r="B22" s="1200" t="str">
        <f ca="1">'预评函-2'!D6</f>
        <v>壹拾亿捌仟玖佰贰拾万元整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108920</v>
      </c>
    </row>
    <row r="31" spans="1:2" s="1201" customFormat="1">
      <c r="A31" s="1199" t="s">
        <v>576</v>
      </c>
      <c r="B31" s="1200">
        <f ca="1">'预评函-2'!D15</f>
        <v>22462</v>
      </c>
    </row>
    <row r="32" spans="1:2" s="1201" customFormat="1">
      <c r="A32" s="1199" t="s">
        <v>543</v>
      </c>
      <c r="B32" s="1200" t="str">
        <f ca="1">'预评函-2'!D14</f>
        <v>壹拾亿捌仟玖佰贰拾万元整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北京市通州区新华东街289号院2号楼-3至29层101等7套房地产</v>
      </c>
    </row>
    <row r="42" spans="1:2" s="1201" customFormat="1" ht="31.2">
      <c r="A42" s="1199" t="s">
        <v>590</v>
      </c>
      <c r="B42" s="1200" t="str">
        <f>'预评函-3'!B2</f>
        <v>建筑面积</v>
      </c>
    </row>
    <row r="43" spans="1:2" s="1201" customFormat="1">
      <c r="A43" s="1199" t="s">
        <v>591</v>
      </c>
      <c r="B43" s="1200">
        <f>'预评函-3'!B4</f>
        <v>48491.65</v>
      </c>
    </row>
    <row r="44" spans="1:2" s="1201" customFormat="1" ht="31.2">
      <c r="A44" s="1199" t="s">
        <v>575</v>
      </c>
      <c r="B44" s="1200" t="str">
        <f>'预评函-3'!C2</f>
        <v>(分摊)土地面积</v>
      </c>
    </row>
    <row r="45" spans="1:2" s="1201" customFormat="1">
      <c r="A45" s="1199" t="s">
        <v>547</v>
      </c>
      <c r="B45" s="1200">
        <f>'预评函-3'!C4</f>
        <v>10479.049999999999</v>
      </c>
    </row>
    <row r="46" spans="1:2" s="1201" customFormat="1">
      <c r="A46" s="1199" t="s">
        <v>573</v>
      </c>
      <c r="B46" s="1200" t="str">
        <f>'预评函-3'!D2</f>
        <v>出让国有建设用地使用权价值</v>
      </c>
    </row>
    <row r="47" spans="1:2" s="1201" customFormat="1">
      <c r="A47" s="1199" t="s">
        <v>548</v>
      </c>
      <c r="B47" s="1200">
        <f ca="1">'预评函-3'!D4</f>
        <v>44548</v>
      </c>
    </row>
    <row r="48" spans="1:2" s="1201" customFormat="1">
      <c r="A48" s="1199" t="s">
        <v>549</v>
      </c>
      <c r="B48" s="1200">
        <f ca="1">'预评函-3'!E4</f>
        <v>9187</v>
      </c>
    </row>
    <row r="49" spans="1:2" s="1201" customFormat="1">
      <c r="A49" s="1199" t="s">
        <v>550</v>
      </c>
      <c r="B49" s="1200" t="str">
        <f ca="1">'预评函-3'!D5</f>
        <v>肆亿肆仟伍佰肆拾捌万元整</v>
      </c>
    </row>
    <row r="50" spans="1:2" s="1201" customFormat="1">
      <c r="A50" s="1199" t="s">
        <v>574</v>
      </c>
      <c r="B50" s="1200" t="str">
        <f>'预评函-3'!F2</f>
        <v>在建建筑物价值</v>
      </c>
    </row>
    <row r="51" spans="1:2" s="1201" customFormat="1">
      <c r="A51" s="1199" t="s">
        <v>551</v>
      </c>
      <c r="B51" s="1200">
        <f ca="1">'预评函-3'!F4</f>
        <v>64372</v>
      </c>
    </row>
    <row r="52" spans="1:2" s="1201" customFormat="1">
      <c r="A52" s="1199" t="s">
        <v>552</v>
      </c>
      <c r="B52" s="1200">
        <f ca="1">'预评函-3'!G4</f>
        <v>13275</v>
      </c>
    </row>
    <row r="53" spans="1:2" s="1201" customFormat="1">
      <c r="A53" s="1199" t="s">
        <v>580</v>
      </c>
      <c r="B53" s="1200" t="str">
        <f ca="1">'预评函-3'!F5</f>
        <v>陆亿肆仟叁佰柒拾贰万元整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6.2" thickBot="1">
      <c r="A73" s="1202" t="s">
        <v>565</v>
      </c>
      <c r="B73" s="1203">
        <f ca="1">'预评函-4'!B5</f>
        <v>1120100036</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3341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3332</v>
      </c>
    </row>
    <row r="8" spans="1:23">
      <c r="A8" s="1544" t="s">
        <v>1026</v>
      </c>
      <c r="B8" s="1544" t="s">
        <v>1027</v>
      </c>
      <c r="C8" s="1545" t="s">
        <v>319</v>
      </c>
      <c r="F8" s="1546" t="s">
        <v>1028</v>
      </c>
      <c r="H8" s="1546" t="s">
        <v>2566</v>
      </c>
      <c r="I8" s="1546" t="s">
        <v>3333</v>
      </c>
    </row>
    <row r="9" spans="1:23">
      <c r="A9" s="1544" t="s">
        <v>1029</v>
      </c>
      <c r="B9" s="1544" t="s">
        <v>1030</v>
      </c>
      <c r="C9" s="1545" t="s">
        <v>320</v>
      </c>
      <c r="F9" s="1546" t="s">
        <v>1031</v>
      </c>
      <c r="H9" s="1546"/>
      <c r="I9" s="1549" t="s">
        <v>3334</v>
      </c>
    </row>
    <row r="10" spans="1:23">
      <c r="A10" s="1544" t="s">
        <v>1032</v>
      </c>
      <c r="B10" s="1544" t="s">
        <v>1033</v>
      </c>
      <c r="C10" s="1545" t="s">
        <v>321</v>
      </c>
      <c r="F10" s="1546" t="s">
        <v>2567</v>
      </c>
      <c r="I10" s="1549" t="s">
        <v>3335</v>
      </c>
    </row>
    <row r="11" spans="1:23">
      <c r="A11" s="1544" t="s">
        <v>1034</v>
      </c>
      <c r="B11" s="1544" t="s">
        <v>1035</v>
      </c>
      <c r="C11" s="1545" t="s">
        <v>322</v>
      </c>
      <c r="F11" s="1546" t="s">
        <v>13</v>
      </c>
      <c r="I11" s="1549" t="s">
        <v>3336</v>
      </c>
    </row>
    <row r="12" spans="1:23">
      <c r="A12" s="1544" t="s">
        <v>1036</v>
      </c>
      <c r="B12" s="1544" t="s">
        <v>1037</v>
      </c>
      <c r="C12" s="1545" t="s">
        <v>323</v>
      </c>
      <c r="I12" s="1549" t="s">
        <v>3337</v>
      </c>
    </row>
    <row r="13" spans="1:23">
      <c r="A13" s="1544" t="s">
        <v>1038</v>
      </c>
      <c r="B13" s="1544" t="s">
        <v>1039</v>
      </c>
      <c r="C13" s="1545" t="s">
        <v>324</v>
      </c>
      <c r="I13" s="1549" t="s">
        <v>3338</v>
      </c>
    </row>
    <row r="14" spans="1:23">
      <c r="A14" s="1544" t="s">
        <v>1040</v>
      </c>
      <c r="B14" s="1544" t="s">
        <v>1041</v>
      </c>
      <c r="C14" s="1546" t="s">
        <v>13</v>
      </c>
      <c r="I14" s="1549" t="s">
        <v>3339</v>
      </c>
    </row>
    <row r="15" spans="1:23">
      <c r="A15" s="1544" t="s">
        <v>1042</v>
      </c>
      <c r="B15" s="1544" t="s">
        <v>1043</v>
      </c>
      <c r="C15" s="1545"/>
      <c r="I15" s="1549" t="s">
        <v>3340</v>
      </c>
    </row>
    <row r="16" spans="1:23">
      <c r="A16" s="1544" t="s">
        <v>1044</v>
      </c>
      <c r="B16" s="1544" t="s">
        <v>312</v>
      </c>
      <c r="C16" s="1545"/>
    </row>
    <row r="17" spans="1:3">
      <c r="A17" s="1544" t="s">
        <v>1045</v>
      </c>
      <c r="B17" s="1544" t="s">
        <v>2278</v>
      </c>
      <c r="C17" s="1545"/>
    </row>
    <row r="18" spans="1:3">
      <c r="A18" s="1544" t="s">
        <v>1046</v>
      </c>
      <c r="B18" s="1544" t="s">
        <v>2422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部绿城置业有限公司拟使用北京市通州区新华东街289号院2号楼-3至29层101等7套房地产作为抵押担保物，向建设银行办理贷款手续。建设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2" t="s">
        <v>385</v>
      </c>
      <c r="C54" s="1549" t="s">
        <v>583</v>
      </c>
    </row>
    <row r="55" spans="1:4">
      <c r="A55" s="3520"/>
      <c r="B55" s="1552" t="s">
        <v>386</v>
      </c>
      <c r="C55" s="1549" t="s">
        <v>584</v>
      </c>
    </row>
    <row r="56" spans="1:4">
      <c r="A56" s="3520"/>
      <c r="B56" s="1552" t="s">
        <v>387</v>
      </c>
      <c r="C56" s="1549" t="s">
        <v>588</v>
      </c>
    </row>
    <row r="57" spans="1:4">
      <c r="A57" s="352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1875" defaultRowHeight="14.4"/>
  <cols>
    <col min="1" max="7" width="15.21875" style="3009"/>
    <col min="8" max="8" width="5.44140625" style="3009" customWidth="1"/>
    <col min="9" max="13" width="9.44140625" style="3051" customWidth="1"/>
    <col min="14" max="18" width="9.44140625" style="3009" customWidth="1"/>
    <col min="19" max="16384" width="15.21875" style="3009"/>
  </cols>
  <sheetData>
    <row r="1" spans="1:18">
      <c r="A1" s="3006" t="s">
        <v>2489</v>
      </c>
      <c r="B1" s="3007"/>
      <c r="C1" s="3007"/>
      <c r="D1" s="3007"/>
      <c r="E1" s="3007"/>
      <c r="F1" s="3008"/>
      <c r="I1" s="3430" t="s">
        <v>2582</v>
      </c>
      <c r="J1" s="3219"/>
      <c r="K1" s="3219"/>
      <c r="L1" s="3219"/>
      <c r="M1" s="3219"/>
      <c r="N1" s="3431"/>
      <c r="O1" s="3431"/>
      <c r="P1" s="3431"/>
      <c r="Q1" s="3431"/>
      <c r="R1" s="3431"/>
    </row>
    <row r="2" spans="1:18">
      <c r="A2" s="3010"/>
      <c r="B2" s="3011"/>
      <c r="C2" s="3011"/>
      <c r="D2" s="3011"/>
      <c r="E2" s="3011"/>
      <c r="F2" s="3012"/>
      <c r="I2" s="3521" t="s">
        <v>2569</v>
      </c>
      <c r="J2" s="3521"/>
      <c r="K2" s="3521"/>
      <c r="L2" s="3521"/>
      <c r="M2" s="3521"/>
      <c r="N2" s="3521"/>
      <c r="O2" s="3521"/>
      <c r="P2" s="3521"/>
      <c r="Q2" s="3521"/>
      <c r="R2" s="3521"/>
    </row>
    <row r="3" spans="1:18">
      <c r="A3" s="3013" t="s">
        <v>2490</v>
      </c>
      <c r="B3" s="3014">
        <f>项目基本情况!D3</f>
        <v>45146</v>
      </c>
      <c r="C3" s="3016"/>
      <c r="D3" s="3016"/>
      <c r="E3" s="3016"/>
      <c r="F3" s="3012"/>
      <c r="I3" s="3432"/>
      <c r="J3" s="3432" t="s">
        <v>2573</v>
      </c>
      <c r="K3" s="3432" t="s">
        <v>2574</v>
      </c>
      <c r="L3" s="3432" t="s">
        <v>2575</v>
      </c>
      <c r="M3" s="3432" t="s">
        <v>2576</v>
      </c>
      <c r="N3" s="3433" t="s">
        <v>2577</v>
      </c>
      <c r="O3" s="3433" t="s">
        <v>2578</v>
      </c>
      <c r="P3" s="3433" t="s">
        <v>2579</v>
      </c>
      <c r="Q3" s="3433" t="s">
        <v>2580</v>
      </c>
      <c r="R3" s="3433" t="s">
        <v>2581</v>
      </c>
    </row>
    <row r="4" spans="1:18">
      <c r="A4" s="3013" t="s">
        <v>2491</v>
      </c>
      <c r="B4" s="3016" t="s">
        <v>2492</v>
      </c>
      <c r="C4" s="3016" t="s">
        <v>2493</v>
      </c>
      <c r="D4" s="3016" t="s">
        <v>2494</v>
      </c>
      <c r="E4" s="3016" t="s">
        <v>2495</v>
      </c>
      <c r="F4" s="3012"/>
      <c r="I4" s="3432" t="s">
        <v>2570</v>
      </c>
      <c r="J4" s="3432">
        <v>80</v>
      </c>
      <c r="K4" s="3432">
        <v>70</v>
      </c>
      <c r="L4" s="3432">
        <v>20</v>
      </c>
      <c r="M4" s="3432">
        <v>30</v>
      </c>
      <c r="N4" s="3016">
        <v>45</v>
      </c>
      <c r="O4" s="3016">
        <v>60</v>
      </c>
      <c r="P4" s="3016">
        <v>50</v>
      </c>
      <c r="Q4" s="3016">
        <v>20</v>
      </c>
      <c r="R4" s="3016">
        <v>375</v>
      </c>
    </row>
    <row r="5" spans="1:18">
      <c r="A5" s="3017">
        <v>40</v>
      </c>
      <c r="B5" s="3014">
        <v>46375</v>
      </c>
      <c r="C5" s="3016">
        <f>ROUNDDOWN(MIN((B5-B3)/365,A5),2)</f>
        <v>3.36</v>
      </c>
      <c r="D5" s="3018">
        <f>IF(ISERROR(ROUND(POWER(1+E5,A5-C5)*(POWER(1+E5,C5)-1)/(POWER(1+E5,A5)-1),3)),0,ROUND(POWER(1+E5,A5-C5)*(POWER(1+E5,C5)-1)/(POWER(1+E5,A5)-1),4))</f>
        <v>0.156</v>
      </c>
      <c r="E5" s="3019">
        <v>0.04</v>
      </c>
      <c r="F5" s="3012"/>
      <c r="I5" s="3432" t="s">
        <v>2571</v>
      </c>
      <c r="J5" s="3432">
        <v>70</v>
      </c>
      <c r="K5" s="3432">
        <v>60</v>
      </c>
      <c r="L5" s="3432">
        <v>15</v>
      </c>
      <c r="M5" s="3432">
        <v>25</v>
      </c>
      <c r="N5" s="3016">
        <v>40</v>
      </c>
      <c r="O5" s="3016">
        <v>50</v>
      </c>
      <c r="P5" s="3016">
        <v>40</v>
      </c>
      <c r="Q5" s="3016">
        <v>15</v>
      </c>
      <c r="R5" s="3016">
        <v>315</v>
      </c>
    </row>
    <row r="6" spans="1:18">
      <c r="A6" s="3017">
        <v>50</v>
      </c>
      <c r="B6" s="3014">
        <v>50028</v>
      </c>
      <c r="C6" s="3016">
        <f>ROUNDDOWN(MIN((B6-B3)/365,A6),2)</f>
        <v>13.37</v>
      </c>
      <c r="D6" s="3018">
        <f>IF(ISERROR(ROUND(POWER(1+E6,A6-C6)*(POWER(1+E6,C6)-1)/(POWER(1+E6,A6)-1),3)),0,ROUND(POWER(1+E6,A6-C6)*(POWER(1+E6,C6)-1)/(POWER(1+E6,A6)-1),4))</f>
        <v>0.47489999999999999</v>
      </c>
      <c r="E6" s="3019">
        <v>0.04</v>
      </c>
      <c r="F6" s="3012"/>
      <c r="I6" s="3432" t="s">
        <v>2572</v>
      </c>
      <c r="J6" s="3432">
        <v>60</v>
      </c>
      <c r="K6" s="3432">
        <v>50</v>
      </c>
      <c r="L6" s="3432">
        <v>10</v>
      </c>
      <c r="M6" s="3432">
        <v>20</v>
      </c>
      <c r="N6" s="3016">
        <v>35</v>
      </c>
      <c r="O6" s="3016">
        <v>40</v>
      </c>
      <c r="P6" s="3016">
        <v>30</v>
      </c>
      <c r="Q6" s="3016">
        <v>10</v>
      </c>
      <c r="R6" s="3016">
        <v>255</v>
      </c>
    </row>
    <row r="7" spans="1:18">
      <c r="A7" s="3017">
        <v>70</v>
      </c>
      <c r="B7" s="3014">
        <v>57333</v>
      </c>
      <c r="C7" s="3016">
        <f>ROUNDDOWN(MIN((B7-B3)/365,A7),2)</f>
        <v>33.380000000000003</v>
      </c>
      <c r="D7" s="3018">
        <f>IF(ISERROR(ROUND(POWER(1+E7,A7-C7)*(POWER(1+E7,C7)-1)/(POWER(1+E7,A7)-1),3)),0,ROUND(POWER(1+E7,A7-C7)*(POWER(1+E7,C7)-1)/(POWER(1+E7,A7)-1),4))</f>
        <v>0.78010000000000002</v>
      </c>
      <c r="E7" s="3019">
        <v>0.04</v>
      </c>
      <c r="F7" s="3012"/>
    </row>
    <row r="8" spans="1:18">
      <c r="A8" s="3010"/>
      <c r="B8" s="3011"/>
      <c r="C8" s="3011"/>
      <c r="D8" s="3011"/>
      <c r="E8" s="3011"/>
      <c r="F8" s="3012"/>
    </row>
    <row r="9" spans="1:18">
      <c r="A9" s="3013" t="s">
        <v>2496</v>
      </c>
      <c r="B9" s="3016"/>
      <c r="C9" s="3016"/>
      <c r="D9" s="3016"/>
      <c r="E9" s="3016"/>
      <c r="F9" s="3020"/>
    </row>
    <row r="10" spans="1:18">
      <c r="A10" s="3013" t="s">
        <v>2497</v>
      </c>
      <c r="B10" s="3016"/>
      <c r="C10" s="3016"/>
      <c r="D10" s="3016" t="s">
        <v>2495</v>
      </c>
      <c r="E10" s="3016"/>
      <c r="F10" s="3020" t="s">
        <v>2494</v>
      </c>
    </row>
    <row r="11" spans="1:18">
      <c r="A11" s="3013" t="s">
        <v>2498</v>
      </c>
      <c r="B11" s="3021">
        <v>70</v>
      </c>
      <c r="C11" s="3016" t="s">
        <v>2499</v>
      </c>
      <c r="D11" s="3022">
        <v>4.4999999999999998E-2</v>
      </c>
      <c r="E11" s="3016" t="s">
        <v>2500</v>
      </c>
      <c r="F11" s="3023">
        <f>ROUND(1-(1/(POWER(1+D11,B11))),4)</f>
        <v>0.95409999999999995</v>
      </c>
    </row>
    <row r="12" spans="1:18">
      <c r="A12" s="3013" t="s">
        <v>2501</v>
      </c>
      <c r="B12" s="3021">
        <v>40</v>
      </c>
      <c r="C12" s="3016" t="s">
        <v>2502</v>
      </c>
      <c r="D12" s="3022">
        <v>4.4999999999999998E-2</v>
      </c>
      <c r="E12" s="3016" t="s">
        <v>2503</v>
      </c>
      <c r="F12" s="3023">
        <f>ROUND(1-(1/(POWER(1+D12,B12))),4)</f>
        <v>0.82809999999999995</v>
      </c>
    </row>
    <row r="13" spans="1:18">
      <c r="A13" s="3013" t="s">
        <v>2504</v>
      </c>
      <c r="B13" s="3016"/>
      <c r="C13" s="3016"/>
      <c r="D13" s="3011"/>
      <c r="E13" s="3011"/>
      <c r="F13" s="3012"/>
    </row>
    <row r="14" spans="1:18">
      <c r="A14" s="3013" t="s">
        <v>2505</v>
      </c>
      <c r="B14" s="3021">
        <v>5000</v>
      </c>
      <c r="C14" s="3015"/>
      <c r="D14" s="3011"/>
      <c r="E14" s="3011"/>
      <c r="F14" s="3012"/>
    </row>
    <row r="15" spans="1:18">
      <c r="A15" s="3013" t="s">
        <v>2506</v>
      </c>
      <c r="B15" s="3016">
        <f>ROUND(B14*F12/F11,2)</f>
        <v>4339.6899999999996</v>
      </c>
      <c r="C15" s="3016">
        <f>ROUND(F12/F11,4)</f>
        <v>0.8679</v>
      </c>
      <c r="D15" s="3011"/>
      <c r="E15" s="3011"/>
      <c r="F15" s="3012"/>
    </row>
    <row r="16" spans="1:18">
      <c r="A16" s="3013" t="s">
        <v>2507</v>
      </c>
      <c r="B16" s="3016"/>
      <c r="C16" s="3016"/>
      <c r="D16" s="3011"/>
      <c r="E16" s="3011"/>
      <c r="F16" s="3012"/>
    </row>
    <row r="17" spans="1:13">
      <c r="A17" s="3013" t="s">
        <v>2506</v>
      </c>
      <c r="B17" s="3022">
        <v>4810</v>
      </c>
      <c r="C17" s="3015"/>
      <c r="D17" s="3011"/>
      <c r="E17" s="3011"/>
      <c r="F17" s="3012"/>
    </row>
    <row r="18" spans="1:13" ht="15" thickBot="1">
      <c r="A18" s="3024" t="s">
        <v>2505</v>
      </c>
      <c r="B18" s="3025">
        <f>ROUND(B17*F11/F12,2)</f>
        <v>5541.87</v>
      </c>
      <c r="C18" s="3025">
        <f>ROUND(F11/F12,4)</f>
        <v>1.1521999999999999</v>
      </c>
      <c r="D18" s="3026"/>
      <c r="E18" s="3026"/>
      <c r="F18" s="3027"/>
    </row>
    <row r="19" spans="1:13" ht="15" thickBot="1"/>
    <row r="20" spans="1:13" s="3062" customFormat="1" ht="15" thickTop="1">
      <c r="A20" s="3059" t="s">
        <v>2508</v>
      </c>
      <c r="B20" s="3060"/>
      <c r="C20" s="3060"/>
      <c r="D20" s="3060"/>
      <c r="E20" s="3060"/>
      <c r="F20" s="3060"/>
      <c r="G20" s="3061"/>
      <c r="I20" s="3063" t="s">
        <v>2553</v>
      </c>
      <c r="J20" s="3063" t="s">
        <v>2558</v>
      </c>
      <c r="K20" s="3063"/>
      <c r="L20" s="3063"/>
      <c r="M20" s="3063"/>
    </row>
    <row r="21" spans="1:13">
      <c r="A21" s="3028"/>
      <c r="B21" s="3029" t="s">
        <v>2509</v>
      </c>
      <c r="C21" s="3029" t="s">
        <v>2510</v>
      </c>
      <c r="D21" s="3029" t="s">
        <v>2511</v>
      </c>
      <c r="E21" s="3029" t="s">
        <v>2512</v>
      </c>
      <c r="F21" s="3029" t="s">
        <v>2513</v>
      </c>
      <c r="G21" s="3030" t="s">
        <v>2514</v>
      </c>
      <c r="I21" s="3051">
        <v>5</v>
      </c>
      <c r="J21" s="3051">
        <v>54.2</v>
      </c>
    </row>
    <row r="22" spans="1:13">
      <c r="A22" s="3028" t="s">
        <v>2515</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2516</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2556</v>
      </c>
      <c r="M23" s="3051" t="s">
        <v>2557</v>
      </c>
    </row>
    <row r="24" spans="1:13">
      <c r="A24" s="3028" t="s">
        <v>2517</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2555</v>
      </c>
      <c r="M24" s="3051">
        <v>10</v>
      </c>
    </row>
    <row r="25" spans="1:13">
      <c r="A25" s="3028" t="s">
        <v>2518</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2559</v>
      </c>
      <c r="M25" s="3051">
        <v>8</v>
      </c>
    </row>
    <row r="26" spans="1:13">
      <c r="A26" s="3033"/>
      <c r="B26" s="3034"/>
      <c r="C26" s="3034"/>
      <c r="D26" s="3034"/>
      <c r="E26" s="3034"/>
      <c r="F26" s="3034"/>
      <c r="G26" s="3035"/>
      <c r="I26" s="3051">
        <v>30</v>
      </c>
      <c r="J26" s="3051">
        <v>90.5</v>
      </c>
      <c r="K26" s="3051">
        <f t="shared" si="2"/>
        <v>4.2000000000000028</v>
      </c>
      <c r="L26" s="3051" t="s">
        <v>2560</v>
      </c>
      <c r="M26" s="3051">
        <v>5</v>
      </c>
    </row>
    <row r="27" spans="1:13">
      <c r="A27" s="3033" t="s">
        <v>2519</v>
      </c>
      <c r="B27" s="3034"/>
      <c r="C27" s="3034"/>
      <c r="D27" s="3034"/>
      <c r="E27" s="3034"/>
      <c r="F27" s="3034"/>
      <c r="G27" s="3035"/>
      <c r="I27" s="3051">
        <v>35</v>
      </c>
      <c r="J27" s="3051">
        <v>93.8</v>
      </c>
      <c r="K27" s="3051">
        <f t="shared" si="2"/>
        <v>3.2999999999999972</v>
      </c>
      <c r="L27" s="3051" t="s">
        <v>2561</v>
      </c>
      <c r="M27" s="3051">
        <v>3</v>
      </c>
    </row>
    <row r="28" spans="1:13">
      <c r="A28" s="3033" t="s">
        <v>2520</v>
      </c>
      <c r="B28" s="3034"/>
      <c r="C28" s="3034"/>
      <c r="D28" s="3034"/>
      <c r="E28" s="3034"/>
      <c r="F28" s="3034"/>
      <c r="G28" s="3035"/>
      <c r="I28" s="3051">
        <v>40</v>
      </c>
      <c r="J28" s="3051">
        <v>96.4</v>
      </c>
      <c r="K28" s="3051">
        <f t="shared" si="2"/>
        <v>2.6000000000000085</v>
      </c>
      <c r="L28" s="3051" t="s">
        <v>2562</v>
      </c>
      <c r="M28" s="3051">
        <v>2</v>
      </c>
    </row>
    <row r="29" spans="1:13">
      <c r="A29" s="3033" t="s">
        <v>2521</v>
      </c>
      <c r="B29" s="3034"/>
      <c r="C29" s="3034"/>
      <c r="D29" s="3034"/>
      <c r="E29" s="3034"/>
      <c r="F29" s="3034"/>
      <c r="G29" s="3035"/>
      <c r="I29" s="3051">
        <v>45</v>
      </c>
      <c r="J29" s="3051">
        <v>98.4</v>
      </c>
      <c r="K29" s="3051">
        <f t="shared" si="2"/>
        <v>2</v>
      </c>
    </row>
    <row r="30" spans="1:13">
      <c r="A30" s="3033" t="s">
        <v>2522</v>
      </c>
      <c r="B30" s="3034"/>
      <c r="C30" s="3034"/>
      <c r="D30" s="3034"/>
      <c r="E30" s="3034"/>
      <c r="F30" s="3034"/>
      <c r="G30" s="3035"/>
      <c r="I30" s="3051">
        <v>50</v>
      </c>
      <c r="J30" s="3051">
        <v>100</v>
      </c>
      <c r="K30" s="3051">
        <f t="shared" si="2"/>
        <v>1.5999999999999943</v>
      </c>
    </row>
    <row r="31" spans="1:13">
      <c r="A31" s="3033" t="s">
        <v>2523</v>
      </c>
      <c r="B31" s="3034"/>
      <c r="C31" s="3034"/>
      <c r="D31" s="3034"/>
      <c r="E31" s="3034"/>
      <c r="F31" s="3034"/>
      <c r="G31" s="3035"/>
      <c r="I31" s="3051" t="s">
        <v>2554</v>
      </c>
    </row>
    <row r="32" spans="1:13">
      <c r="A32" s="3033" t="s">
        <v>2524</v>
      </c>
      <c r="B32" s="3034"/>
      <c r="C32" s="3034"/>
      <c r="D32" s="3034"/>
      <c r="E32" s="3034"/>
      <c r="F32" s="3034"/>
      <c r="G32" s="3035"/>
    </row>
    <row r="33" spans="1:13">
      <c r="A33" s="3033" t="s">
        <v>2525</v>
      </c>
      <c r="B33" s="3034"/>
      <c r="C33" s="3034"/>
      <c r="D33" s="3034"/>
      <c r="E33" s="3034"/>
      <c r="F33" s="3034"/>
      <c r="G33" s="3035"/>
      <c r="I33" s="3051" t="s">
        <v>2553</v>
      </c>
      <c r="J33" s="3051" t="s">
        <v>2563</v>
      </c>
    </row>
    <row r="34" spans="1:13">
      <c r="A34" s="3033" t="s">
        <v>2526</v>
      </c>
      <c r="B34" s="3034"/>
      <c r="C34" s="3034"/>
      <c r="D34" s="3034"/>
      <c r="E34" s="3034"/>
      <c r="F34" s="3034"/>
      <c r="G34" s="3035"/>
      <c r="I34" s="3051">
        <v>5</v>
      </c>
      <c r="J34" s="3051">
        <v>55.1</v>
      </c>
    </row>
    <row r="35" spans="1:13">
      <c r="A35" s="3033" t="s">
        <v>2527</v>
      </c>
      <c r="B35" s="3034"/>
      <c r="C35" s="3034"/>
      <c r="D35" s="3034"/>
      <c r="E35" s="3034"/>
      <c r="F35" s="3034"/>
      <c r="G35" s="3035"/>
      <c r="I35" s="3051">
        <v>10</v>
      </c>
      <c r="J35" s="3051">
        <v>67</v>
      </c>
      <c r="K35" s="3051">
        <f>J35-J34</f>
        <v>11.899999999999999</v>
      </c>
    </row>
    <row r="36" spans="1:13">
      <c r="A36" s="3033" t="s">
        <v>2528</v>
      </c>
      <c r="B36" s="3034"/>
      <c r="C36" s="3034"/>
      <c r="D36" s="3034"/>
      <c r="E36" s="3034"/>
      <c r="F36" s="3034"/>
      <c r="G36" s="3035"/>
      <c r="I36" s="3051">
        <v>15</v>
      </c>
      <c r="J36" s="3051">
        <v>76.3</v>
      </c>
      <c r="K36" s="3051">
        <f t="shared" ref="K36:K41" si="3">J36-J35</f>
        <v>9.2999999999999972</v>
      </c>
      <c r="L36" s="3051" t="s">
        <v>2556</v>
      </c>
      <c r="M36" s="3051" t="s">
        <v>2557</v>
      </c>
    </row>
    <row r="37" spans="1:13">
      <c r="A37" s="3033" t="s">
        <v>2529</v>
      </c>
      <c r="B37" s="3034"/>
      <c r="C37" s="3034"/>
      <c r="D37" s="3034"/>
      <c r="E37" s="3034"/>
      <c r="F37" s="3034"/>
      <c r="G37" s="3035"/>
      <c r="I37" s="3051">
        <v>20</v>
      </c>
      <c r="J37" s="3051">
        <v>83.6</v>
      </c>
      <c r="K37" s="3051">
        <f t="shared" si="3"/>
        <v>7.2999999999999972</v>
      </c>
      <c r="L37" s="3051" t="s">
        <v>2555</v>
      </c>
      <c r="M37" s="3051">
        <v>10</v>
      </c>
    </row>
    <row r="38" spans="1:13">
      <c r="A38" s="3033" t="s">
        <v>2530</v>
      </c>
      <c r="B38" s="3034"/>
      <c r="C38" s="3034"/>
      <c r="D38" s="3034"/>
      <c r="E38" s="3034"/>
      <c r="F38" s="3034"/>
      <c r="G38" s="3035"/>
      <c r="I38" s="3051">
        <v>25</v>
      </c>
      <c r="J38" s="3051">
        <v>89.3</v>
      </c>
      <c r="K38" s="3051">
        <f t="shared" si="3"/>
        <v>5.7000000000000028</v>
      </c>
      <c r="L38" s="3051" t="s">
        <v>2559</v>
      </c>
      <c r="M38" s="3051">
        <v>8</v>
      </c>
    </row>
    <row r="39" spans="1:13">
      <c r="A39" s="3033"/>
      <c r="B39" s="3034"/>
      <c r="C39" s="3034"/>
      <c r="D39" s="3034"/>
      <c r="E39" s="3034"/>
      <c r="F39" s="3034"/>
      <c r="G39" s="3035"/>
      <c r="I39" s="3051">
        <v>30</v>
      </c>
      <c r="J39" s="3051">
        <v>93.8</v>
      </c>
      <c r="K39" s="3051">
        <f t="shared" si="3"/>
        <v>4.5</v>
      </c>
      <c r="L39" s="3051" t="s">
        <v>2560</v>
      </c>
      <c r="M39" s="3051">
        <v>6</v>
      </c>
    </row>
    <row r="40" spans="1:13">
      <c r="A40" s="3036" t="s">
        <v>2531</v>
      </c>
      <c r="B40" s="3037"/>
      <c r="C40" s="3037"/>
      <c r="D40" s="3037"/>
      <c r="E40" s="3037"/>
      <c r="F40" s="3037"/>
      <c r="G40" s="3038"/>
      <c r="I40" s="3051">
        <v>35</v>
      </c>
      <c r="J40" s="3051">
        <v>97.2</v>
      </c>
      <c r="K40" s="3051">
        <f t="shared" si="3"/>
        <v>3.4000000000000057</v>
      </c>
      <c r="L40" s="3051" t="s">
        <v>2561</v>
      </c>
      <c r="M40" s="3051">
        <v>3</v>
      </c>
    </row>
    <row r="41" spans="1:13">
      <c r="A41" s="3039" t="s">
        <v>2532</v>
      </c>
      <c r="B41" s="3040" t="s">
        <v>2533</v>
      </c>
      <c r="C41" s="3041" t="s">
        <v>2534</v>
      </c>
      <c r="D41" s="3041" t="s">
        <v>2535</v>
      </c>
      <c r="E41" s="3042"/>
      <c r="F41" s="3043"/>
      <c r="G41" s="3044"/>
      <c r="I41" s="3051">
        <v>40</v>
      </c>
      <c r="J41" s="3051">
        <v>100</v>
      </c>
      <c r="K41" s="3051">
        <f t="shared" si="3"/>
        <v>2.7999999999999972</v>
      </c>
    </row>
    <row r="42" spans="1:13">
      <c r="A42" s="3039" t="s">
        <v>2536</v>
      </c>
      <c r="B42" s="3040" t="s">
        <v>2537</v>
      </c>
      <c r="C42" s="3041" t="s">
        <v>2538</v>
      </c>
      <c r="D42" s="3045" t="s">
        <v>2539</v>
      </c>
      <c r="E42" s="3037" t="s">
        <v>2540</v>
      </c>
      <c r="F42" s="3037"/>
      <c r="G42" s="3038"/>
    </row>
    <row r="43" spans="1:13">
      <c r="A43" s="3039" t="s">
        <v>2541</v>
      </c>
      <c r="B43" s="3040" t="s">
        <v>2542</v>
      </c>
      <c r="C43" s="3041" t="s">
        <v>2543</v>
      </c>
      <c r="D43" s="3041" t="s">
        <v>2544</v>
      </c>
      <c r="E43" s="3042" t="s">
        <v>2545</v>
      </c>
      <c r="F43" s="3043"/>
      <c r="G43" s="3044"/>
      <c r="I43" s="3051" t="s">
        <v>2553</v>
      </c>
      <c r="J43" s="3051" t="s">
        <v>2564</v>
      </c>
    </row>
    <row r="44" spans="1:13">
      <c r="A44" s="3039" t="s">
        <v>2546</v>
      </c>
      <c r="B44" s="3040" t="s">
        <v>2547</v>
      </c>
      <c r="C44" s="3041" t="s">
        <v>2548</v>
      </c>
      <c r="D44" s="3045">
        <v>0.5</v>
      </c>
      <c r="E44" s="3042" t="s">
        <v>2549</v>
      </c>
      <c r="F44" s="3043"/>
      <c r="G44" s="3044"/>
      <c r="I44" s="3051">
        <v>30</v>
      </c>
      <c r="J44" s="3051">
        <v>81.7</v>
      </c>
    </row>
    <row r="45" spans="1:13" ht="15" thickBot="1">
      <c r="A45" s="3046" t="s">
        <v>2550</v>
      </c>
      <c r="B45" s="3047" t="s">
        <v>2537</v>
      </c>
      <c r="C45" s="3048" t="s">
        <v>2537</v>
      </c>
      <c r="D45" s="3048" t="s">
        <v>2551</v>
      </c>
      <c r="E45" s="3049" t="s">
        <v>2552</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zoomScale="70" zoomScaleNormal="70" workbookViewId="0">
      <selection activeCell="G16" sqref="G3:G16"/>
    </sheetView>
  </sheetViews>
  <sheetFormatPr defaultColWidth="9" defaultRowHeight="14.4"/>
  <cols>
    <col min="1" max="3" width="9" style="3466"/>
    <col min="4" max="4" width="35.21875" style="3466" customWidth="1"/>
    <col min="5" max="16384" width="9" style="3466"/>
  </cols>
  <sheetData>
    <row r="1" spans="1:7" ht="16.8">
      <c r="A1" s="3522" t="s">
        <v>3547</v>
      </c>
      <c r="B1" s="3522"/>
      <c r="C1" s="3522"/>
      <c r="D1" s="3522"/>
      <c r="E1" s="3522"/>
    </row>
    <row r="2" spans="1:7" ht="28.8">
      <c r="A2" s="3467" t="s">
        <v>3548</v>
      </c>
      <c r="B2" s="3467" t="s">
        <v>3549</v>
      </c>
      <c r="C2" s="3467" t="s">
        <v>3550</v>
      </c>
      <c r="D2" s="3467" t="s">
        <v>3551</v>
      </c>
      <c r="E2" s="3467" t="s">
        <v>3552</v>
      </c>
      <c r="G2" s="3468" t="s">
        <v>3553</v>
      </c>
    </row>
    <row r="3" spans="1:7" ht="72">
      <c r="A3" s="3467">
        <v>1</v>
      </c>
      <c r="B3" s="3467" t="s">
        <v>3554</v>
      </c>
      <c r="C3" s="3469">
        <v>5308</v>
      </c>
      <c r="D3" s="3470" t="s">
        <v>3555</v>
      </c>
      <c r="E3" s="3470" t="s">
        <v>3556</v>
      </c>
      <c r="G3" s="3466">
        <f>C3</f>
        <v>5308</v>
      </c>
    </row>
    <row r="4" spans="1:7" ht="72">
      <c r="A4" s="3523">
        <v>2</v>
      </c>
      <c r="B4" s="3523" t="s">
        <v>3557</v>
      </c>
      <c r="C4" s="3467" t="s">
        <v>3558</v>
      </c>
      <c r="D4" s="3470" t="s">
        <v>3559</v>
      </c>
      <c r="E4" s="3523" t="s">
        <v>3560</v>
      </c>
      <c r="G4" s="3466">
        <v>2602</v>
      </c>
    </row>
    <row r="5" spans="1:7" ht="57.6">
      <c r="A5" s="3524"/>
      <c r="B5" s="3524"/>
      <c r="C5" s="3467" t="s">
        <v>3561</v>
      </c>
      <c r="D5" s="3470" t="s">
        <v>3562</v>
      </c>
      <c r="E5" s="3524"/>
      <c r="G5" s="3466">
        <v>2075</v>
      </c>
    </row>
    <row r="6" spans="1:7" ht="57.6">
      <c r="A6" s="3467">
        <v>3</v>
      </c>
      <c r="B6" s="3467">
        <v>1</v>
      </c>
      <c r="C6" s="3467">
        <v>3355</v>
      </c>
      <c r="D6" s="3470" t="s">
        <v>3563</v>
      </c>
      <c r="E6" s="3470" t="s">
        <v>3556</v>
      </c>
      <c r="G6" s="3466">
        <f>C6</f>
        <v>3355</v>
      </c>
    </row>
    <row r="7" spans="1:7" ht="28.8">
      <c r="A7" s="3467">
        <v>4</v>
      </c>
      <c r="B7" s="3467">
        <v>2</v>
      </c>
      <c r="C7" s="3467">
        <v>1419</v>
      </c>
      <c r="D7" s="3470" t="s">
        <v>3564</v>
      </c>
      <c r="E7" s="3470" t="s">
        <v>3556</v>
      </c>
      <c r="G7" s="3466">
        <f t="shared" ref="G7:G8" si="0">C7</f>
        <v>1419</v>
      </c>
    </row>
    <row r="8" spans="1:7" ht="57.6">
      <c r="A8" s="3467">
        <v>5</v>
      </c>
      <c r="B8" s="3467">
        <v>3</v>
      </c>
      <c r="C8" s="3467">
        <v>1901</v>
      </c>
      <c r="D8" s="3470" t="s">
        <v>3565</v>
      </c>
      <c r="E8" s="3470" t="s">
        <v>3556</v>
      </c>
      <c r="G8" s="3466">
        <f t="shared" si="0"/>
        <v>1901</v>
      </c>
    </row>
    <row r="9" spans="1:7" ht="57.6">
      <c r="A9" s="3467">
        <v>6</v>
      </c>
      <c r="B9" s="3467">
        <v>4</v>
      </c>
      <c r="C9" s="3467">
        <v>1784</v>
      </c>
      <c r="D9" s="3470" t="s">
        <v>3566</v>
      </c>
      <c r="E9" s="3470" t="s">
        <v>3556</v>
      </c>
      <c r="G9" s="3466">
        <f>C9</f>
        <v>1784</v>
      </c>
    </row>
    <row r="10" spans="1:7">
      <c r="A10" s="3467">
        <v>7</v>
      </c>
      <c r="B10" s="3467" t="s">
        <v>3567</v>
      </c>
      <c r="C10" s="3467" t="s">
        <v>3568</v>
      </c>
      <c r="D10" s="3467" t="s">
        <v>3569</v>
      </c>
      <c r="E10" s="3467" t="s">
        <v>3568</v>
      </c>
    </row>
    <row r="11" spans="1:7" ht="43.2">
      <c r="A11" s="3467">
        <v>8</v>
      </c>
      <c r="B11" s="3467">
        <v>14</v>
      </c>
      <c r="C11" s="3467">
        <v>1565</v>
      </c>
      <c r="D11" s="3470" t="s">
        <v>3570</v>
      </c>
      <c r="E11" s="3470" t="s">
        <v>3571</v>
      </c>
      <c r="G11" s="3466">
        <f>C11</f>
        <v>1565</v>
      </c>
    </row>
    <row r="12" spans="1:7" ht="43.2">
      <c r="A12" s="3467">
        <v>9</v>
      </c>
      <c r="B12" s="3467" t="s">
        <v>3572</v>
      </c>
      <c r="C12" s="3467">
        <v>1565</v>
      </c>
      <c r="D12" s="3470" t="s">
        <v>3573</v>
      </c>
      <c r="E12" s="3470" t="s">
        <v>3574</v>
      </c>
      <c r="F12" s="3466">
        <v>2</v>
      </c>
      <c r="G12" s="3466">
        <f>C12*F12</f>
        <v>3130</v>
      </c>
    </row>
    <row r="13" spans="1:7" ht="43.2">
      <c r="A13" s="3467">
        <v>10</v>
      </c>
      <c r="B13" s="3467" t="s">
        <v>3575</v>
      </c>
      <c r="C13" s="3467">
        <v>1565</v>
      </c>
      <c r="D13" s="3470" t="s">
        <v>3576</v>
      </c>
      <c r="E13" s="3470" t="s">
        <v>3574</v>
      </c>
      <c r="F13" s="3466">
        <v>8</v>
      </c>
      <c r="G13" s="3466">
        <f>C13*F13</f>
        <v>12520</v>
      </c>
    </row>
    <row r="14" spans="1:7" ht="43.2">
      <c r="A14" s="3467">
        <v>11</v>
      </c>
      <c r="B14" s="3467" t="s">
        <v>3577</v>
      </c>
      <c r="C14" s="3467">
        <v>1565</v>
      </c>
      <c r="D14" s="3470" t="s">
        <v>3578</v>
      </c>
      <c r="E14" s="3470" t="s">
        <v>3579</v>
      </c>
      <c r="F14" s="3466">
        <v>3</v>
      </c>
      <c r="G14" s="3466">
        <f>C14*F14</f>
        <v>4695</v>
      </c>
    </row>
    <row r="15" spans="1:7" ht="43.2">
      <c r="A15" s="3467">
        <v>12</v>
      </c>
      <c r="B15" s="3467">
        <v>28</v>
      </c>
      <c r="C15" s="3467">
        <v>1565</v>
      </c>
      <c r="D15" s="3470" t="s">
        <v>3580</v>
      </c>
      <c r="E15" s="3470" t="s">
        <v>3579</v>
      </c>
      <c r="G15" s="3466">
        <f>C15</f>
        <v>1565</v>
      </c>
    </row>
    <row r="16" spans="1:7" ht="43.2">
      <c r="A16" s="3467">
        <v>13</v>
      </c>
      <c r="B16" s="3467">
        <v>29</v>
      </c>
      <c r="C16" s="3467">
        <v>1565</v>
      </c>
      <c r="D16" s="3470" t="s">
        <v>3581</v>
      </c>
      <c r="E16" s="3470" t="s">
        <v>3582</v>
      </c>
      <c r="G16" s="3466">
        <f>C16</f>
        <v>1565</v>
      </c>
    </row>
    <row r="17" spans="1:7">
      <c r="A17" s="3469"/>
      <c r="B17" s="3469"/>
      <c r="C17" s="3469"/>
      <c r="G17" s="3466">
        <f>SUM(G3:G16)</f>
        <v>43484</v>
      </c>
    </row>
  </sheetData>
  <mergeCells count="4">
    <mergeCell ref="A1:E1"/>
    <mergeCell ref="A4:A5"/>
    <mergeCell ref="B4:B5"/>
    <mergeCell ref="E4:E5"/>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5"/>
  <sheetViews>
    <sheetView topLeftCell="G1" zoomScaleNormal="100" workbookViewId="0">
      <selection activeCell="I12" sqref="I12"/>
    </sheetView>
  </sheetViews>
  <sheetFormatPr defaultRowHeight="15.6"/>
  <cols>
    <col min="1" max="2" width="9" style="3458"/>
    <col min="3" max="3" width="19.6640625" style="3458" customWidth="1"/>
    <col min="4" max="4" width="13.109375" style="3458" customWidth="1"/>
    <col min="5" max="5" width="13" style="3458" customWidth="1"/>
    <col min="6" max="6" width="17.21875" style="3458" customWidth="1"/>
    <col min="7" max="7" width="9" style="3458"/>
    <col min="8" max="8" width="24.109375" style="3458" customWidth="1"/>
    <col min="9" max="9" width="12.33203125" style="3458" bestFit="1" customWidth="1"/>
    <col min="10" max="10" width="17.77734375" style="3458" bestFit="1" customWidth="1"/>
    <col min="11" max="258" width="9" style="3458"/>
    <col min="259" max="259" width="19.6640625" style="3458" customWidth="1"/>
    <col min="260" max="260" width="13.109375" style="3458" customWidth="1"/>
    <col min="261" max="261" width="13" style="3458" customWidth="1"/>
    <col min="262" max="262" width="17.21875" style="3458" customWidth="1"/>
    <col min="263" max="263" width="9" style="3458"/>
    <col min="264" max="264" width="24.109375" style="3458" customWidth="1"/>
    <col min="265" max="265" width="12.33203125" style="3458" bestFit="1" customWidth="1"/>
    <col min="266" max="266" width="17.77734375" style="3458" bestFit="1" customWidth="1"/>
    <col min="267" max="514" width="9" style="3458"/>
    <col min="515" max="515" width="19.6640625" style="3458" customWidth="1"/>
    <col min="516" max="516" width="13.109375" style="3458" customWidth="1"/>
    <col min="517" max="517" width="13" style="3458" customWidth="1"/>
    <col min="518" max="518" width="17.21875" style="3458" customWidth="1"/>
    <col min="519" max="519" width="9" style="3458"/>
    <col min="520" max="520" width="24.109375" style="3458" customWidth="1"/>
    <col min="521" max="521" width="12.33203125" style="3458" bestFit="1" customWidth="1"/>
    <col min="522" max="522" width="17.77734375" style="3458" bestFit="1" customWidth="1"/>
    <col min="523" max="770" width="9" style="3458"/>
    <col min="771" max="771" width="19.6640625" style="3458" customWidth="1"/>
    <col min="772" max="772" width="13.109375" style="3458" customWidth="1"/>
    <col min="773" max="773" width="13" style="3458" customWidth="1"/>
    <col min="774" max="774" width="17.21875" style="3458" customWidth="1"/>
    <col min="775" max="775" width="9" style="3458"/>
    <col min="776" max="776" width="24.109375" style="3458" customWidth="1"/>
    <col min="777" max="777" width="12.33203125" style="3458" bestFit="1" customWidth="1"/>
    <col min="778" max="778" width="17.77734375" style="3458" bestFit="1" customWidth="1"/>
    <col min="779" max="1026" width="9" style="3458"/>
    <col min="1027" max="1027" width="19.6640625" style="3458" customWidth="1"/>
    <col min="1028" max="1028" width="13.109375" style="3458" customWidth="1"/>
    <col min="1029" max="1029" width="13" style="3458" customWidth="1"/>
    <col min="1030" max="1030" width="17.21875" style="3458" customWidth="1"/>
    <col min="1031" max="1031" width="9" style="3458"/>
    <col min="1032" max="1032" width="24.109375" style="3458" customWidth="1"/>
    <col min="1033" max="1033" width="12.33203125" style="3458" bestFit="1" customWidth="1"/>
    <col min="1034" max="1034" width="17.77734375" style="3458" bestFit="1" customWidth="1"/>
    <col min="1035" max="1282" width="9" style="3458"/>
    <col min="1283" max="1283" width="19.6640625" style="3458" customWidth="1"/>
    <col min="1284" max="1284" width="13.109375" style="3458" customWidth="1"/>
    <col min="1285" max="1285" width="13" style="3458" customWidth="1"/>
    <col min="1286" max="1286" width="17.21875" style="3458" customWidth="1"/>
    <col min="1287" max="1287" width="9" style="3458"/>
    <col min="1288" max="1288" width="24.109375" style="3458" customWidth="1"/>
    <col min="1289" max="1289" width="12.33203125" style="3458" bestFit="1" customWidth="1"/>
    <col min="1290" max="1290" width="17.77734375" style="3458" bestFit="1" customWidth="1"/>
    <col min="1291" max="1538" width="9" style="3458"/>
    <col min="1539" max="1539" width="19.6640625" style="3458" customWidth="1"/>
    <col min="1540" max="1540" width="13.109375" style="3458" customWidth="1"/>
    <col min="1541" max="1541" width="13" style="3458" customWidth="1"/>
    <col min="1542" max="1542" width="17.21875" style="3458" customWidth="1"/>
    <col min="1543" max="1543" width="9" style="3458"/>
    <col min="1544" max="1544" width="24.109375" style="3458" customWidth="1"/>
    <col min="1545" max="1545" width="12.33203125" style="3458" bestFit="1" customWidth="1"/>
    <col min="1546" max="1546" width="17.77734375" style="3458" bestFit="1" customWidth="1"/>
    <col min="1547" max="1794" width="9" style="3458"/>
    <col min="1795" max="1795" width="19.6640625" style="3458" customWidth="1"/>
    <col min="1796" max="1796" width="13.109375" style="3458" customWidth="1"/>
    <col min="1797" max="1797" width="13" style="3458" customWidth="1"/>
    <col min="1798" max="1798" width="17.21875" style="3458" customWidth="1"/>
    <col min="1799" max="1799" width="9" style="3458"/>
    <col min="1800" max="1800" width="24.109375" style="3458" customWidth="1"/>
    <col min="1801" max="1801" width="12.33203125" style="3458" bestFit="1" customWidth="1"/>
    <col min="1802" max="1802" width="17.77734375" style="3458" bestFit="1" customWidth="1"/>
    <col min="1803" max="2050" width="9" style="3458"/>
    <col min="2051" max="2051" width="19.6640625" style="3458" customWidth="1"/>
    <col min="2052" max="2052" width="13.109375" style="3458" customWidth="1"/>
    <col min="2053" max="2053" width="13" style="3458" customWidth="1"/>
    <col min="2054" max="2054" width="17.21875" style="3458" customWidth="1"/>
    <col min="2055" max="2055" width="9" style="3458"/>
    <col min="2056" max="2056" width="24.109375" style="3458" customWidth="1"/>
    <col min="2057" max="2057" width="12.33203125" style="3458" bestFit="1" customWidth="1"/>
    <col min="2058" max="2058" width="17.77734375" style="3458" bestFit="1" customWidth="1"/>
    <col min="2059" max="2306" width="9" style="3458"/>
    <col min="2307" max="2307" width="19.6640625" style="3458" customWidth="1"/>
    <col min="2308" max="2308" width="13.109375" style="3458" customWidth="1"/>
    <col min="2309" max="2309" width="13" style="3458" customWidth="1"/>
    <col min="2310" max="2310" width="17.21875" style="3458" customWidth="1"/>
    <col min="2311" max="2311" width="9" style="3458"/>
    <col min="2312" max="2312" width="24.109375" style="3458" customWidth="1"/>
    <col min="2313" max="2313" width="12.33203125" style="3458" bestFit="1" customWidth="1"/>
    <col min="2314" max="2314" width="17.77734375" style="3458" bestFit="1" customWidth="1"/>
    <col min="2315" max="2562" width="9" style="3458"/>
    <col min="2563" max="2563" width="19.6640625" style="3458" customWidth="1"/>
    <col min="2564" max="2564" width="13.109375" style="3458" customWidth="1"/>
    <col min="2565" max="2565" width="13" style="3458" customWidth="1"/>
    <col min="2566" max="2566" width="17.21875" style="3458" customWidth="1"/>
    <col min="2567" max="2567" width="9" style="3458"/>
    <col min="2568" max="2568" width="24.109375" style="3458" customWidth="1"/>
    <col min="2569" max="2569" width="12.33203125" style="3458" bestFit="1" customWidth="1"/>
    <col min="2570" max="2570" width="17.77734375" style="3458" bestFit="1" customWidth="1"/>
    <col min="2571" max="2818" width="9" style="3458"/>
    <col min="2819" max="2819" width="19.6640625" style="3458" customWidth="1"/>
    <col min="2820" max="2820" width="13.109375" style="3458" customWidth="1"/>
    <col min="2821" max="2821" width="13" style="3458" customWidth="1"/>
    <col min="2822" max="2822" width="17.21875" style="3458" customWidth="1"/>
    <col min="2823" max="2823" width="9" style="3458"/>
    <col min="2824" max="2824" width="24.109375" style="3458" customWidth="1"/>
    <col min="2825" max="2825" width="12.33203125" style="3458" bestFit="1" customWidth="1"/>
    <col min="2826" max="2826" width="17.77734375" style="3458" bestFit="1" customWidth="1"/>
    <col min="2827" max="3074" width="9" style="3458"/>
    <col min="3075" max="3075" width="19.6640625" style="3458" customWidth="1"/>
    <col min="3076" max="3076" width="13.109375" style="3458" customWidth="1"/>
    <col min="3077" max="3077" width="13" style="3458" customWidth="1"/>
    <col min="3078" max="3078" width="17.21875" style="3458" customWidth="1"/>
    <col min="3079" max="3079" width="9" style="3458"/>
    <col min="3080" max="3080" width="24.109375" style="3458" customWidth="1"/>
    <col min="3081" max="3081" width="12.33203125" style="3458" bestFit="1" customWidth="1"/>
    <col min="3082" max="3082" width="17.77734375" style="3458" bestFit="1" customWidth="1"/>
    <col min="3083" max="3330" width="9" style="3458"/>
    <col min="3331" max="3331" width="19.6640625" style="3458" customWidth="1"/>
    <col min="3332" max="3332" width="13.109375" style="3458" customWidth="1"/>
    <col min="3333" max="3333" width="13" style="3458" customWidth="1"/>
    <col min="3334" max="3334" width="17.21875" style="3458" customWidth="1"/>
    <col min="3335" max="3335" width="9" style="3458"/>
    <col min="3336" max="3336" width="24.109375" style="3458" customWidth="1"/>
    <col min="3337" max="3337" width="12.33203125" style="3458" bestFit="1" customWidth="1"/>
    <col min="3338" max="3338" width="17.77734375" style="3458" bestFit="1" customWidth="1"/>
    <col min="3339" max="3586" width="9" style="3458"/>
    <col min="3587" max="3587" width="19.6640625" style="3458" customWidth="1"/>
    <col min="3588" max="3588" width="13.109375" style="3458" customWidth="1"/>
    <col min="3589" max="3589" width="13" style="3458" customWidth="1"/>
    <col min="3590" max="3590" width="17.21875" style="3458" customWidth="1"/>
    <col min="3591" max="3591" width="9" style="3458"/>
    <col min="3592" max="3592" width="24.109375" style="3458" customWidth="1"/>
    <col min="3593" max="3593" width="12.33203125" style="3458" bestFit="1" customWidth="1"/>
    <col min="3594" max="3594" width="17.77734375" style="3458" bestFit="1" customWidth="1"/>
    <col min="3595" max="3842" width="9" style="3458"/>
    <col min="3843" max="3843" width="19.6640625" style="3458" customWidth="1"/>
    <col min="3844" max="3844" width="13.109375" style="3458" customWidth="1"/>
    <col min="3845" max="3845" width="13" style="3458" customWidth="1"/>
    <col min="3846" max="3846" width="17.21875" style="3458" customWidth="1"/>
    <col min="3847" max="3847" width="9" style="3458"/>
    <col min="3848" max="3848" width="24.109375" style="3458" customWidth="1"/>
    <col min="3849" max="3849" width="12.33203125" style="3458" bestFit="1" customWidth="1"/>
    <col min="3850" max="3850" width="17.77734375" style="3458" bestFit="1" customWidth="1"/>
    <col min="3851" max="4098" width="9" style="3458"/>
    <col min="4099" max="4099" width="19.6640625" style="3458" customWidth="1"/>
    <col min="4100" max="4100" width="13.109375" style="3458" customWidth="1"/>
    <col min="4101" max="4101" width="13" style="3458" customWidth="1"/>
    <col min="4102" max="4102" width="17.21875" style="3458" customWidth="1"/>
    <col min="4103" max="4103" width="9" style="3458"/>
    <col min="4104" max="4104" width="24.109375" style="3458" customWidth="1"/>
    <col min="4105" max="4105" width="12.33203125" style="3458" bestFit="1" customWidth="1"/>
    <col min="4106" max="4106" width="17.77734375" style="3458" bestFit="1" customWidth="1"/>
    <col min="4107" max="4354" width="9" style="3458"/>
    <col min="4355" max="4355" width="19.6640625" style="3458" customWidth="1"/>
    <col min="4356" max="4356" width="13.109375" style="3458" customWidth="1"/>
    <col min="4357" max="4357" width="13" style="3458" customWidth="1"/>
    <col min="4358" max="4358" width="17.21875" style="3458" customWidth="1"/>
    <col min="4359" max="4359" width="9" style="3458"/>
    <col min="4360" max="4360" width="24.109375" style="3458" customWidth="1"/>
    <col min="4361" max="4361" width="12.33203125" style="3458" bestFit="1" customWidth="1"/>
    <col min="4362" max="4362" width="17.77734375" style="3458" bestFit="1" customWidth="1"/>
    <col min="4363" max="4610" width="9" style="3458"/>
    <col min="4611" max="4611" width="19.6640625" style="3458" customWidth="1"/>
    <col min="4612" max="4612" width="13.109375" style="3458" customWidth="1"/>
    <col min="4613" max="4613" width="13" style="3458" customWidth="1"/>
    <col min="4614" max="4614" width="17.21875" style="3458" customWidth="1"/>
    <col min="4615" max="4615" width="9" style="3458"/>
    <col min="4616" max="4616" width="24.109375" style="3458" customWidth="1"/>
    <col min="4617" max="4617" width="12.33203125" style="3458" bestFit="1" customWidth="1"/>
    <col min="4618" max="4618" width="17.77734375" style="3458" bestFit="1" customWidth="1"/>
    <col min="4619" max="4866" width="9" style="3458"/>
    <col min="4867" max="4867" width="19.6640625" style="3458" customWidth="1"/>
    <col min="4868" max="4868" width="13.109375" style="3458" customWidth="1"/>
    <col min="4869" max="4869" width="13" style="3458" customWidth="1"/>
    <col min="4870" max="4870" width="17.21875" style="3458" customWidth="1"/>
    <col min="4871" max="4871" width="9" style="3458"/>
    <col min="4872" max="4872" width="24.109375" style="3458" customWidth="1"/>
    <col min="4873" max="4873" width="12.33203125" style="3458" bestFit="1" customWidth="1"/>
    <col min="4874" max="4874" width="17.77734375" style="3458" bestFit="1" customWidth="1"/>
    <col min="4875" max="5122" width="9" style="3458"/>
    <col min="5123" max="5123" width="19.6640625" style="3458" customWidth="1"/>
    <col min="5124" max="5124" width="13.109375" style="3458" customWidth="1"/>
    <col min="5125" max="5125" width="13" style="3458" customWidth="1"/>
    <col min="5126" max="5126" width="17.21875" style="3458" customWidth="1"/>
    <col min="5127" max="5127" width="9" style="3458"/>
    <col min="5128" max="5128" width="24.109375" style="3458" customWidth="1"/>
    <col min="5129" max="5129" width="12.33203125" style="3458" bestFit="1" customWidth="1"/>
    <col min="5130" max="5130" width="17.77734375" style="3458" bestFit="1" customWidth="1"/>
    <col min="5131" max="5378" width="9" style="3458"/>
    <col min="5379" max="5379" width="19.6640625" style="3458" customWidth="1"/>
    <col min="5380" max="5380" width="13.109375" style="3458" customWidth="1"/>
    <col min="5381" max="5381" width="13" style="3458" customWidth="1"/>
    <col min="5382" max="5382" width="17.21875" style="3458" customWidth="1"/>
    <col min="5383" max="5383" width="9" style="3458"/>
    <col min="5384" max="5384" width="24.109375" style="3458" customWidth="1"/>
    <col min="5385" max="5385" width="12.33203125" style="3458" bestFit="1" customWidth="1"/>
    <col min="5386" max="5386" width="17.77734375" style="3458" bestFit="1" customWidth="1"/>
    <col min="5387" max="5634" width="9" style="3458"/>
    <col min="5635" max="5635" width="19.6640625" style="3458" customWidth="1"/>
    <col min="5636" max="5636" width="13.109375" style="3458" customWidth="1"/>
    <col min="5637" max="5637" width="13" style="3458" customWidth="1"/>
    <col min="5638" max="5638" width="17.21875" style="3458" customWidth="1"/>
    <col min="5639" max="5639" width="9" style="3458"/>
    <col min="5640" max="5640" width="24.109375" style="3458" customWidth="1"/>
    <col min="5641" max="5641" width="12.33203125" style="3458" bestFit="1" customWidth="1"/>
    <col min="5642" max="5642" width="17.77734375" style="3458" bestFit="1" customWidth="1"/>
    <col min="5643" max="5890" width="9" style="3458"/>
    <col min="5891" max="5891" width="19.6640625" style="3458" customWidth="1"/>
    <col min="5892" max="5892" width="13.109375" style="3458" customWidth="1"/>
    <col min="5893" max="5893" width="13" style="3458" customWidth="1"/>
    <col min="5894" max="5894" width="17.21875" style="3458" customWidth="1"/>
    <col min="5895" max="5895" width="9" style="3458"/>
    <col min="5896" max="5896" width="24.109375" style="3458" customWidth="1"/>
    <col min="5897" max="5897" width="12.33203125" style="3458" bestFit="1" customWidth="1"/>
    <col min="5898" max="5898" width="17.77734375" style="3458" bestFit="1" customWidth="1"/>
    <col min="5899" max="6146" width="9" style="3458"/>
    <col min="6147" max="6147" width="19.6640625" style="3458" customWidth="1"/>
    <col min="6148" max="6148" width="13.109375" style="3458" customWidth="1"/>
    <col min="6149" max="6149" width="13" style="3458" customWidth="1"/>
    <col min="6150" max="6150" width="17.21875" style="3458" customWidth="1"/>
    <col min="6151" max="6151" width="9" style="3458"/>
    <col min="6152" max="6152" width="24.109375" style="3458" customWidth="1"/>
    <col min="6153" max="6153" width="12.33203125" style="3458" bestFit="1" customWidth="1"/>
    <col min="6154" max="6154" width="17.77734375" style="3458" bestFit="1" customWidth="1"/>
    <col min="6155" max="6402" width="9" style="3458"/>
    <col min="6403" max="6403" width="19.6640625" style="3458" customWidth="1"/>
    <col min="6404" max="6404" width="13.109375" style="3458" customWidth="1"/>
    <col min="6405" max="6405" width="13" style="3458" customWidth="1"/>
    <col min="6406" max="6406" width="17.21875" style="3458" customWidth="1"/>
    <col min="6407" max="6407" width="9" style="3458"/>
    <col min="6408" max="6408" width="24.109375" style="3458" customWidth="1"/>
    <col min="6409" max="6409" width="12.33203125" style="3458" bestFit="1" customWidth="1"/>
    <col min="6410" max="6410" width="17.77734375" style="3458" bestFit="1" customWidth="1"/>
    <col min="6411" max="6658" width="9" style="3458"/>
    <col min="6659" max="6659" width="19.6640625" style="3458" customWidth="1"/>
    <col min="6660" max="6660" width="13.109375" style="3458" customWidth="1"/>
    <col min="6661" max="6661" width="13" style="3458" customWidth="1"/>
    <col min="6662" max="6662" width="17.21875" style="3458" customWidth="1"/>
    <col min="6663" max="6663" width="9" style="3458"/>
    <col min="6664" max="6664" width="24.109375" style="3458" customWidth="1"/>
    <col min="6665" max="6665" width="12.33203125" style="3458" bestFit="1" customWidth="1"/>
    <col min="6666" max="6666" width="17.77734375" style="3458" bestFit="1" customWidth="1"/>
    <col min="6667" max="6914" width="9" style="3458"/>
    <col min="6915" max="6915" width="19.6640625" style="3458" customWidth="1"/>
    <col min="6916" max="6916" width="13.109375" style="3458" customWidth="1"/>
    <col min="6917" max="6917" width="13" style="3458" customWidth="1"/>
    <col min="6918" max="6918" width="17.21875" style="3458" customWidth="1"/>
    <col min="6919" max="6919" width="9" style="3458"/>
    <col min="6920" max="6920" width="24.109375" style="3458" customWidth="1"/>
    <col min="6921" max="6921" width="12.33203125" style="3458" bestFit="1" customWidth="1"/>
    <col min="6922" max="6922" width="17.77734375" style="3458" bestFit="1" customWidth="1"/>
    <col min="6923" max="7170" width="9" style="3458"/>
    <col min="7171" max="7171" width="19.6640625" style="3458" customWidth="1"/>
    <col min="7172" max="7172" width="13.109375" style="3458" customWidth="1"/>
    <col min="7173" max="7173" width="13" style="3458" customWidth="1"/>
    <col min="7174" max="7174" width="17.21875" style="3458" customWidth="1"/>
    <col min="7175" max="7175" width="9" style="3458"/>
    <col min="7176" max="7176" width="24.109375" style="3458" customWidth="1"/>
    <col min="7177" max="7177" width="12.33203125" style="3458" bestFit="1" customWidth="1"/>
    <col min="7178" max="7178" width="17.77734375" style="3458" bestFit="1" customWidth="1"/>
    <col min="7179" max="7426" width="9" style="3458"/>
    <col min="7427" max="7427" width="19.6640625" style="3458" customWidth="1"/>
    <col min="7428" max="7428" width="13.109375" style="3458" customWidth="1"/>
    <col min="7429" max="7429" width="13" style="3458" customWidth="1"/>
    <col min="7430" max="7430" width="17.21875" style="3458" customWidth="1"/>
    <col min="7431" max="7431" width="9" style="3458"/>
    <col min="7432" max="7432" width="24.109375" style="3458" customWidth="1"/>
    <col min="7433" max="7433" width="12.33203125" style="3458" bestFit="1" customWidth="1"/>
    <col min="7434" max="7434" width="17.77734375" style="3458" bestFit="1" customWidth="1"/>
    <col min="7435" max="7682" width="9" style="3458"/>
    <col min="7683" max="7683" width="19.6640625" style="3458" customWidth="1"/>
    <col min="7684" max="7684" width="13.109375" style="3458" customWidth="1"/>
    <col min="7685" max="7685" width="13" style="3458" customWidth="1"/>
    <col min="7686" max="7686" width="17.21875" style="3458" customWidth="1"/>
    <col min="7687" max="7687" width="9" style="3458"/>
    <col min="7688" max="7688" width="24.109375" style="3458" customWidth="1"/>
    <col min="7689" max="7689" width="12.33203125" style="3458" bestFit="1" customWidth="1"/>
    <col min="7690" max="7690" width="17.77734375" style="3458" bestFit="1" customWidth="1"/>
    <col min="7691" max="7938" width="9" style="3458"/>
    <col min="7939" max="7939" width="19.6640625" style="3458" customWidth="1"/>
    <col min="7940" max="7940" width="13.109375" style="3458" customWidth="1"/>
    <col min="7941" max="7941" width="13" style="3458" customWidth="1"/>
    <col min="7942" max="7942" width="17.21875" style="3458" customWidth="1"/>
    <col min="7943" max="7943" width="9" style="3458"/>
    <col min="7944" max="7944" width="24.109375" style="3458" customWidth="1"/>
    <col min="7945" max="7945" width="12.33203125" style="3458" bestFit="1" customWidth="1"/>
    <col min="7946" max="7946" width="17.77734375" style="3458" bestFit="1" customWidth="1"/>
    <col min="7947" max="8194" width="9" style="3458"/>
    <col min="8195" max="8195" width="19.6640625" style="3458" customWidth="1"/>
    <col min="8196" max="8196" width="13.109375" style="3458" customWidth="1"/>
    <col min="8197" max="8197" width="13" style="3458" customWidth="1"/>
    <col min="8198" max="8198" width="17.21875" style="3458" customWidth="1"/>
    <col min="8199" max="8199" width="9" style="3458"/>
    <col min="8200" max="8200" width="24.109375" style="3458" customWidth="1"/>
    <col min="8201" max="8201" width="12.33203125" style="3458" bestFit="1" customWidth="1"/>
    <col min="8202" max="8202" width="17.77734375" style="3458" bestFit="1" customWidth="1"/>
    <col min="8203" max="8450" width="9" style="3458"/>
    <col min="8451" max="8451" width="19.6640625" style="3458" customWidth="1"/>
    <col min="8452" max="8452" width="13.109375" style="3458" customWidth="1"/>
    <col min="8453" max="8453" width="13" style="3458" customWidth="1"/>
    <col min="8454" max="8454" width="17.21875" style="3458" customWidth="1"/>
    <col min="8455" max="8455" width="9" style="3458"/>
    <col min="8456" max="8456" width="24.109375" style="3458" customWidth="1"/>
    <col min="8457" max="8457" width="12.33203125" style="3458" bestFit="1" customWidth="1"/>
    <col min="8458" max="8458" width="17.77734375" style="3458" bestFit="1" customWidth="1"/>
    <col min="8459" max="8706" width="9" style="3458"/>
    <col min="8707" max="8707" width="19.6640625" style="3458" customWidth="1"/>
    <col min="8708" max="8708" width="13.109375" style="3458" customWidth="1"/>
    <col min="8709" max="8709" width="13" style="3458" customWidth="1"/>
    <col min="8710" max="8710" width="17.21875" style="3458" customWidth="1"/>
    <col min="8711" max="8711" width="9" style="3458"/>
    <col min="8712" max="8712" width="24.109375" style="3458" customWidth="1"/>
    <col min="8713" max="8713" width="12.33203125" style="3458" bestFit="1" customWidth="1"/>
    <col min="8714" max="8714" width="17.77734375" style="3458" bestFit="1" customWidth="1"/>
    <col min="8715" max="8962" width="9" style="3458"/>
    <col min="8963" max="8963" width="19.6640625" style="3458" customWidth="1"/>
    <col min="8964" max="8964" width="13.109375" style="3458" customWidth="1"/>
    <col min="8965" max="8965" width="13" style="3458" customWidth="1"/>
    <col min="8966" max="8966" width="17.21875" style="3458" customWidth="1"/>
    <col min="8967" max="8967" width="9" style="3458"/>
    <col min="8968" max="8968" width="24.109375" style="3458" customWidth="1"/>
    <col min="8969" max="8969" width="12.33203125" style="3458" bestFit="1" customWidth="1"/>
    <col min="8970" max="8970" width="17.77734375" style="3458" bestFit="1" customWidth="1"/>
    <col min="8971" max="9218" width="9" style="3458"/>
    <col min="9219" max="9219" width="19.6640625" style="3458" customWidth="1"/>
    <col min="9220" max="9220" width="13.109375" style="3458" customWidth="1"/>
    <col min="9221" max="9221" width="13" style="3458" customWidth="1"/>
    <col min="9222" max="9222" width="17.21875" style="3458" customWidth="1"/>
    <col min="9223" max="9223" width="9" style="3458"/>
    <col min="9224" max="9224" width="24.109375" style="3458" customWidth="1"/>
    <col min="9225" max="9225" width="12.33203125" style="3458" bestFit="1" customWidth="1"/>
    <col min="9226" max="9226" width="17.77734375" style="3458" bestFit="1" customWidth="1"/>
    <col min="9227" max="9474" width="9" style="3458"/>
    <col min="9475" max="9475" width="19.6640625" style="3458" customWidth="1"/>
    <col min="9476" max="9476" width="13.109375" style="3458" customWidth="1"/>
    <col min="9477" max="9477" width="13" style="3458" customWidth="1"/>
    <col min="9478" max="9478" width="17.21875" style="3458" customWidth="1"/>
    <col min="9479" max="9479" width="9" style="3458"/>
    <col min="9480" max="9480" width="24.109375" style="3458" customWidth="1"/>
    <col min="9481" max="9481" width="12.33203125" style="3458" bestFit="1" customWidth="1"/>
    <col min="9482" max="9482" width="17.77734375" style="3458" bestFit="1" customWidth="1"/>
    <col min="9483" max="9730" width="9" style="3458"/>
    <col min="9731" max="9731" width="19.6640625" style="3458" customWidth="1"/>
    <col min="9732" max="9732" width="13.109375" style="3458" customWidth="1"/>
    <col min="9733" max="9733" width="13" style="3458" customWidth="1"/>
    <col min="9734" max="9734" width="17.21875" style="3458" customWidth="1"/>
    <col min="9735" max="9735" width="9" style="3458"/>
    <col min="9736" max="9736" width="24.109375" style="3458" customWidth="1"/>
    <col min="9737" max="9737" width="12.33203125" style="3458" bestFit="1" customWidth="1"/>
    <col min="9738" max="9738" width="17.77734375" style="3458" bestFit="1" customWidth="1"/>
    <col min="9739" max="9986" width="9" style="3458"/>
    <col min="9987" max="9987" width="19.6640625" style="3458" customWidth="1"/>
    <col min="9988" max="9988" width="13.109375" style="3458" customWidth="1"/>
    <col min="9989" max="9989" width="13" style="3458" customWidth="1"/>
    <col min="9990" max="9990" width="17.21875" style="3458" customWidth="1"/>
    <col min="9991" max="9991" width="9" style="3458"/>
    <col min="9992" max="9992" width="24.109375" style="3458" customWidth="1"/>
    <col min="9993" max="9993" width="12.33203125" style="3458" bestFit="1" customWidth="1"/>
    <col min="9994" max="9994" width="17.77734375" style="3458" bestFit="1" customWidth="1"/>
    <col min="9995" max="10242" width="9" style="3458"/>
    <col min="10243" max="10243" width="19.6640625" style="3458" customWidth="1"/>
    <col min="10244" max="10244" width="13.109375" style="3458" customWidth="1"/>
    <col min="10245" max="10245" width="13" style="3458" customWidth="1"/>
    <col min="10246" max="10246" width="17.21875" style="3458" customWidth="1"/>
    <col min="10247" max="10247" width="9" style="3458"/>
    <col min="10248" max="10248" width="24.109375" style="3458" customWidth="1"/>
    <col min="10249" max="10249" width="12.33203125" style="3458" bestFit="1" customWidth="1"/>
    <col min="10250" max="10250" width="17.77734375" style="3458" bestFit="1" customWidth="1"/>
    <col min="10251" max="10498" width="9" style="3458"/>
    <col min="10499" max="10499" width="19.6640625" style="3458" customWidth="1"/>
    <col min="10500" max="10500" width="13.109375" style="3458" customWidth="1"/>
    <col min="10501" max="10501" width="13" style="3458" customWidth="1"/>
    <col min="10502" max="10502" width="17.21875" style="3458" customWidth="1"/>
    <col min="10503" max="10503" width="9" style="3458"/>
    <col min="10504" max="10504" width="24.109375" style="3458" customWidth="1"/>
    <col min="10505" max="10505" width="12.33203125" style="3458" bestFit="1" customWidth="1"/>
    <col min="10506" max="10506" width="17.77734375" style="3458" bestFit="1" customWidth="1"/>
    <col min="10507" max="10754" width="9" style="3458"/>
    <col min="10755" max="10755" width="19.6640625" style="3458" customWidth="1"/>
    <col min="10756" max="10756" width="13.109375" style="3458" customWidth="1"/>
    <col min="10757" max="10757" width="13" style="3458" customWidth="1"/>
    <col min="10758" max="10758" width="17.21875" style="3458" customWidth="1"/>
    <col min="10759" max="10759" width="9" style="3458"/>
    <col min="10760" max="10760" width="24.109375" style="3458" customWidth="1"/>
    <col min="10761" max="10761" width="12.33203125" style="3458" bestFit="1" customWidth="1"/>
    <col min="10762" max="10762" width="17.77734375" style="3458" bestFit="1" customWidth="1"/>
    <col min="10763" max="11010" width="9" style="3458"/>
    <col min="11011" max="11011" width="19.6640625" style="3458" customWidth="1"/>
    <col min="11012" max="11012" width="13.109375" style="3458" customWidth="1"/>
    <col min="11013" max="11013" width="13" style="3458" customWidth="1"/>
    <col min="11014" max="11014" width="17.21875" style="3458" customWidth="1"/>
    <col min="11015" max="11015" width="9" style="3458"/>
    <col min="11016" max="11016" width="24.109375" style="3458" customWidth="1"/>
    <col min="11017" max="11017" width="12.33203125" style="3458" bestFit="1" customWidth="1"/>
    <col min="11018" max="11018" width="17.77734375" style="3458" bestFit="1" customWidth="1"/>
    <col min="11019" max="11266" width="9" style="3458"/>
    <col min="11267" max="11267" width="19.6640625" style="3458" customWidth="1"/>
    <col min="11268" max="11268" width="13.109375" style="3458" customWidth="1"/>
    <col min="11269" max="11269" width="13" style="3458" customWidth="1"/>
    <col min="11270" max="11270" width="17.21875" style="3458" customWidth="1"/>
    <col min="11271" max="11271" width="9" style="3458"/>
    <col min="11272" max="11272" width="24.109375" style="3458" customWidth="1"/>
    <col min="11273" max="11273" width="12.33203125" style="3458" bestFit="1" customWidth="1"/>
    <col min="11274" max="11274" width="17.77734375" style="3458" bestFit="1" customWidth="1"/>
    <col min="11275" max="11522" width="9" style="3458"/>
    <col min="11523" max="11523" width="19.6640625" style="3458" customWidth="1"/>
    <col min="11524" max="11524" width="13.109375" style="3458" customWidth="1"/>
    <col min="11525" max="11525" width="13" style="3458" customWidth="1"/>
    <col min="11526" max="11526" width="17.21875" style="3458" customWidth="1"/>
    <col min="11527" max="11527" width="9" style="3458"/>
    <col min="11528" max="11528" width="24.109375" style="3458" customWidth="1"/>
    <col min="11529" max="11529" width="12.33203125" style="3458" bestFit="1" customWidth="1"/>
    <col min="11530" max="11530" width="17.77734375" style="3458" bestFit="1" customWidth="1"/>
    <col min="11531" max="11778" width="9" style="3458"/>
    <col min="11779" max="11779" width="19.6640625" style="3458" customWidth="1"/>
    <col min="11780" max="11780" width="13.109375" style="3458" customWidth="1"/>
    <col min="11781" max="11781" width="13" style="3458" customWidth="1"/>
    <col min="11782" max="11782" width="17.21875" style="3458" customWidth="1"/>
    <col min="11783" max="11783" width="9" style="3458"/>
    <col min="11784" max="11784" width="24.109375" style="3458" customWidth="1"/>
    <col min="11785" max="11785" width="12.33203125" style="3458" bestFit="1" customWidth="1"/>
    <col min="11786" max="11786" width="17.77734375" style="3458" bestFit="1" customWidth="1"/>
    <col min="11787" max="12034" width="9" style="3458"/>
    <col min="12035" max="12035" width="19.6640625" style="3458" customWidth="1"/>
    <col min="12036" max="12036" width="13.109375" style="3458" customWidth="1"/>
    <col min="12037" max="12037" width="13" style="3458" customWidth="1"/>
    <col min="12038" max="12038" width="17.21875" style="3458" customWidth="1"/>
    <col min="12039" max="12039" width="9" style="3458"/>
    <col min="12040" max="12040" width="24.109375" style="3458" customWidth="1"/>
    <col min="12041" max="12041" width="12.33203125" style="3458" bestFit="1" customWidth="1"/>
    <col min="12042" max="12042" width="17.77734375" style="3458" bestFit="1" customWidth="1"/>
    <col min="12043" max="12290" width="9" style="3458"/>
    <col min="12291" max="12291" width="19.6640625" style="3458" customWidth="1"/>
    <col min="12292" max="12292" width="13.109375" style="3458" customWidth="1"/>
    <col min="12293" max="12293" width="13" style="3458" customWidth="1"/>
    <col min="12294" max="12294" width="17.21875" style="3458" customWidth="1"/>
    <col min="12295" max="12295" width="9" style="3458"/>
    <col min="12296" max="12296" width="24.109375" style="3458" customWidth="1"/>
    <col min="12297" max="12297" width="12.33203125" style="3458" bestFit="1" customWidth="1"/>
    <col min="12298" max="12298" width="17.77734375" style="3458" bestFit="1" customWidth="1"/>
    <col min="12299" max="12546" width="9" style="3458"/>
    <col min="12547" max="12547" width="19.6640625" style="3458" customWidth="1"/>
    <col min="12548" max="12548" width="13.109375" style="3458" customWidth="1"/>
    <col min="12549" max="12549" width="13" style="3458" customWidth="1"/>
    <col min="12550" max="12550" width="17.21875" style="3458" customWidth="1"/>
    <col min="12551" max="12551" width="9" style="3458"/>
    <col min="12552" max="12552" width="24.109375" style="3458" customWidth="1"/>
    <col min="12553" max="12553" width="12.33203125" style="3458" bestFit="1" customWidth="1"/>
    <col min="12554" max="12554" width="17.77734375" style="3458" bestFit="1" customWidth="1"/>
    <col min="12555" max="12802" width="9" style="3458"/>
    <col min="12803" max="12803" width="19.6640625" style="3458" customWidth="1"/>
    <col min="12804" max="12804" width="13.109375" style="3458" customWidth="1"/>
    <col min="12805" max="12805" width="13" style="3458" customWidth="1"/>
    <col min="12806" max="12806" width="17.21875" style="3458" customWidth="1"/>
    <col min="12807" max="12807" width="9" style="3458"/>
    <col min="12808" max="12808" width="24.109375" style="3458" customWidth="1"/>
    <col min="12809" max="12809" width="12.33203125" style="3458" bestFit="1" customWidth="1"/>
    <col min="12810" max="12810" width="17.77734375" style="3458" bestFit="1" customWidth="1"/>
    <col min="12811" max="13058" width="9" style="3458"/>
    <col min="13059" max="13059" width="19.6640625" style="3458" customWidth="1"/>
    <col min="13060" max="13060" width="13.109375" style="3458" customWidth="1"/>
    <col min="13061" max="13061" width="13" style="3458" customWidth="1"/>
    <col min="13062" max="13062" width="17.21875" style="3458" customWidth="1"/>
    <col min="13063" max="13063" width="9" style="3458"/>
    <col min="13064" max="13064" width="24.109375" style="3458" customWidth="1"/>
    <col min="13065" max="13065" width="12.33203125" style="3458" bestFit="1" customWidth="1"/>
    <col min="13066" max="13066" width="17.77734375" style="3458" bestFit="1" customWidth="1"/>
    <col min="13067" max="13314" width="9" style="3458"/>
    <col min="13315" max="13315" width="19.6640625" style="3458" customWidth="1"/>
    <col min="13316" max="13316" width="13.109375" style="3458" customWidth="1"/>
    <col min="13317" max="13317" width="13" style="3458" customWidth="1"/>
    <col min="13318" max="13318" width="17.21875" style="3458" customWidth="1"/>
    <col min="13319" max="13319" width="9" style="3458"/>
    <col min="13320" max="13320" width="24.109375" style="3458" customWidth="1"/>
    <col min="13321" max="13321" width="12.33203125" style="3458" bestFit="1" customWidth="1"/>
    <col min="13322" max="13322" width="17.77734375" style="3458" bestFit="1" customWidth="1"/>
    <col min="13323" max="13570" width="9" style="3458"/>
    <col min="13571" max="13571" width="19.6640625" style="3458" customWidth="1"/>
    <col min="13572" max="13572" width="13.109375" style="3458" customWidth="1"/>
    <col min="13573" max="13573" width="13" style="3458" customWidth="1"/>
    <col min="13574" max="13574" width="17.21875" style="3458" customWidth="1"/>
    <col min="13575" max="13575" width="9" style="3458"/>
    <col min="13576" max="13576" width="24.109375" style="3458" customWidth="1"/>
    <col min="13577" max="13577" width="12.33203125" style="3458" bestFit="1" customWidth="1"/>
    <col min="13578" max="13578" width="17.77734375" style="3458" bestFit="1" customWidth="1"/>
    <col min="13579" max="13826" width="9" style="3458"/>
    <col min="13827" max="13827" width="19.6640625" style="3458" customWidth="1"/>
    <col min="13828" max="13828" width="13.109375" style="3458" customWidth="1"/>
    <col min="13829" max="13829" width="13" style="3458" customWidth="1"/>
    <col min="13830" max="13830" width="17.21875" style="3458" customWidth="1"/>
    <col min="13831" max="13831" width="9" style="3458"/>
    <col min="13832" max="13832" width="24.109375" style="3458" customWidth="1"/>
    <col min="13833" max="13833" width="12.33203125" style="3458" bestFit="1" customWidth="1"/>
    <col min="13834" max="13834" width="17.77734375" style="3458" bestFit="1" customWidth="1"/>
    <col min="13835" max="14082" width="9" style="3458"/>
    <col min="14083" max="14083" width="19.6640625" style="3458" customWidth="1"/>
    <col min="14084" max="14084" width="13.109375" style="3458" customWidth="1"/>
    <col min="14085" max="14085" width="13" style="3458" customWidth="1"/>
    <col min="14086" max="14086" width="17.21875" style="3458" customWidth="1"/>
    <col min="14087" max="14087" width="9" style="3458"/>
    <col min="14088" max="14088" width="24.109375" style="3458" customWidth="1"/>
    <col min="14089" max="14089" width="12.33203125" style="3458" bestFit="1" customWidth="1"/>
    <col min="14090" max="14090" width="17.77734375" style="3458" bestFit="1" customWidth="1"/>
    <col min="14091" max="14338" width="9" style="3458"/>
    <col min="14339" max="14339" width="19.6640625" style="3458" customWidth="1"/>
    <col min="14340" max="14340" width="13.109375" style="3458" customWidth="1"/>
    <col min="14341" max="14341" width="13" style="3458" customWidth="1"/>
    <col min="14342" max="14342" width="17.21875" style="3458" customWidth="1"/>
    <col min="14343" max="14343" width="9" style="3458"/>
    <col min="14344" max="14344" width="24.109375" style="3458" customWidth="1"/>
    <col min="14345" max="14345" width="12.33203125" style="3458" bestFit="1" customWidth="1"/>
    <col min="14346" max="14346" width="17.77734375" style="3458" bestFit="1" customWidth="1"/>
    <col min="14347" max="14594" width="9" style="3458"/>
    <col min="14595" max="14595" width="19.6640625" style="3458" customWidth="1"/>
    <col min="14596" max="14596" width="13.109375" style="3458" customWidth="1"/>
    <col min="14597" max="14597" width="13" style="3458" customWidth="1"/>
    <col min="14598" max="14598" width="17.21875" style="3458" customWidth="1"/>
    <col min="14599" max="14599" width="9" style="3458"/>
    <col min="14600" max="14600" width="24.109375" style="3458" customWidth="1"/>
    <col min="14601" max="14601" width="12.33203125" style="3458" bestFit="1" customWidth="1"/>
    <col min="14602" max="14602" width="17.77734375" style="3458" bestFit="1" customWidth="1"/>
    <col min="14603" max="14850" width="9" style="3458"/>
    <col min="14851" max="14851" width="19.6640625" style="3458" customWidth="1"/>
    <col min="14852" max="14852" width="13.109375" style="3458" customWidth="1"/>
    <col min="14853" max="14853" width="13" style="3458" customWidth="1"/>
    <col min="14854" max="14854" width="17.21875" style="3458" customWidth="1"/>
    <col min="14855" max="14855" width="9" style="3458"/>
    <col min="14856" max="14856" width="24.109375" style="3458" customWidth="1"/>
    <col min="14857" max="14857" width="12.33203125" style="3458" bestFit="1" customWidth="1"/>
    <col min="14858" max="14858" width="17.77734375" style="3458" bestFit="1" customWidth="1"/>
    <col min="14859" max="15106" width="9" style="3458"/>
    <col min="15107" max="15107" width="19.6640625" style="3458" customWidth="1"/>
    <col min="15108" max="15108" width="13.109375" style="3458" customWidth="1"/>
    <col min="15109" max="15109" width="13" style="3458" customWidth="1"/>
    <col min="15110" max="15110" width="17.21875" style="3458" customWidth="1"/>
    <col min="15111" max="15111" width="9" style="3458"/>
    <col min="15112" max="15112" width="24.109375" style="3458" customWidth="1"/>
    <col min="15113" max="15113" width="12.33203125" style="3458" bestFit="1" customWidth="1"/>
    <col min="15114" max="15114" width="17.77734375" style="3458" bestFit="1" customWidth="1"/>
    <col min="15115" max="15362" width="9" style="3458"/>
    <col min="15363" max="15363" width="19.6640625" style="3458" customWidth="1"/>
    <col min="15364" max="15364" width="13.109375" style="3458" customWidth="1"/>
    <col min="15365" max="15365" width="13" style="3458" customWidth="1"/>
    <col min="15366" max="15366" width="17.21875" style="3458" customWidth="1"/>
    <col min="15367" max="15367" width="9" style="3458"/>
    <col min="15368" max="15368" width="24.109375" style="3458" customWidth="1"/>
    <col min="15369" max="15369" width="12.33203125" style="3458" bestFit="1" customWidth="1"/>
    <col min="15370" max="15370" width="17.77734375" style="3458" bestFit="1" customWidth="1"/>
    <col min="15371" max="15618" width="9" style="3458"/>
    <col min="15619" max="15619" width="19.6640625" style="3458" customWidth="1"/>
    <col min="15620" max="15620" width="13.109375" style="3458" customWidth="1"/>
    <col min="15621" max="15621" width="13" style="3458" customWidth="1"/>
    <col min="15622" max="15622" width="17.21875" style="3458" customWidth="1"/>
    <col min="15623" max="15623" width="9" style="3458"/>
    <col min="15624" max="15624" width="24.109375" style="3458" customWidth="1"/>
    <col min="15625" max="15625" width="12.33203125" style="3458" bestFit="1" customWidth="1"/>
    <col min="15626" max="15626" width="17.77734375" style="3458" bestFit="1" customWidth="1"/>
    <col min="15627" max="15874" width="9" style="3458"/>
    <col min="15875" max="15875" width="19.6640625" style="3458" customWidth="1"/>
    <col min="15876" max="15876" width="13.109375" style="3458" customWidth="1"/>
    <col min="15877" max="15877" width="13" style="3458" customWidth="1"/>
    <col min="15878" max="15878" width="17.21875" style="3458" customWidth="1"/>
    <col min="15879" max="15879" width="9" style="3458"/>
    <col min="15880" max="15880" width="24.109375" style="3458" customWidth="1"/>
    <col min="15881" max="15881" width="12.33203125" style="3458" bestFit="1" customWidth="1"/>
    <col min="15882" max="15882" width="17.77734375" style="3458" bestFit="1" customWidth="1"/>
    <col min="15883" max="16130" width="9" style="3458"/>
    <col min="16131" max="16131" width="19.6640625" style="3458" customWidth="1"/>
    <col min="16132" max="16132" width="13.109375" style="3458" customWidth="1"/>
    <col min="16133" max="16133" width="13" style="3458" customWidth="1"/>
    <col min="16134" max="16134" width="17.21875" style="3458" customWidth="1"/>
    <col min="16135" max="16135" width="9" style="3458"/>
    <col min="16136" max="16136" width="24.109375" style="3458" customWidth="1"/>
    <col min="16137" max="16137" width="12.33203125" style="3458" bestFit="1" customWidth="1"/>
    <col min="16138" max="16138" width="17.77734375" style="3458" bestFit="1" customWidth="1"/>
    <col min="16139" max="16384" width="9" style="3458"/>
  </cols>
  <sheetData>
    <row r="1" spans="1:11" ht="21">
      <c r="A1" s="3564" t="s">
        <v>3506</v>
      </c>
      <c r="B1" s="3564"/>
      <c r="C1" s="3564"/>
      <c r="D1" s="3564"/>
      <c r="E1" s="3564"/>
      <c r="F1" s="3564"/>
      <c r="G1" s="3457"/>
      <c r="H1" s="3457"/>
    </row>
    <row r="2" spans="1:11">
      <c r="A2" s="3540" t="s">
        <v>3507</v>
      </c>
      <c r="B2" s="3540" t="s">
        <v>3508</v>
      </c>
      <c r="C2" s="3540"/>
      <c r="D2" s="3540"/>
      <c r="E2" s="3540" t="s">
        <v>3509</v>
      </c>
      <c r="F2" s="3541" t="s">
        <v>3510</v>
      </c>
      <c r="G2" s="3457"/>
      <c r="H2" s="3457"/>
    </row>
    <row r="3" spans="1:11">
      <c r="A3" s="3540"/>
      <c r="B3" s="3540"/>
      <c r="C3" s="3540"/>
      <c r="D3" s="3540"/>
      <c r="E3" s="3540"/>
      <c r="F3" s="3541"/>
      <c r="G3" s="3457"/>
      <c r="H3" s="3457"/>
    </row>
    <row r="4" spans="1:11">
      <c r="A4" s="3540" t="s">
        <v>3511</v>
      </c>
      <c r="B4" s="3565" t="s">
        <v>3512</v>
      </c>
      <c r="C4" s="3566"/>
      <c r="D4" s="3567"/>
      <c r="E4" s="3540" t="s">
        <v>3513</v>
      </c>
      <c r="F4" s="3540"/>
      <c r="G4" s="3457"/>
      <c r="H4" s="3457"/>
    </row>
    <row r="5" spans="1:11">
      <c r="A5" s="3540"/>
      <c r="B5" s="3568"/>
      <c r="C5" s="3569"/>
      <c r="D5" s="3570"/>
      <c r="E5" s="3540"/>
      <c r="F5" s="3540"/>
      <c r="G5" s="3457"/>
      <c r="H5" s="3457"/>
    </row>
    <row r="6" spans="1:11">
      <c r="A6" s="3542" t="s">
        <v>3514</v>
      </c>
      <c r="B6" s="3543" t="s">
        <v>3515</v>
      </c>
      <c r="C6" s="3544"/>
      <c r="D6" s="3547"/>
      <c r="E6" s="3548"/>
      <c r="F6" s="3549"/>
      <c r="G6" s="3457"/>
      <c r="H6" s="3457"/>
    </row>
    <row r="7" spans="1:11">
      <c r="A7" s="3542"/>
      <c r="B7" s="3545"/>
      <c r="C7" s="3546"/>
      <c r="D7" s="3550"/>
      <c r="E7" s="3551"/>
      <c r="F7" s="3552"/>
      <c r="G7" s="3457"/>
      <c r="H7" s="3457"/>
    </row>
    <row r="8" spans="1:11">
      <c r="A8" s="3542"/>
      <c r="B8" s="3536" t="s">
        <v>3516</v>
      </c>
      <c r="C8" s="3553"/>
      <c r="D8" s="3547">
        <v>60752.33</v>
      </c>
      <c r="E8" s="3556"/>
      <c r="F8" s="3557"/>
      <c r="G8" s="3459" t="s">
        <v>3517</v>
      </c>
      <c r="H8" s="3459" t="s">
        <v>3518</v>
      </c>
    </row>
    <row r="9" spans="1:11">
      <c r="A9" s="3542"/>
      <c r="B9" s="3554"/>
      <c r="C9" s="3555"/>
      <c r="D9" s="3558"/>
      <c r="E9" s="3559"/>
      <c r="F9" s="3560"/>
      <c r="H9" s="3459" t="s">
        <v>3519</v>
      </c>
      <c r="I9" s="3458">
        <v>48969.03</v>
      </c>
    </row>
    <row r="10" spans="1:11">
      <c r="A10" s="3542"/>
      <c r="B10" s="3561" t="s">
        <v>3520</v>
      </c>
      <c r="C10" s="3534" t="s">
        <v>3521</v>
      </c>
      <c r="D10" s="3535">
        <v>46534.27</v>
      </c>
      <c r="E10" s="3535"/>
      <c r="F10" s="3535"/>
      <c r="G10" s="3457"/>
      <c r="H10" s="3457"/>
    </row>
    <row r="11" spans="1:11" ht="16.2">
      <c r="A11" s="3542"/>
      <c r="B11" s="3562"/>
      <c r="C11" s="3534"/>
      <c r="D11" s="3535"/>
      <c r="E11" s="3535"/>
      <c r="F11" s="3535"/>
      <c r="G11" s="3457"/>
      <c r="H11" s="3460" t="s">
        <v>3522</v>
      </c>
      <c r="I11" s="3461">
        <v>48162.54</v>
      </c>
    </row>
    <row r="12" spans="1:11" ht="16.2">
      <c r="A12" s="3542"/>
      <c r="B12" s="3562"/>
      <c r="C12" s="3534" t="s">
        <v>3523</v>
      </c>
      <c r="D12" s="3535">
        <v>13672.82</v>
      </c>
      <c r="E12" s="3535"/>
      <c r="F12" s="3535"/>
      <c r="G12" s="3457"/>
      <c r="H12" s="3460" t="s">
        <v>3524</v>
      </c>
      <c r="I12" s="3461">
        <v>126.58</v>
      </c>
    </row>
    <row r="13" spans="1:11" ht="16.2">
      <c r="A13" s="3542"/>
      <c r="B13" s="3562"/>
      <c r="C13" s="3534"/>
      <c r="D13" s="3535"/>
      <c r="E13" s="3535"/>
      <c r="F13" s="3535"/>
      <c r="G13" s="3457"/>
      <c r="H13" s="3460" t="s">
        <v>3525</v>
      </c>
      <c r="I13" s="3461">
        <v>250.21</v>
      </c>
      <c r="J13" s="3462" t="s">
        <v>3526</v>
      </c>
      <c r="K13" s="3462" t="s">
        <v>3527</v>
      </c>
    </row>
    <row r="14" spans="1:11" ht="16.2">
      <c r="A14" s="3542"/>
      <c r="B14" s="3562"/>
      <c r="C14" s="3534" t="s">
        <v>3528</v>
      </c>
      <c r="D14" s="3535">
        <v>545.24</v>
      </c>
      <c r="E14" s="3535"/>
      <c r="F14" s="3535"/>
      <c r="G14" s="3457"/>
      <c r="H14" s="3460" t="s">
        <v>3529</v>
      </c>
      <c r="I14" s="3461">
        <v>227.17</v>
      </c>
    </row>
    <row r="15" spans="1:11" ht="16.2">
      <c r="A15" s="3542"/>
      <c r="B15" s="3563"/>
      <c r="C15" s="3534"/>
      <c r="D15" s="3535"/>
      <c r="E15" s="3535"/>
      <c r="F15" s="3535"/>
      <c r="G15" s="3457"/>
      <c r="H15" s="3460" t="s">
        <v>3530</v>
      </c>
      <c r="I15" s="3461">
        <v>202.52999999999884</v>
      </c>
      <c r="J15" s="3462" t="s">
        <v>3531</v>
      </c>
    </row>
    <row r="16" spans="1:11" ht="16.2">
      <c r="A16" s="3542"/>
      <c r="B16" s="3536" t="s">
        <v>3532</v>
      </c>
      <c r="C16" s="3537"/>
      <c r="D16" s="3535">
        <v>0</v>
      </c>
      <c r="E16" s="3535"/>
      <c r="F16" s="3535"/>
      <c r="G16" s="3457"/>
      <c r="H16" s="3463" t="s">
        <v>3533</v>
      </c>
      <c r="I16" s="3464">
        <f>SUM(I11:I15)</f>
        <v>48969.03</v>
      </c>
    </row>
    <row r="17" spans="1:9">
      <c r="A17" s="3542"/>
      <c r="B17" s="3538"/>
      <c r="C17" s="3539"/>
      <c r="D17" s="3535"/>
      <c r="E17" s="3535"/>
      <c r="F17" s="3535"/>
      <c r="G17" s="3457"/>
      <c r="H17" s="3457"/>
    </row>
    <row r="18" spans="1:9">
      <c r="A18" s="3540" t="s">
        <v>3534</v>
      </c>
      <c r="B18" s="3540" t="s">
        <v>3535</v>
      </c>
      <c r="C18" s="3540"/>
      <c r="D18" s="3541" t="s">
        <v>3536</v>
      </c>
      <c r="E18" s="3541"/>
      <c r="F18" s="3541"/>
      <c r="G18" s="3457"/>
      <c r="H18" s="3459"/>
      <c r="I18" s="3465"/>
    </row>
    <row r="19" spans="1:9">
      <c r="A19" s="3540"/>
      <c r="B19" s="3540"/>
      <c r="C19" s="3540"/>
      <c r="D19" s="3541"/>
      <c r="E19" s="3541"/>
      <c r="F19" s="3541"/>
      <c r="G19" s="3457"/>
      <c r="H19" s="3457"/>
    </row>
    <row r="20" spans="1:9">
      <c r="A20" s="3540"/>
      <c r="B20" s="3540" t="s">
        <v>3537</v>
      </c>
      <c r="C20" s="3540"/>
      <c r="D20" s="3541" t="s">
        <v>3538</v>
      </c>
      <c r="E20" s="3541"/>
      <c r="F20" s="3541"/>
      <c r="G20" s="3459" t="s">
        <v>3539</v>
      </c>
      <c r="H20" s="3459" t="s">
        <v>3540</v>
      </c>
    </row>
    <row r="21" spans="1:9">
      <c r="A21" s="3540"/>
      <c r="B21" s="3540"/>
      <c r="C21" s="3540"/>
      <c r="D21" s="3541"/>
      <c r="E21" s="3541"/>
      <c r="F21" s="3541"/>
      <c r="G21" s="3457"/>
      <c r="H21" s="3462" t="s">
        <v>3541</v>
      </c>
      <c r="I21" s="3462" t="s">
        <v>3542</v>
      </c>
    </row>
    <row r="22" spans="1:9">
      <c r="A22" s="3525" t="s">
        <v>3543</v>
      </c>
      <c r="B22" s="3526"/>
      <c r="C22" s="3526"/>
      <c r="D22" s="3526"/>
      <c r="E22" s="3526"/>
      <c r="F22" s="3527"/>
      <c r="G22" s="3457"/>
      <c r="H22" s="3457"/>
    </row>
    <row r="23" spans="1:9">
      <c r="A23" s="3528"/>
      <c r="B23" s="3529"/>
      <c r="C23" s="3529"/>
      <c r="D23" s="3529"/>
      <c r="E23" s="3529"/>
      <c r="F23" s="3530"/>
      <c r="G23" s="3459" t="s">
        <v>3544</v>
      </c>
      <c r="H23" s="3459" t="s">
        <v>3545</v>
      </c>
    </row>
    <row r="24" spans="1:9">
      <c r="A24" s="3528"/>
      <c r="B24" s="3529"/>
      <c r="C24" s="3529"/>
      <c r="D24" s="3529"/>
      <c r="E24" s="3529"/>
      <c r="F24" s="3530"/>
      <c r="G24" s="3457"/>
      <c r="H24" s="3457"/>
    </row>
    <row r="25" spans="1:9">
      <c r="A25" s="3528"/>
      <c r="B25" s="3529"/>
      <c r="C25" s="3529"/>
      <c r="D25" s="3529"/>
      <c r="E25" s="3529"/>
      <c r="F25" s="3530"/>
      <c r="G25" s="3457"/>
      <c r="H25" s="3459" t="s">
        <v>3546</v>
      </c>
      <c r="I25" s="3458">
        <v>24599.39</v>
      </c>
    </row>
    <row r="26" spans="1:9">
      <c r="A26" s="3528"/>
      <c r="B26" s="3529"/>
      <c r="C26" s="3529"/>
      <c r="D26" s="3529"/>
      <c r="E26" s="3529"/>
      <c r="F26" s="3530"/>
      <c r="G26" s="3457"/>
      <c r="H26" s="3457"/>
    </row>
    <row r="27" spans="1:9">
      <c r="A27" s="3528"/>
      <c r="B27" s="3529"/>
      <c r="C27" s="3529"/>
      <c r="D27" s="3529"/>
      <c r="E27" s="3529"/>
      <c r="F27" s="3530"/>
      <c r="G27" s="3457"/>
      <c r="H27" s="3457"/>
    </row>
    <row r="28" spans="1:9">
      <c r="A28" s="3528"/>
      <c r="B28" s="3529"/>
      <c r="C28" s="3529"/>
      <c r="D28" s="3529"/>
      <c r="E28" s="3529"/>
      <c r="F28" s="3530"/>
      <c r="G28" s="3457"/>
      <c r="H28" s="3457"/>
    </row>
    <row r="29" spans="1:9">
      <c r="A29" s="3528"/>
      <c r="B29" s="3529"/>
      <c r="C29" s="3529"/>
      <c r="D29" s="3529"/>
      <c r="E29" s="3529"/>
      <c r="F29" s="3530"/>
      <c r="G29" s="3457"/>
      <c r="H29" s="3457"/>
    </row>
    <row r="30" spans="1:9">
      <c r="A30" s="3528"/>
      <c r="B30" s="3529"/>
      <c r="C30" s="3529"/>
      <c r="D30" s="3529"/>
      <c r="E30" s="3529"/>
      <c r="F30" s="3530"/>
      <c r="G30" s="3457"/>
      <c r="H30" s="3457"/>
    </row>
    <row r="31" spans="1:9">
      <c r="A31" s="3528"/>
      <c r="B31" s="3529"/>
      <c r="C31" s="3529"/>
      <c r="D31" s="3529"/>
      <c r="E31" s="3529"/>
      <c r="F31" s="3530"/>
      <c r="G31" s="3457"/>
      <c r="H31" s="3457"/>
    </row>
    <row r="32" spans="1:9">
      <c r="A32" s="3528"/>
      <c r="B32" s="3529"/>
      <c r="C32" s="3529"/>
      <c r="D32" s="3529"/>
      <c r="E32" s="3529"/>
      <c r="F32" s="3530"/>
      <c r="G32" s="3457"/>
      <c r="H32" s="3457"/>
    </row>
    <row r="33" spans="1:8" ht="200.25" customHeight="1">
      <c r="A33" s="3531"/>
      <c r="B33" s="3532"/>
      <c r="C33" s="3532"/>
      <c r="D33" s="3532"/>
      <c r="E33" s="3532"/>
      <c r="F33" s="3533"/>
      <c r="G33" s="3457"/>
      <c r="H33" s="3457"/>
    </row>
    <row r="34" spans="1:8">
      <c r="A34" s="3457"/>
      <c r="B34" s="3457"/>
      <c r="C34" s="3457"/>
      <c r="D34" s="3457"/>
      <c r="E34" s="3457"/>
      <c r="F34" s="3457"/>
      <c r="G34" s="3457"/>
      <c r="H34" s="3457"/>
    </row>
    <row r="35" spans="1:8">
      <c r="H35" s="3457"/>
    </row>
  </sheetData>
  <mergeCells count="29">
    <mergeCell ref="C10:C11"/>
    <mergeCell ref="D10:F11"/>
    <mergeCell ref="C12:C13"/>
    <mergeCell ref="D12:F13"/>
    <mergeCell ref="A1:F1"/>
    <mergeCell ref="A2:A3"/>
    <mergeCell ref="B2:D3"/>
    <mergeCell ref="E2:E3"/>
    <mergeCell ref="F2:F3"/>
    <mergeCell ref="A4:A5"/>
    <mergeCell ref="B4:D5"/>
    <mergeCell ref="E4:E5"/>
    <mergeCell ref="F4:F5"/>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s>
  <phoneticPr fontId="134" type="noConversion"/>
  <pageMargins left="0.74803149606299213" right="0.74803149606299213" top="0.98425196850393704" bottom="0.98425196850393704" header="0.51181102362204722" footer="0.51181102362204722"/>
  <pageSetup paperSize="9" orientation="portrait" r:id="rId1"/>
  <headerFooter alignWithMargins="0">
    <oddFooter>&amp;R共21页 第&amp;P-1页</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1" customWidth="1"/>
    <col min="12" max="13" width="10" style="2622"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2" t="s">
        <v>2165</v>
      </c>
      <c r="B1" s="3571" t="str">
        <f>IF(B10="北京市","北京市",C10)&amp;F10&amp;IF(结果表!G1="在建","出让国有建设用地使用权及在建建筑物",IF(结果表!G1="土地","出让国有建设用地使用权",))&amp;B9&amp;"预评估"</f>
        <v>北京市通州区新华东街289号院2号楼-3至29层101等7套房地产市场价值预评估</v>
      </c>
      <c r="C1" s="3572"/>
      <c r="D1" s="3572"/>
      <c r="E1" s="3572"/>
      <c r="F1" s="3572"/>
      <c r="G1" s="3572"/>
      <c r="H1" s="3572"/>
      <c r="I1" s="3573"/>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北京市通州区新华东街289号院2号楼-3至29层101等7套房地产市场价值</v>
      </c>
      <c r="T1" s="1743"/>
      <c r="U1" s="1743"/>
      <c r="V1" s="1743"/>
      <c r="W1" s="1743"/>
      <c r="X1" s="1743"/>
      <c r="Y1" s="1743"/>
      <c r="Z1" s="1743"/>
      <c r="AA1" s="1743"/>
      <c r="AB1" s="1743"/>
    </row>
    <row r="2" spans="1:30">
      <c r="A2" s="2363" t="s">
        <v>2166</v>
      </c>
      <c r="B2" s="2367"/>
      <c r="C2" s="2368"/>
      <c r="D2" s="2663"/>
      <c r="E2" s="2655"/>
      <c r="F2" s="2655"/>
      <c r="G2" s="2656"/>
      <c r="H2" s="2656"/>
      <c r="I2" s="2656"/>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北京市通州区新华东街289号院2号楼-3至29层101等7套房地产</v>
      </c>
      <c r="T2" s="1743"/>
      <c r="U2" s="1743"/>
      <c r="V2" s="1743"/>
      <c r="W2" s="1743"/>
      <c r="X2" s="1743"/>
      <c r="Y2" s="1743"/>
      <c r="Z2" s="1743"/>
      <c r="AA2" s="1743"/>
      <c r="AB2" s="1743"/>
    </row>
    <row r="3" spans="1:30">
      <c r="A3" s="302" t="s">
        <v>2167</v>
      </c>
      <c r="B3" s="2369">
        <v>45146</v>
      </c>
      <c r="C3" s="2370" t="s">
        <v>2168</v>
      </c>
      <c r="D3" s="2369">
        <f>B3</f>
        <v>45146</v>
      </c>
      <c r="E3" s="2656"/>
      <c r="F3" s="2656"/>
      <c r="G3" s="2656"/>
      <c r="H3" s="2656"/>
      <c r="I3" s="2656"/>
      <c r="J3" s="2464"/>
      <c r="K3" s="2364"/>
      <c r="L3" s="2365"/>
      <c r="M3" s="2365"/>
      <c r="N3" s="2366"/>
      <c r="O3" s="1574"/>
      <c r="P3" s="2366"/>
      <c r="Q3" s="2366"/>
      <c r="R3" s="2366"/>
      <c r="S3" s="1680"/>
      <c r="T3" s="1743"/>
      <c r="U3" s="1743"/>
      <c r="V3" s="1743"/>
      <c r="W3" s="1743"/>
      <c r="X3" s="1743"/>
      <c r="Y3" s="1743"/>
      <c r="Z3" s="1743"/>
      <c r="AA3" s="1743"/>
      <c r="AB3" s="1743"/>
    </row>
    <row r="4" spans="1:30" ht="13.8" thickBot="1">
      <c r="A4" s="1089" t="s">
        <v>2169</v>
      </c>
      <c r="B4" s="2371" t="s">
        <v>3364</v>
      </c>
      <c r="C4" s="2372">
        <f ca="1">SUMIF(注册房地产估价师,B4,估价师及机构信息!B3:B24)</f>
        <v>1120070131</v>
      </c>
      <c r="D4" s="2371" t="s">
        <v>3365</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8" thickTop="1">
      <c r="A5" s="2375" t="s">
        <v>2170</v>
      </c>
      <c r="B5" s="3454" t="s">
        <v>3500</v>
      </c>
      <c r="C5" s="2376"/>
      <c r="D5" s="2377"/>
      <c r="E5" s="2657"/>
      <c r="F5" s="2657"/>
      <c r="G5" s="2657"/>
      <c r="H5" s="2657"/>
      <c r="I5" s="2657"/>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2171</v>
      </c>
      <c r="B6" s="3455" t="s">
        <v>3500</v>
      </c>
      <c r="C6" s="2379"/>
      <c r="D6" s="2380"/>
      <c r="E6" s="2655"/>
      <c r="F6" s="2657"/>
      <c r="G6" s="2657"/>
      <c r="H6" s="2657"/>
      <c r="I6" s="2657"/>
      <c r="J6" s="2432"/>
      <c r="K6" s="2608" t="str">
        <f>IF(COUNTIF(B6,"*上海银行*"),"上海银行","")</f>
        <v/>
      </c>
      <c r="L6" s="2606"/>
      <c r="M6" s="2606"/>
      <c r="N6" s="2432"/>
      <c r="O6" s="2443"/>
      <c r="P6" s="2432"/>
      <c r="Q6" s="2432"/>
      <c r="R6" s="2432"/>
    </row>
    <row r="7" spans="1:30" ht="36">
      <c r="A7" s="2378" t="s">
        <v>2172</v>
      </c>
      <c r="B7" s="3456" t="s">
        <v>3501</v>
      </c>
      <c r="C7" s="2379"/>
      <c r="D7" s="2380"/>
      <c r="E7" s="2655"/>
      <c r="F7" s="2657"/>
      <c r="G7" s="2657"/>
      <c r="H7" s="2657"/>
      <c r="I7" s="2657"/>
      <c r="J7" s="2432"/>
      <c r="K7" s="2609"/>
      <c r="L7" s="2606"/>
      <c r="M7" s="2606"/>
      <c r="N7" s="2432"/>
      <c r="O7" s="2443"/>
      <c r="P7" s="2432"/>
      <c r="Q7" s="2432"/>
      <c r="R7" s="2432"/>
    </row>
    <row r="8" spans="1:30">
      <c r="A8" s="2381" t="s">
        <v>2173</v>
      </c>
      <c r="B8" s="2382" t="s">
        <v>3366</v>
      </c>
      <c r="C8" s="2383"/>
      <c r="D8" s="3574" t="s">
        <v>2174</v>
      </c>
      <c r="E8" s="2384" t="s">
        <v>3367</v>
      </c>
      <c r="F8" s="2385"/>
      <c r="G8" s="2656"/>
      <c r="H8" s="2656"/>
      <c r="I8" s="2656"/>
      <c r="J8" s="2432"/>
      <c r="K8" s="2607"/>
      <c r="L8" s="2606"/>
      <c r="M8" s="2606"/>
      <c r="N8" s="2432"/>
      <c r="O8" s="2443"/>
      <c r="P8" s="2432"/>
      <c r="Q8" s="2432"/>
      <c r="R8" s="2432"/>
    </row>
    <row r="9" spans="1:30" ht="13.8" thickBot="1">
      <c r="A9" s="2386" t="s">
        <v>2175</v>
      </c>
      <c r="B9" s="2387" t="s">
        <v>3368</v>
      </c>
      <c r="C9" s="2388"/>
      <c r="D9" s="3575"/>
      <c r="E9" s="2387" t="s">
        <v>43</v>
      </c>
      <c r="F9" s="2389"/>
      <c r="G9" s="2658"/>
      <c r="H9" s="2658"/>
      <c r="I9" s="2658"/>
      <c r="J9" s="2432"/>
      <c r="K9" s="2609"/>
      <c r="L9" s="2606"/>
      <c r="M9" s="2606"/>
      <c r="N9" s="2432"/>
      <c r="O9" s="2443"/>
      <c r="P9" s="2432"/>
      <c r="Q9" s="2432"/>
      <c r="R9" s="2432"/>
    </row>
    <row r="10" spans="1:30" ht="13.8" thickTop="1">
      <c r="A10" s="2390" t="s">
        <v>2176</v>
      </c>
      <c r="B10" s="2391" t="s">
        <v>3369</v>
      </c>
      <c r="C10" s="2392"/>
      <c r="D10" s="2377"/>
      <c r="E10" s="2393" t="s">
        <v>2177</v>
      </c>
      <c r="F10" s="2659" t="s">
        <v>3502</v>
      </c>
      <c r="G10" s="2660"/>
      <c r="H10" s="2661"/>
      <c r="I10" s="2662"/>
      <c r="J10" s="2432"/>
      <c r="K10" s="2609"/>
      <c r="L10" s="2606"/>
      <c r="M10" s="2606"/>
      <c r="N10" s="2432"/>
      <c r="O10" s="2443"/>
      <c r="P10" s="2432"/>
      <c r="Q10" s="2432"/>
      <c r="R10" s="2432"/>
    </row>
    <row r="11" spans="1:30" ht="39.6">
      <c r="A11" s="2394" t="s">
        <v>2178</v>
      </c>
      <c r="B11" s="2395" t="s">
        <v>3370</v>
      </c>
      <c r="C11" s="2396" t="str">
        <f>B7</f>
        <v>北京东部绿城置业有限公司</v>
      </c>
      <c r="D11" s="2397"/>
      <c r="E11" s="2366"/>
      <c r="F11" s="2366"/>
      <c r="G11" s="2366"/>
      <c r="H11" s="2366"/>
      <c r="I11" s="2366"/>
      <c r="J11" s="3054"/>
      <c r="K11" s="3053"/>
      <c r="L11" s="2606"/>
      <c r="M11" s="2606"/>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52" t="s">
        <v>2565</v>
      </c>
      <c r="J12" s="3055"/>
      <c r="K12" s="2606"/>
      <c r="L12" s="2606"/>
      <c r="M12" s="2432"/>
      <c r="N12" s="2443"/>
      <c r="O12" s="2432"/>
      <c r="P12" s="2432"/>
      <c r="Q12" s="2432"/>
      <c r="AD12" s="1743"/>
    </row>
    <row r="13" spans="1:30">
      <c r="A13" s="3416" t="s">
        <v>3322</v>
      </c>
      <c r="B13" s="2400" t="s">
        <v>2187</v>
      </c>
      <c r="C13" s="855"/>
      <c r="D13" s="855">
        <v>54772</v>
      </c>
      <c r="E13" s="855"/>
      <c r="F13" s="855"/>
      <c r="G13" s="855"/>
      <c r="H13" s="855"/>
      <c r="I13" s="855"/>
      <c r="J13" s="3055"/>
      <c r="K13" s="2606"/>
      <c r="L13" s="2606"/>
      <c r="M13" s="2432"/>
      <c r="N13" s="2443"/>
      <c r="O13" s="2432"/>
      <c r="P13" s="2432"/>
      <c r="Q13" s="2432"/>
      <c r="AD13" s="1743"/>
    </row>
    <row r="14" spans="1:30">
      <c r="A14" s="1080"/>
      <c r="B14" s="2400" t="s">
        <v>2188</v>
      </c>
      <c r="C14" s="2401">
        <v>70</v>
      </c>
      <c r="D14" s="2401">
        <v>40</v>
      </c>
      <c r="E14" s="2401">
        <v>50</v>
      </c>
      <c r="F14" s="2401">
        <v>50</v>
      </c>
      <c r="G14" s="2401">
        <v>50</v>
      </c>
      <c r="H14" s="2401">
        <v>50</v>
      </c>
      <c r="I14" s="2401">
        <v>50</v>
      </c>
      <c r="J14" s="3056"/>
      <c r="K14" s="2606"/>
      <c r="L14" s="2606"/>
      <c r="M14" s="2432"/>
      <c r="N14" s="2443"/>
      <c r="O14" s="2432"/>
      <c r="P14" s="2432"/>
      <c r="Q14" s="2432"/>
      <c r="AD14" s="1743"/>
    </row>
    <row r="15" spans="1:30">
      <c r="A15" s="320"/>
      <c r="B15" s="2402" t="s">
        <v>2189</v>
      </c>
      <c r="C15" s="2403" t="str">
        <f>IF(A13="出让",IF(C13="","",ROUNDDOWN(MIN((C13-$D$3)/365,C14),2)),C14)</f>
        <v/>
      </c>
      <c r="D15" s="2403">
        <f>IF(A13="出让",IF(D13="","",ROUNDDOWN(MIN((D13-$D$3)/365,D14),2)),D14)</f>
        <v>26.37</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7"/>
      <c r="K15" s="2444"/>
      <c r="L15" s="2444"/>
      <c r="M15" s="2502"/>
      <c r="N15" s="2444"/>
      <c r="O15" s="2502"/>
      <c r="P15" s="2432"/>
      <c r="Q15" s="2432"/>
      <c r="AD15" s="1743"/>
    </row>
    <row r="16" spans="1:30">
      <c r="A16" s="2393" t="s">
        <v>2190</v>
      </c>
      <c r="B16" s="3581"/>
      <c r="C16" s="3582"/>
      <c r="D16" s="3583"/>
      <c r="E16" s="2406" t="s">
        <v>2191</v>
      </c>
      <c r="F16" s="3584"/>
      <c r="G16" s="3585"/>
      <c r="H16" s="3585"/>
      <c r="I16" s="3586"/>
      <c r="J16" s="2432"/>
      <c r="K16" s="2610"/>
      <c r="L16" s="2444"/>
      <c r="M16" s="2444"/>
      <c r="N16" s="2502"/>
      <c r="O16" s="2444"/>
      <c r="P16" s="2502"/>
      <c r="Q16" s="2432"/>
      <c r="R16" s="2432"/>
    </row>
    <row r="17" spans="1:28">
      <c r="A17" s="313" t="s">
        <v>2192</v>
      </c>
      <c r="B17" s="302" t="s">
        <v>2193</v>
      </c>
      <c r="C17" s="8">
        <f>'数据-汇总表'!E3</f>
        <v>48491.65</v>
      </c>
      <c r="D17" s="2318" t="s">
        <v>2194</v>
      </c>
      <c r="E17" s="3587" t="s">
        <v>2195</v>
      </c>
      <c r="F17" s="3588"/>
      <c r="G17" s="3588"/>
      <c r="H17" s="3588"/>
      <c r="I17" s="3589"/>
      <c r="J17" s="2432"/>
      <c r="K17" s="2611"/>
      <c r="L17" s="2444"/>
      <c r="M17" s="2444"/>
      <c r="N17" s="2502"/>
      <c r="O17" s="2444"/>
      <c r="P17" s="2502"/>
      <c r="Q17" s="2432"/>
      <c r="R17" s="2432"/>
      <c r="S17" s="2432"/>
      <c r="T17" s="2432"/>
      <c r="U17" s="2432"/>
      <c r="V17" s="2432"/>
    </row>
    <row r="18" spans="1:28" ht="24.6" thickBot="1">
      <c r="A18" s="2407" t="s">
        <v>2196</v>
      </c>
      <c r="B18" s="1089" t="s">
        <v>2197</v>
      </c>
      <c r="C18" s="2408">
        <f>'数据-汇总表'!D3</f>
        <v>10479.049999999999</v>
      </c>
      <c r="D18" s="1091" t="s">
        <v>2198</v>
      </c>
      <c r="E18" s="3590" t="s">
        <v>2199</v>
      </c>
      <c r="F18" s="3591"/>
      <c r="G18" s="3591"/>
      <c r="H18" s="3591"/>
      <c r="I18" s="3592"/>
      <c r="J18" s="2432"/>
      <c r="K18" s="2611"/>
      <c r="L18" s="2444"/>
      <c r="M18" s="2444"/>
      <c r="N18" s="2502"/>
      <c r="O18" s="2444"/>
      <c r="P18" s="2502"/>
      <c r="Q18" s="2432"/>
      <c r="R18" s="2432"/>
      <c r="S18" s="2432"/>
      <c r="T18" s="2432"/>
      <c r="U18" s="2432"/>
      <c r="V18" s="2432"/>
    </row>
    <row r="19" spans="1:28" ht="37.200000000000003" thickTop="1" thickBot="1">
      <c r="A19" s="327" t="s">
        <v>1055</v>
      </c>
      <c r="B19" s="307" t="s">
        <v>2200</v>
      </c>
      <c r="C19" s="1561"/>
      <c r="D19" s="1562" t="s">
        <v>2201</v>
      </c>
      <c r="E19" s="1563"/>
      <c r="F19" s="1564" t="str">
        <f>IF(AND(C19="是",E19="否"),"是否提供他项权证或相关说明","")</f>
        <v/>
      </c>
      <c r="G19" s="1565"/>
      <c r="H19" s="2657"/>
      <c r="I19" s="2657"/>
      <c r="J19" s="2432"/>
      <c r="K19" s="2609"/>
      <c r="L19" s="2606"/>
      <c r="M19" s="2606"/>
      <c r="N19" s="2502"/>
      <c r="O19" s="2444"/>
      <c r="P19" s="2502"/>
      <c r="Q19" s="2432"/>
      <c r="R19" s="2432"/>
      <c r="S19" s="2432"/>
      <c r="T19" s="2432"/>
      <c r="U19" s="2432"/>
      <c r="V19" s="2432"/>
    </row>
    <row r="20" spans="1:28">
      <c r="A20" s="2625" t="s">
        <v>2202</v>
      </c>
      <c r="B20" s="3577" t="s">
        <v>2203</v>
      </c>
      <c r="C20" s="3578"/>
      <c r="D20" s="3579" t="s">
        <v>2204</v>
      </c>
      <c r="E20" s="3580"/>
      <c r="F20" s="2640" t="s">
        <v>1056</v>
      </c>
      <c r="G20" s="2657"/>
      <c r="H20" s="2657"/>
      <c r="I20" s="2657"/>
      <c r="J20" s="2432"/>
      <c r="K20" s="3576"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7" thickBot="1">
      <c r="A21" s="2625"/>
      <c r="B21" s="2626" t="s">
        <v>3371</v>
      </c>
      <c r="C21" s="2627" t="s">
        <v>3503</v>
      </c>
      <c r="D21" s="1566"/>
      <c r="E21" s="2628"/>
      <c r="F21" s="2641"/>
      <c r="G21" s="2657"/>
      <c r="H21" s="2657"/>
      <c r="I21" s="2657"/>
      <c r="J21" s="2432"/>
      <c r="K21" s="357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8" thickBot="1">
      <c r="A22" s="2625"/>
      <c r="B22" s="2629"/>
      <c r="C22" s="2627"/>
      <c r="D22" s="2656"/>
      <c r="E22" s="2656"/>
      <c r="F22" s="2656"/>
      <c r="G22" s="2657"/>
      <c r="H22" s="2657"/>
      <c r="I22" s="2657"/>
      <c r="J22" s="2432"/>
      <c r="K22" s="357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30" t="s">
        <v>2206</v>
      </c>
      <c r="B23" s="2495" t="s">
        <v>2207</v>
      </c>
      <c r="C23" s="2631"/>
      <c r="D23" s="2632" t="s">
        <v>2207</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1057</v>
      </c>
      <c r="C24" s="2634"/>
      <c r="D24" s="2630" t="s">
        <v>1057</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1058</v>
      </c>
      <c r="C25" s="2634"/>
      <c r="D25" s="2630" t="s">
        <v>1058</v>
      </c>
      <c r="E25" s="2635"/>
      <c r="F25" s="2656"/>
      <c r="G25" s="2657"/>
      <c r="H25" s="2657"/>
      <c r="I25" s="2657"/>
      <c r="J25" s="2432"/>
      <c r="K25" s="2609"/>
      <c r="L25" s="2606"/>
      <c r="M25" s="2606"/>
      <c r="N25" s="2502"/>
      <c r="O25" s="2444"/>
      <c r="P25" s="2502"/>
      <c r="Q25" s="2432"/>
      <c r="R25" s="2432"/>
      <c r="S25" s="2432"/>
      <c r="T25" s="2432"/>
      <c r="U25" s="2432"/>
      <c r="V25" s="2432"/>
    </row>
    <row r="26" spans="1:28" ht="13.8" thickBot="1">
      <c r="A26" s="2636"/>
      <c r="B26" s="2637" t="s">
        <v>1059</v>
      </c>
      <c r="C26" s="2638"/>
      <c r="D26" s="2636" t="s">
        <v>1059</v>
      </c>
      <c r="E26" s="2639"/>
      <c r="F26" s="2658"/>
      <c r="G26" s="2658"/>
      <c r="H26" s="2658"/>
      <c r="I26" s="2658"/>
      <c r="J26" s="2432"/>
      <c r="K26" s="2609"/>
      <c r="L26" s="2606"/>
      <c r="M26" s="2606"/>
      <c r="N26" s="2502"/>
      <c r="O26" s="2444"/>
      <c r="P26" s="2502"/>
      <c r="Q26" s="2432"/>
      <c r="R26" s="2432"/>
      <c r="S26" s="2432"/>
      <c r="T26" s="2432"/>
      <c r="U26" s="2432"/>
      <c r="V26" s="2432"/>
    </row>
    <row r="27" spans="1:28" ht="13.8" thickTop="1">
      <c r="A27" s="3594" t="s">
        <v>2208</v>
      </c>
      <c r="B27" s="320" t="s">
        <v>2209</v>
      </c>
      <c r="C27" s="2409" t="s">
        <v>3504</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594"/>
      <c r="B28" s="302" t="s">
        <v>2210</v>
      </c>
      <c r="C28" s="2411" t="s">
        <v>3372</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594"/>
      <c r="B29" s="302" t="s">
        <v>2211</v>
      </c>
      <c r="C29" s="2413" t="s">
        <v>3373</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595"/>
      <c r="B30" s="302" t="s">
        <v>2212</v>
      </c>
      <c r="C30" s="3596"/>
      <c r="D30" s="3597"/>
      <c r="E30" s="2657"/>
      <c r="F30" s="2657"/>
      <c r="G30" s="2657"/>
      <c r="H30" s="2657"/>
      <c r="I30" s="2657"/>
      <c r="J30" s="2432"/>
      <c r="K30" s="2609"/>
      <c r="L30" s="2606"/>
      <c r="M30" s="2606"/>
      <c r="N30" s="2432"/>
      <c r="O30" s="2443"/>
      <c r="P30" s="2432"/>
      <c r="Q30" s="2432"/>
      <c r="R30" s="2432"/>
      <c r="S30" s="2432"/>
      <c r="T30" s="2432"/>
      <c r="U30" s="2432"/>
      <c r="V30" s="2432"/>
    </row>
    <row r="31" spans="1:28">
      <c r="A31" s="3598" t="s">
        <v>2213</v>
      </c>
      <c r="B31" s="2415" t="s">
        <v>3374</v>
      </c>
      <c r="C31" s="2319" t="str">
        <f>IF(B31="现房","成新及维护状况正常否",IF(B31="在建","工程状态是否正常",IF(B31="土地","是否闲置","-")))</f>
        <v>成新及维护状况正常否</v>
      </c>
      <c r="D31" s="1371"/>
      <c r="E31" s="2416"/>
      <c r="F31" s="2657"/>
      <c r="G31" s="2657"/>
      <c r="H31" s="2657"/>
      <c r="I31" s="2657"/>
      <c r="J31" s="2432"/>
      <c r="K31" s="2608"/>
      <c r="L31" s="2606"/>
      <c r="M31" s="2606"/>
      <c r="N31" s="2432"/>
      <c r="O31" s="2443"/>
      <c r="P31" s="2432"/>
      <c r="Q31" s="2432"/>
      <c r="R31" s="2432"/>
      <c r="S31" s="2432"/>
      <c r="T31" s="2432"/>
      <c r="U31" s="2432"/>
      <c r="V31" s="2432"/>
    </row>
    <row r="32" spans="1:28">
      <c r="A32" s="3599"/>
      <c r="B32" s="2415"/>
      <c r="C32" s="2319" t="str">
        <f>IF(B32="现房","成新及维护状况是否正常",IF(B32="在建","工程状态是否正常",IF(B32="土地","是否闲置","-")))</f>
        <v>-</v>
      </c>
      <c r="D32" s="1371"/>
      <c r="E32" s="2416"/>
      <c r="F32" s="2657"/>
      <c r="G32" s="2657"/>
      <c r="H32" s="2657"/>
      <c r="I32" s="2657"/>
      <c r="J32" s="2432"/>
      <c r="K32" s="2609"/>
      <c r="L32" s="2606"/>
      <c r="M32" s="2606"/>
      <c r="N32" s="2432"/>
      <c r="O32" s="2443"/>
      <c r="P32" s="2432"/>
      <c r="Q32" s="2432"/>
      <c r="R32" s="2432"/>
      <c r="S32" s="2432"/>
      <c r="T32" s="2432"/>
      <c r="U32" s="2432"/>
      <c r="V32" s="2432"/>
    </row>
    <row r="33" spans="1:30">
      <c r="A33" s="3599"/>
      <c r="B33" s="2418"/>
      <c r="C33" s="1588" t="str">
        <f>IF(B33="现房","成新及维护状况是否正常",IF(B33="在建","工程状态是否正常",IF(B33="土地","是否闲置","-")))</f>
        <v>-</v>
      </c>
      <c r="D33" s="1363"/>
      <c r="E33" s="2419"/>
      <c r="F33" s="2657"/>
      <c r="G33" s="2657"/>
      <c r="H33" s="2657"/>
      <c r="I33" s="2657"/>
      <c r="J33" s="2432"/>
      <c r="K33" s="2609"/>
      <c r="L33" s="2606"/>
      <c r="M33" s="2606"/>
      <c r="N33" s="2432"/>
      <c r="O33" s="2443"/>
      <c r="P33" s="2432"/>
      <c r="Q33" s="2432"/>
      <c r="R33" s="2432"/>
      <c r="S33" s="2432"/>
      <c r="T33" s="2432"/>
      <c r="U33" s="2432"/>
      <c r="V33" s="2432"/>
    </row>
    <row r="34" spans="1:30">
      <c r="A34" s="302" t="s">
        <v>2214</v>
      </c>
      <c r="B34" s="2022" t="s">
        <v>3375</v>
      </c>
      <c r="C34" s="2022" t="s">
        <v>3376</v>
      </c>
      <c r="D34" s="2022" t="s">
        <v>3377</v>
      </c>
      <c r="E34" s="2022" t="s">
        <v>3378</v>
      </c>
      <c r="F34" s="2022" t="s">
        <v>3379</v>
      </c>
      <c r="G34" s="2022" t="s">
        <v>3380</v>
      </c>
      <c r="H34" s="2022"/>
      <c r="I34" s="2657"/>
      <c r="J34" s="2432"/>
      <c r="K34" s="2420">
        <f>COUNTIF(B34:H34,"——")</f>
        <v>0</v>
      </c>
      <c r="L34" s="323" t="s">
        <v>2215</v>
      </c>
      <c r="M34" s="323" t="s">
        <v>2216</v>
      </c>
      <c r="N34" s="323" t="s">
        <v>2217</v>
      </c>
      <c r="O34" s="323" t="s">
        <v>2218</v>
      </c>
      <c r="P34" s="323" t="s">
        <v>2219</v>
      </c>
      <c r="Q34" s="323" t="s">
        <v>2220</v>
      </c>
      <c r="R34" s="323" t="s">
        <v>2221</v>
      </c>
      <c r="S34" s="3593" t="s">
        <v>2222</v>
      </c>
      <c r="T34" s="2421" t="str">
        <f>NUMBERSTRING(7-K34,1)&amp;"通"</f>
        <v>七通</v>
      </c>
      <c r="U34" s="2432"/>
      <c r="V34" s="2432"/>
    </row>
    <row r="35" spans="1:30">
      <c r="A35" s="2422"/>
      <c r="B35" s="3600" t="s">
        <v>2223</v>
      </c>
      <c r="C35" s="3600"/>
      <c r="D35" s="3600"/>
      <c r="E35" s="3600"/>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93"/>
      <c r="T35" s="329" t="str">
        <f>IF(T34="一通",L35,IF(T34="二通",M35,IF(T34="三通",N35,IF(T34="四通",O35,IF(T34="五通",P35,IF(T34="六通",Q35,R35))))))</f>
        <v>通路、通电、通讯、通上水、通下水、平整、</v>
      </c>
      <c r="U35" s="2432"/>
      <c r="V35" s="2432"/>
    </row>
    <row r="36" spans="1:30">
      <c r="A36" s="2423"/>
      <c r="B36" s="663" t="s">
        <v>2182</v>
      </c>
      <c r="C36" s="663" t="s">
        <v>2183</v>
      </c>
      <c r="D36" s="663" t="s">
        <v>2181</v>
      </c>
      <c r="E36" s="663" t="s">
        <v>2186</v>
      </c>
      <c r="F36" s="3058" t="s">
        <v>2568</v>
      </c>
      <c r="G36" s="2657"/>
      <c r="H36" s="2657"/>
      <c r="I36" s="2657"/>
      <c r="J36" s="2432"/>
      <c r="K36" s="2609"/>
      <c r="L36" s="2606"/>
      <c r="M36" s="2606"/>
      <c r="N36" s="2432"/>
      <c r="O36" s="2443"/>
      <c r="P36" s="2432"/>
      <c r="Q36" s="2432"/>
      <c r="R36" s="2432"/>
      <c r="S36" s="2432"/>
      <c r="T36" s="2432"/>
      <c r="U36" s="2432"/>
      <c r="V36" s="2432"/>
    </row>
    <row r="37" spans="1:30">
      <c r="A37" s="2623" t="s">
        <v>2224</v>
      </c>
      <c r="B37" s="2424" t="s">
        <v>110</v>
      </c>
      <c r="C37" s="2424"/>
      <c r="D37" s="2424"/>
      <c r="E37" s="2424"/>
      <c r="F37" s="2424"/>
      <c r="G37" s="2657"/>
      <c r="H37" s="2657"/>
      <c r="I37" s="2657"/>
      <c r="J37" s="2432"/>
      <c r="K37" s="2609"/>
      <c r="L37" s="2606"/>
      <c r="M37" s="2606"/>
      <c r="N37" s="2432"/>
      <c r="O37" s="2443"/>
      <c r="P37" s="2432"/>
      <c r="Q37" s="2432"/>
      <c r="R37" s="2432"/>
      <c r="S37" s="2432"/>
      <c r="T37" s="2432"/>
      <c r="U37" s="2432"/>
      <c r="V37" s="2432"/>
    </row>
    <row r="38" spans="1:30" ht="13.8" thickBot="1">
      <c r="A38" s="2624" t="s">
        <v>2225</v>
      </c>
      <c r="B38" s="2425" t="s">
        <v>3505</v>
      </c>
      <c r="C38" s="2425"/>
      <c r="D38" s="2425"/>
      <c r="E38" s="2425"/>
      <c r="F38" s="2425"/>
      <c r="G38" s="2658"/>
      <c r="H38" s="2658"/>
      <c r="I38" s="2658"/>
      <c r="J38" s="2432"/>
      <c r="K38" s="2609"/>
      <c r="L38" s="2606"/>
      <c r="M38" s="2606"/>
      <c r="N38" s="2432"/>
      <c r="O38" s="2443"/>
      <c r="P38" s="2432"/>
      <c r="Q38" s="2432"/>
      <c r="R38" s="2432"/>
      <c r="S38" s="2432"/>
      <c r="T38" s="2432"/>
      <c r="U38" s="2432"/>
      <c r="V38" s="2432"/>
    </row>
    <row r="39" spans="1:30" s="2428" customFormat="1" ht="14.4" thickTop="1" thickBot="1">
      <c r="A39" s="2426" t="s">
        <v>2226</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6"/>
      <c r="J40" s="2502"/>
      <c r="K40" s="2608"/>
      <c r="L40" s="2444"/>
      <c r="M40" s="2444"/>
      <c r="N40" s="2502"/>
      <c r="O40" s="2444"/>
      <c r="P40" s="2432"/>
      <c r="Q40" s="2432"/>
      <c r="R40" s="2432"/>
      <c r="S40" s="2432"/>
      <c r="T40" s="2432"/>
      <c r="U40" s="2432"/>
      <c r="V40" s="2432"/>
    </row>
    <row r="41" spans="1:30">
      <c r="A41" s="2429" t="s">
        <v>2227</v>
      </c>
      <c r="B41" s="1755"/>
      <c r="C41" s="1371"/>
      <c r="D41" s="2366"/>
      <c r="E41" s="2366"/>
      <c r="F41" s="2366"/>
      <c r="G41" s="2366"/>
      <c r="H41" s="2366"/>
      <c r="I41" s="1574"/>
      <c r="J41" s="2432"/>
      <c r="K41" s="2609"/>
      <c r="L41" s="2606"/>
      <c r="M41" s="2606"/>
      <c r="N41" s="2432"/>
      <c r="O41" s="2443"/>
      <c r="P41" s="2432"/>
      <c r="Q41" s="2432"/>
      <c r="R41" s="2432"/>
      <c r="S41" s="2432"/>
      <c r="T41" s="2432"/>
      <c r="U41" s="2432"/>
      <c r="V41" s="2432"/>
    </row>
    <row r="42" spans="1:30" ht="25.2">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2" width="9.44140625" style="1571" customWidth="1"/>
    <col min="13" max="14" width="9.44140625" style="1571" hidden="1" customWidth="1"/>
    <col min="15" max="15" width="9.88671875" style="1571" hidden="1" customWidth="1"/>
    <col min="16" max="16" width="9.77734375" style="1571" hidden="1" customWidth="1"/>
    <col min="17" max="17" width="9.33203125" style="1571" hidden="1" customWidth="1"/>
    <col min="18" max="18" width="9.21875" style="1571" hidden="1" customWidth="1"/>
    <col min="19" max="19" width="10.88671875" style="1571" hidden="1" customWidth="1"/>
    <col min="20" max="21" width="10.77734375" style="1571" hidden="1" customWidth="1"/>
    <col min="22" max="22" width="10.88671875" style="1571" hidden="1" customWidth="1"/>
    <col min="23" max="27" width="10.77734375" style="1571" hidden="1" customWidth="1"/>
    <col min="28" max="28" width="10.88671875" style="1571" hidden="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10479.049999999999</v>
      </c>
      <c r="B3" s="11">
        <f>IF(C3="否",G5-AT5,G5)</f>
        <v>48491.65</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1069</v>
      </c>
      <c r="B5" s="1345"/>
      <c r="C5" s="1345"/>
      <c r="D5" s="1347"/>
      <c r="E5" s="13" t="s">
        <v>0</v>
      </c>
      <c r="F5" s="13">
        <f>SUM(F13:F587)</f>
        <v>0</v>
      </c>
      <c r="G5" s="13">
        <f>SUM(G13:G587)</f>
        <v>48491.65</v>
      </c>
      <c r="H5" s="13">
        <f t="shared" ref="H5:AT5" si="0">SUM(H13:H656)</f>
        <v>43006.62</v>
      </c>
      <c r="I5" s="13">
        <f t="shared" si="0"/>
        <v>33021.620000000003</v>
      </c>
      <c r="J5" s="13">
        <f t="shared" si="0"/>
        <v>0</v>
      </c>
      <c r="K5" s="13">
        <f t="shared" si="0"/>
        <v>9985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5485.0299999999988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5485.0299999999988</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48491.65</v>
      </c>
      <c r="BA5" s="15">
        <f t="shared" si="1"/>
        <v>43006.62</v>
      </c>
      <c r="BB5" s="15">
        <f t="shared" si="1"/>
        <v>33021.620000000003</v>
      </c>
      <c r="BC5" s="15">
        <f t="shared" si="1"/>
        <v>9985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5485.0299999999988</v>
      </c>
      <c r="BM5" s="15">
        <f t="shared" si="1"/>
        <v>0</v>
      </c>
      <c r="BN5" s="15">
        <f t="shared" si="1"/>
        <v>0</v>
      </c>
      <c r="BO5" s="15">
        <f t="shared" si="1"/>
        <v>0</v>
      </c>
      <c r="BP5" s="15">
        <f t="shared" si="1"/>
        <v>0</v>
      </c>
      <c r="BQ5" s="15">
        <f t="shared" si="1"/>
        <v>0</v>
      </c>
      <c r="BR5" s="15">
        <f t="shared" si="1"/>
        <v>5485.0299999999988</v>
      </c>
      <c r="BS5" s="15">
        <f t="shared" si="1"/>
        <v>0</v>
      </c>
      <c r="BT5" s="16">
        <f t="shared" si="1"/>
        <v>0</v>
      </c>
    </row>
    <row r="6" spans="1:72" s="1587" customFormat="1" ht="13.2">
      <c r="A6" s="12" t="s">
        <v>1070</v>
      </c>
      <c r="B6" s="1584"/>
      <c r="C6" s="1584"/>
      <c r="D6" s="1585"/>
      <c r="E6" s="13">
        <f>H6+AC6+AT6</f>
        <v>10479.06</v>
      </c>
      <c r="F6" s="13" t="s">
        <v>0</v>
      </c>
      <c r="G6" s="13" t="s">
        <v>1</v>
      </c>
      <c r="H6" s="17">
        <f>SUMIF(I$12:AB$12,"总值",I6:AB6)</f>
        <v>9293.74</v>
      </c>
      <c r="I6" s="13">
        <f t="shared" ref="I6:AB6" si="2">ROUND($A$3*I5/$B$3,2)</f>
        <v>7135.98</v>
      </c>
      <c r="J6" s="13">
        <f t="shared" si="2"/>
        <v>0</v>
      </c>
      <c r="K6" s="13">
        <f t="shared" si="2"/>
        <v>2157.7600000000002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1185.32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1185.32</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10479.049999999999</v>
      </c>
      <c r="AZ6" s="13" t="s">
        <v>2</v>
      </c>
      <c r="BA6" s="13">
        <f>ROUND($AY$6*BA5/$AZ$5,2)</f>
        <v>9293.73</v>
      </c>
      <c r="BB6" s="13">
        <f>ROUND($AY$6*BB5/$AZ$5,2)</f>
        <v>7135.98</v>
      </c>
      <c r="BC6" s="13">
        <f t="shared" ref="BC6:BH6" si="4">ROUND($AY$6*BC5/$AZ$5,2)</f>
        <v>2157.7600000000002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1185.32</v>
      </c>
      <c r="BM6" s="13">
        <f t="shared" si="5"/>
        <v>0</v>
      </c>
      <c r="BN6" s="13">
        <f t="shared" si="5"/>
        <v>0</v>
      </c>
      <c r="BO6" s="13">
        <f t="shared" si="5"/>
        <v>0</v>
      </c>
      <c r="BP6" s="13">
        <f t="shared" si="5"/>
        <v>0</v>
      </c>
      <c r="BQ6" s="13">
        <f t="shared" si="5"/>
        <v>0</v>
      </c>
      <c r="BR6" s="13">
        <f t="shared" si="5"/>
        <v>1185.32</v>
      </c>
      <c r="BS6" s="13">
        <f t="shared" si="5"/>
        <v>0</v>
      </c>
      <c r="BT6" s="19">
        <f t="shared" si="5"/>
        <v>0</v>
      </c>
    </row>
    <row r="7" spans="1:72" s="1577" customFormat="1" ht="25.2">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1089</v>
      </c>
      <c r="I9" s="1601" t="s">
        <v>3583</v>
      </c>
      <c r="J9" s="808"/>
      <c r="K9" s="1601" t="s">
        <v>3585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t="s">
        <v>3584</v>
      </c>
      <c r="J11" s="1613"/>
      <c r="K11" s="1612" t="s">
        <v>3584</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3868">
        <f>48969.03-房屋建筑面积总表!I13-房屋建筑面积总表!I14</f>
        <v>48491.65</v>
      </c>
      <c r="B13" s="1050"/>
      <c r="C13" s="1050"/>
      <c r="D13" s="1623" t="s">
        <v>3381</v>
      </c>
      <c r="E13" s="13">
        <f>IF($C$3="是",ROUND($A$3*G13/$B$3,2),ROUND($A$3*(G13-AT13)/$B$3,2))</f>
        <v>10479.049999999999</v>
      </c>
      <c r="F13" s="29"/>
      <c r="G13" s="30">
        <f>H13+AC13+AT13</f>
        <v>48491.65</v>
      </c>
      <c r="H13" s="17">
        <f>SUMIF(I$12:AB$12,"总值",I13:AB13)</f>
        <v>43006.62</v>
      </c>
      <c r="I13" s="1624">
        <f>'2020年企业提供面积'!G6+'2020年企业提供面积'!G7+'2020年企业提供面积'!G8+'2020年企业提供面积'!G9+'2020年企业提供面积'!G11+'2020年企业提供面积'!G12+'2020年企业提供面积'!G13+'2020年企业提供面积'!G14+'2020年企业提供面积'!G15+'2020年企业提供面积'!G16-房屋建筑面积总表!I13-房屋建筑面积总表!I14</f>
        <v>33021.620000000003</v>
      </c>
      <c r="J13" s="1624"/>
      <c r="K13" s="1624">
        <f>'2020年企业提供面积'!G3+'2020年企业提供面积'!G4+'2020年企业提供面积'!G5</f>
        <v>9985</v>
      </c>
      <c r="L13" s="1624"/>
      <c r="M13" s="1624"/>
      <c r="N13" s="1624"/>
      <c r="O13" s="1624"/>
      <c r="P13" s="1624"/>
      <c r="Q13" s="1624"/>
      <c r="R13" s="1624"/>
      <c r="S13" s="1624"/>
      <c r="T13" s="1624"/>
      <c r="U13" s="1624"/>
      <c r="V13" s="1624"/>
      <c r="W13" s="1624"/>
      <c r="X13" s="1624"/>
      <c r="Y13" s="1624"/>
      <c r="Z13" s="1624"/>
      <c r="AA13" s="1624"/>
      <c r="AB13" s="1624"/>
      <c r="AC13" s="13">
        <f>SUMIF(AD$12:AS$12,"总值",AD13:AS13)</f>
        <v>5485.0299999999988</v>
      </c>
      <c r="AD13" s="1625"/>
      <c r="AE13" s="1625"/>
      <c r="AF13" s="1625"/>
      <c r="AG13" s="1625"/>
      <c r="AH13" s="1625"/>
      <c r="AI13" s="1625"/>
      <c r="AJ13" s="1625"/>
      <c r="AK13" s="1625"/>
      <c r="AL13" s="1625"/>
      <c r="AM13" s="1625"/>
      <c r="AN13" s="1625">
        <f>A13-I13-K13</f>
        <v>5485.0299999999988</v>
      </c>
      <c r="AO13" s="1625"/>
      <c r="AP13" s="1625"/>
      <c r="AQ13" s="1625"/>
      <c r="AR13" s="1625"/>
      <c r="AS13" s="1625"/>
      <c r="AT13" s="1626"/>
      <c r="AU13" s="1627"/>
      <c r="AV13" s="8">
        <f t="shared" ref="AV13:AX17" si="6">A13</f>
        <v>48491.65</v>
      </c>
      <c r="AW13" s="8">
        <f t="shared" si="6"/>
        <v>0</v>
      </c>
      <c r="AX13" s="8">
        <f t="shared" si="6"/>
        <v>0</v>
      </c>
      <c r="AY13" s="1347">
        <f>ROUND($AY$6*AZ13/$AZ$5,2)</f>
        <v>10479.049999999999</v>
      </c>
      <c r="AZ13" s="13">
        <f>BA13+BL13</f>
        <v>48491.65</v>
      </c>
      <c r="BA13" s="13">
        <f>SUM(BB13:BK13)</f>
        <v>43006.62</v>
      </c>
      <c r="BB13" s="13">
        <f>IF($D13="是",I13-J13,0)</f>
        <v>33021.620000000003</v>
      </c>
      <c r="BC13" s="13">
        <f>IF($D13="是",K13-L13,0)</f>
        <v>9985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5485.0299999999988</v>
      </c>
      <c r="BM13" s="13">
        <f>IF($D13="是",AD13-AE13,0)</f>
        <v>0</v>
      </c>
      <c r="BN13" s="13">
        <f>IF($D13="是",AF13-AG13,0)</f>
        <v>0</v>
      </c>
      <c r="BO13" s="13">
        <f>IF($D13="是",AH13-AI13,0)</f>
        <v>0</v>
      </c>
      <c r="BP13" s="13">
        <f>IF($D13="是",AJ13-AK13,0)</f>
        <v>0</v>
      </c>
      <c r="BQ13" s="13">
        <f>IF($D13="是",AL13-AM13,0)</f>
        <v>0</v>
      </c>
      <c r="BR13" s="13">
        <f>IF($D13="是",AN13-AO13,0)</f>
        <v>5485.0299999999988</v>
      </c>
      <c r="BS13" s="13">
        <f>IF($D13="是",AP13-AQ13,0)</f>
        <v>0</v>
      </c>
      <c r="BT13" s="19">
        <f>IF($D13="是",AR13-AS13,0)</f>
        <v>0</v>
      </c>
    </row>
    <row r="14" spans="1:72" s="1577" customFormat="1" ht="13.2">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2"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1128</v>
      </c>
      <c r="B1" s="1138"/>
      <c r="C1" s="1138"/>
      <c r="D1" s="1138"/>
      <c r="E1" s="1138"/>
      <c r="F1" s="1138"/>
      <c r="G1" s="1138"/>
      <c r="H1" s="1138"/>
      <c r="I1" s="1138"/>
      <c r="J1" s="1138"/>
      <c r="K1" s="1138"/>
      <c r="L1" s="1138"/>
      <c r="M1" s="1138"/>
      <c r="N1" s="1138"/>
      <c r="O1" s="1138"/>
      <c r="P1" s="1138"/>
    </row>
    <row r="2" spans="1:16" ht="14.4">
      <c r="A2" s="3610" t="s">
        <v>1129</v>
      </c>
      <c r="B2" s="3610"/>
      <c r="C2" s="3610"/>
      <c r="D2" s="795" t="s">
        <v>1105</v>
      </c>
      <c r="E2" s="1637" t="s">
        <v>1106</v>
      </c>
      <c r="F2" s="2652"/>
      <c r="G2" s="2643"/>
      <c r="H2" s="2644"/>
      <c r="I2" s="2321" t="s">
        <v>1130</v>
      </c>
      <c r="J2" s="2652"/>
      <c r="K2" s="2652"/>
      <c r="L2" s="2652"/>
      <c r="M2" s="2652"/>
      <c r="N2" s="2654"/>
      <c r="O2" s="2652"/>
      <c r="P2" s="2652"/>
    </row>
    <row r="3" spans="1:16" ht="15" thickBot="1">
      <c r="A3" s="3611" t="s">
        <v>1103</v>
      </c>
      <c r="B3" s="3611"/>
      <c r="C3" s="3611"/>
      <c r="D3" s="43">
        <f>'数据-基础表'!AY6</f>
        <v>10479.049999999999</v>
      </c>
      <c r="E3" s="43">
        <f>'数据-基础表'!AZ5</f>
        <v>48491.65</v>
      </c>
      <c r="F3" s="2652"/>
      <c r="G3" s="1144"/>
      <c r="H3" s="1025" t="s">
        <v>1104</v>
      </c>
      <c r="I3" s="854">
        <f>ROUND('数据-基础表'!B3/'数据-基础表'!A3,2)</f>
        <v>4.63</v>
      </c>
      <c r="J3" s="2652"/>
      <c r="K3" s="2652"/>
      <c r="L3" s="2652"/>
      <c r="M3" s="2652"/>
      <c r="N3" s="2654"/>
      <c r="O3" s="2652"/>
      <c r="P3" s="2652"/>
    </row>
    <row r="4" spans="1:16" ht="14.4">
      <c r="A4" s="3612"/>
      <c r="B4" s="3613"/>
      <c r="C4" s="3614"/>
      <c r="D4" s="1639" t="s">
        <v>1105</v>
      </c>
      <c r="E4" s="1640" t="s">
        <v>1106</v>
      </c>
      <c r="F4" s="2652"/>
      <c r="G4" s="2645" t="s">
        <v>1131</v>
      </c>
      <c r="H4" s="1025" t="s">
        <v>1111</v>
      </c>
      <c r="I4" s="854">
        <f>ROUND(SUMIF('数据-基础表'!I9:AS9,"地上",'数据-基础表'!I5:AS5)/'数据-基础表'!A3,2)</f>
        <v>3.15</v>
      </c>
      <c r="J4" s="2652"/>
      <c r="K4" s="2652"/>
      <c r="L4" s="2652"/>
      <c r="M4" s="2652"/>
      <c r="N4" s="2654"/>
      <c r="O4" s="2652"/>
      <c r="P4" s="2652"/>
    </row>
    <row r="5" spans="1:16" ht="14.4">
      <c r="A5" s="44" t="s">
        <v>1107</v>
      </c>
      <c r="B5" s="3615" t="s">
        <v>1108</v>
      </c>
      <c r="C5" s="3615"/>
      <c r="D5" s="45">
        <f>ROUND($D$3*E5/$E$3,2)</f>
        <v>0</v>
      </c>
      <c r="E5" s="46">
        <f>SUMIF('数据-基础表'!$11:$11,"住宅",'数据-基础表'!$5:$5)</f>
        <v>0</v>
      </c>
      <c r="F5" s="2652"/>
      <c r="G5" s="1144"/>
      <c r="H5" s="1025" t="s">
        <v>1104</v>
      </c>
      <c r="I5" s="854">
        <f>ROUND(E31/D31,2)</f>
        <v>4.63</v>
      </c>
      <c r="J5" s="2652"/>
      <c r="K5" s="2652"/>
      <c r="L5" s="2652"/>
      <c r="M5" s="2652"/>
      <c r="N5" s="2652"/>
      <c r="O5" s="2652"/>
      <c r="P5" s="2652"/>
    </row>
    <row r="6" spans="1:16" ht="15" thickBot="1">
      <c r="A6" s="1642"/>
      <c r="B6" s="3615" t="s">
        <v>1109</v>
      </c>
      <c r="C6" s="3615"/>
      <c r="D6" s="45">
        <f>ROUND($D$3*E6/$E$3,2)</f>
        <v>10479.049999999999</v>
      </c>
      <c r="E6" s="46">
        <f>E3-E5</f>
        <v>48491.65</v>
      </c>
      <c r="F6" s="2652"/>
      <c r="G6" s="2646" t="s">
        <v>1110</v>
      </c>
      <c r="H6" s="1145" t="s">
        <v>1111</v>
      </c>
      <c r="I6" s="2647">
        <f>ROUND(F31/D31,2)</f>
        <v>3.15</v>
      </c>
      <c r="J6" s="2652"/>
      <c r="K6" s="2652"/>
      <c r="L6" s="2652"/>
      <c r="M6" s="2652"/>
      <c r="N6" s="2652"/>
      <c r="O6" s="2652"/>
      <c r="P6" s="2652"/>
    </row>
    <row r="7" spans="1:16" ht="15" thickBot="1">
      <c r="A7" s="3607"/>
      <c r="B7" s="3608"/>
      <c r="C7" s="3609"/>
      <c r="D7" s="1639" t="s">
        <v>1105</v>
      </c>
      <c r="E7" s="1643" t="s">
        <v>1112</v>
      </c>
      <c r="F7" s="2652"/>
      <c r="G7" s="2648" t="s">
        <v>1113</v>
      </c>
      <c r="H7" s="2649"/>
      <c r="I7" s="2650">
        <v>4.5</v>
      </c>
      <c r="J7" s="2652"/>
      <c r="K7" s="2652"/>
      <c r="L7" s="2652"/>
      <c r="M7" s="2652"/>
      <c r="N7" s="2652"/>
      <c r="O7" s="2652"/>
      <c r="P7" s="2652"/>
    </row>
    <row r="8" spans="1:16" ht="14.4">
      <c r="A8" s="44" t="s">
        <v>1114</v>
      </c>
      <c r="B8" s="47" t="s">
        <v>1115</v>
      </c>
      <c r="C8" s="45" t="s">
        <v>1116</v>
      </c>
      <c r="D8" s="45">
        <f t="shared" ref="D8:D15" si="0">ROUND($D$3*E8/$E$3,2)</f>
        <v>7135.98</v>
      </c>
      <c r="E8" s="48">
        <f>SUMIF('数据-基础表'!BB10:BK10,"地上",'数据-基础表'!BB5:BK5)</f>
        <v>33021.620000000003</v>
      </c>
      <c r="F8" s="2652"/>
      <c r="G8" s="2653"/>
      <c r="H8" s="2653"/>
      <c r="I8" s="2652"/>
      <c r="J8" s="2652"/>
      <c r="K8" s="2652"/>
      <c r="L8" s="2652"/>
      <c r="M8" s="2652"/>
      <c r="N8" s="2652"/>
      <c r="O8" s="2652"/>
      <c r="P8" s="2652"/>
    </row>
    <row r="9" spans="1:16" ht="14.4">
      <c r="A9" s="1644"/>
      <c r="B9" s="1645"/>
      <c r="C9" s="45" t="s">
        <v>1117</v>
      </c>
      <c r="D9" s="45">
        <f t="shared" si="0"/>
        <v>0</v>
      </c>
      <c r="E9" s="49">
        <v>0</v>
      </c>
      <c r="F9" s="2652"/>
      <c r="G9" s="2653"/>
      <c r="H9" s="2653"/>
      <c r="I9" s="2652"/>
      <c r="J9" s="2652"/>
      <c r="K9" s="2652"/>
      <c r="L9" s="2652"/>
      <c r="M9" s="2652"/>
      <c r="N9" s="2652"/>
      <c r="O9" s="2652"/>
      <c r="P9" s="2652"/>
    </row>
    <row r="10" spans="1:16" ht="14.4">
      <c r="A10" s="1644"/>
      <c r="B10" s="1645"/>
      <c r="C10" s="45" t="s">
        <v>1126</v>
      </c>
      <c r="D10" s="45">
        <f t="shared" si="0"/>
        <v>2157.7600000000002</v>
      </c>
      <c r="E10" s="48">
        <f>SUMPRODUCT(('数据-基础表'!BB10:BK10="地下")*('数据-基础表'!BB11:BK11="商业")*('数据-基础表'!BB5:BK5))</f>
        <v>9985</v>
      </c>
      <c r="F10" s="2652"/>
      <c r="G10" s="2653"/>
      <c r="H10" s="2653"/>
      <c r="I10" s="2652"/>
      <c r="J10" s="2652"/>
      <c r="K10" s="2652"/>
      <c r="L10" s="2652"/>
      <c r="M10" s="2652"/>
      <c r="N10" s="2652"/>
      <c r="O10" s="2652"/>
      <c r="P10" s="2652"/>
    </row>
    <row r="11" spans="1:16" ht="14.4">
      <c r="A11" s="1644"/>
      <c r="B11" s="1645"/>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ht="14.4">
      <c r="A12" s="1644"/>
      <c r="B12" s="1645"/>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ht="14.4">
      <c r="A13" s="1644"/>
      <c r="B13" s="1645"/>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ht="14.4">
      <c r="A14" s="1644"/>
      <c r="B14" s="1645"/>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4"/>
      <c r="B15" s="1645"/>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 thickBot="1">
      <c r="A16" s="1642"/>
      <c r="B16" s="1645"/>
      <c r="C16" s="47" t="s">
        <v>1121</v>
      </c>
      <c r="D16" s="47">
        <f>SUM(D8:D15)</f>
        <v>9293.74</v>
      </c>
      <c r="E16" s="50">
        <f>SUM(E8:E15)</f>
        <v>43006.62</v>
      </c>
      <c r="F16" s="2652"/>
      <c r="G16" s="2653"/>
      <c r="H16" s="1646" t="s">
        <v>1133</v>
      </c>
      <c r="I16" s="1647"/>
      <c r="J16" s="1138"/>
      <c r="K16" s="3604" t="s">
        <v>1133</v>
      </c>
      <c r="L16" s="3605"/>
      <c r="M16" s="3605"/>
      <c r="N16" s="3605"/>
      <c r="O16" s="3605"/>
      <c r="P16" s="3606"/>
    </row>
    <row r="17" spans="1:19" ht="14.4">
      <c r="A17" s="1648" t="s">
        <v>1134</v>
      </c>
      <c r="B17" s="1649" t="s">
        <v>1135</v>
      </c>
      <c r="C17" s="1650" t="s">
        <v>1136</v>
      </c>
      <c r="D17" s="1651" t="s">
        <v>1124</v>
      </c>
      <c r="E17" s="1652" t="s">
        <v>1125</v>
      </c>
      <c r="F17" s="1653"/>
      <c r="G17" s="1654"/>
      <c r="H17" s="1655" t="s">
        <v>1137</v>
      </c>
      <c r="I17" s="1656" t="s">
        <v>1122</v>
      </c>
      <c r="J17" s="1138"/>
      <c r="K17" s="3601" t="s">
        <v>1138</v>
      </c>
      <c r="L17" s="3602"/>
      <c r="M17" s="3603"/>
      <c r="N17" s="3601" t="s">
        <v>1139</v>
      </c>
      <c r="O17" s="3602"/>
      <c r="P17" s="3603"/>
      <c r="R17" s="1638" t="s">
        <v>1140</v>
      </c>
      <c r="S17" s="56"/>
    </row>
    <row r="18" spans="1:19" ht="14.4">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ht="14.4">
      <c r="A19" s="1665"/>
      <c r="B19" s="47" t="s">
        <v>1123</v>
      </c>
      <c r="C19" s="3410" t="s">
        <v>3586</v>
      </c>
      <c r="D19" s="45">
        <f>ROUND($D$3*E19/$E$3,2)</f>
        <v>9293.73</v>
      </c>
      <c r="E19" s="53">
        <f t="shared" ref="E19:E26" si="1">SUM(F19:G19)</f>
        <v>43006.62</v>
      </c>
      <c r="F19" s="2788">
        <f>'数据-基础表'!I5</f>
        <v>33021.620000000003</v>
      </c>
      <c r="G19" s="2789">
        <f>'数据-基础表'!K5</f>
        <v>9985</v>
      </c>
      <c r="H19" s="669">
        <f>ROUND($D$3*I19/$E$3,2)</f>
        <v>1185.32</v>
      </c>
      <c r="I19" s="48">
        <f t="shared" ref="I19:I26" si="2">IF($I$17="自定义",P19,M19)</f>
        <v>5485.03</v>
      </c>
      <c r="J19" s="1138"/>
      <c r="K19" s="1137">
        <f t="shared" ref="K19:K26" si="3">ROUND(E$28*E19/E$27,2)</f>
        <v>5485.03</v>
      </c>
      <c r="L19" s="1025">
        <f t="shared" ref="L19:L26" si="4">ROUND(IF(COUNTIF(C19,"*住宅*")&gt;0,E$29*E19/E$32,0),2)</f>
        <v>0</v>
      </c>
      <c r="M19" s="1149">
        <f>K19+L19</f>
        <v>5485.03</v>
      </c>
      <c r="N19" s="1666"/>
      <c r="O19" s="1667"/>
      <c r="P19" s="1149">
        <f>N19+O19</f>
        <v>0</v>
      </c>
      <c r="R19" s="1025">
        <f t="shared" ref="R19:S26" si="5">D19+H19</f>
        <v>10479.049999999999</v>
      </c>
      <c r="S19" s="1026">
        <f t="shared" si="5"/>
        <v>48491.65</v>
      </c>
    </row>
    <row r="20" spans="1:19" ht="14.4">
      <c r="A20" s="1668"/>
      <c r="B20" s="47" t="s">
        <v>1151</v>
      </c>
      <c r="C20" s="3410"/>
      <c r="D20" s="45">
        <f t="shared" ref="D20:D26" si="6">ROUND($D$3*E20/$E$3,2)</f>
        <v>0</v>
      </c>
      <c r="E20" s="53">
        <f t="shared" si="1"/>
        <v>0</v>
      </c>
      <c r="F20" s="2788"/>
      <c r="G20" s="2789"/>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ht="14.4">
      <c r="A21" s="1668"/>
      <c r="B21" s="47" t="s">
        <v>1151</v>
      </c>
      <c r="C21" s="3410"/>
      <c r="D21" s="45">
        <f t="shared" si="6"/>
        <v>0</v>
      </c>
      <c r="E21" s="53">
        <f t="shared" si="1"/>
        <v>0</v>
      </c>
      <c r="F21" s="2788"/>
      <c r="G21" s="2789"/>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ht="14.4">
      <c r="A22" s="1668"/>
      <c r="B22" s="47" t="s">
        <v>1151</v>
      </c>
      <c r="C22" s="3411"/>
      <c r="D22" s="45">
        <f t="shared" si="6"/>
        <v>0</v>
      </c>
      <c r="E22" s="53">
        <f t="shared" si="1"/>
        <v>0</v>
      </c>
      <c r="F22" s="2790"/>
      <c r="G22" s="2791"/>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ht="14.4">
      <c r="A23" s="1668"/>
      <c r="B23" s="47" t="s">
        <v>1151</v>
      </c>
      <c r="C23" s="3411"/>
      <c r="D23" s="45">
        <f>ROUND($D$3*E23/$E$3,2)</f>
        <v>0</v>
      </c>
      <c r="E23" s="53">
        <f>SUM(F23:G23)</f>
        <v>0</v>
      </c>
      <c r="F23" s="2790"/>
      <c r="G23" s="2791"/>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ht="14.4">
      <c r="A24" s="1668"/>
      <c r="B24" s="47" t="s">
        <v>1151</v>
      </c>
      <c r="C24" s="3411"/>
      <c r="D24" s="45">
        <f>ROUND($D$3*E24/$E$3,2)</f>
        <v>0</v>
      </c>
      <c r="E24" s="53">
        <f>SUM(F24:G24)</f>
        <v>0</v>
      </c>
      <c r="F24" s="2790"/>
      <c r="G24" s="2791"/>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ht="14.4">
      <c r="A25" s="1668"/>
      <c r="B25" s="47" t="s">
        <v>1151</v>
      </c>
      <c r="C25" s="3411"/>
      <c r="D25" s="45">
        <f t="shared" si="6"/>
        <v>0</v>
      </c>
      <c r="E25" s="53">
        <f t="shared" si="1"/>
        <v>0</v>
      </c>
      <c r="F25" s="2790"/>
      <c r="G25" s="2791"/>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ht="14.4">
      <c r="A26" s="1668"/>
      <c r="B26" s="47" t="s">
        <v>1151</v>
      </c>
      <c r="C26" s="55"/>
      <c r="D26" s="45">
        <f t="shared" si="6"/>
        <v>0</v>
      </c>
      <c r="E26" s="53">
        <f t="shared" si="1"/>
        <v>0</v>
      </c>
      <c r="F26" s="2790"/>
      <c r="G26" s="2791"/>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 thickBot="1">
      <c r="A27" s="1668"/>
      <c r="B27" s="45"/>
      <c r="C27" s="1671" t="s">
        <v>1152</v>
      </c>
      <c r="D27" s="1139">
        <f>SUM(D19:D26)</f>
        <v>9293.73</v>
      </c>
      <c r="E27" s="1140">
        <f>IF(SUM(E19:E26)='数据-基础表'!BA5,SUM(E19:E26),IF(F27="地上面积有误","面积有误","地下面积有误"))</f>
        <v>43006.62</v>
      </c>
      <c r="F27" s="1139">
        <f>IF(SUM(F19:F26)=E8,SUM(F19:F26),"地上面积有误")</f>
        <v>33021.620000000003</v>
      </c>
      <c r="G27" s="1141">
        <f>SUM(G19:G26)</f>
        <v>9985</v>
      </c>
      <c r="H27" s="1142">
        <f>SUM(H19:H26)</f>
        <v>1185.32</v>
      </c>
      <c r="I27" s="1143">
        <f>SUM(I19:I26)</f>
        <v>5485.03</v>
      </c>
      <c r="J27" s="1138"/>
      <c r="K27" s="1146">
        <f>SUM(K19:K26)</f>
        <v>5485.03</v>
      </c>
      <c r="L27" s="1147">
        <f>SUM(L19:L26)</f>
        <v>0</v>
      </c>
      <c r="M27" s="1150">
        <f>SUM(M19:M26)</f>
        <v>5485.03</v>
      </c>
      <c r="N27" s="1146">
        <f t="shared" ref="N27:O27" si="10">SUM(N19:N26)</f>
        <v>0</v>
      </c>
      <c r="O27" s="1147">
        <f t="shared" si="10"/>
        <v>0</v>
      </c>
      <c r="P27" s="1148">
        <f>SUM(P19:P26)</f>
        <v>0</v>
      </c>
      <c r="R27" s="1027">
        <f>IF(SUM(R19:R26)=$D$3,SUM(R19:R26),SUM(R19:R26)&amp;"误差"&amp;ROUND(SUM(R19:R26)-$D$3,2))</f>
        <v>10479.049999999999</v>
      </c>
      <c r="S27" s="1025">
        <f>IF(SUM(S19:S26)=$E$3,SUM(S19:S26),SUM(S19:S26)&amp;"误差"&amp;ROUND(SUM(S19:S26)-E3,2))</f>
        <v>48491.65</v>
      </c>
    </row>
    <row r="28" spans="1:19" ht="14.4">
      <c r="A28" s="1668"/>
      <c r="B28" s="47" t="s">
        <v>1153</v>
      </c>
      <c r="C28" s="1037" t="s">
        <v>1154</v>
      </c>
      <c r="D28" s="45">
        <f>ROUND($D$3*E28/$E$3,2)</f>
        <v>1185.32</v>
      </c>
      <c r="E28" s="53">
        <f>SUM(F28:G28)</f>
        <v>5485.0299999999988</v>
      </c>
      <c r="F28" s="56">
        <f>'数据-基础表'!BQ5+'数据-基础表'!BS5</f>
        <v>0</v>
      </c>
      <c r="G28" s="57">
        <f>'数据-基础表'!BR5+'数据-基础表'!BT5</f>
        <v>5485.0299999999988</v>
      </c>
      <c r="H28" s="2652"/>
      <c r="I28" s="2652"/>
      <c r="J28" s="2652"/>
      <c r="K28" s="2652"/>
      <c r="L28" s="2652"/>
      <c r="M28" s="2652"/>
      <c r="N28" s="2652"/>
      <c r="O28" s="2652"/>
      <c r="P28" s="2652"/>
    </row>
    <row r="29" spans="1:19" ht="14.4">
      <c r="A29" s="1668"/>
      <c r="B29" s="47" t="s">
        <v>1153</v>
      </c>
      <c r="C29" s="1672"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4.4">
      <c r="A30" s="1668"/>
      <c r="B30" s="47"/>
      <c r="C30" s="1673" t="s">
        <v>1152</v>
      </c>
      <c r="D30" s="1139">
        <f>SUM(D28:D29)</f>
        <v>1185.32</v>
      </c>
      <c r="E30" s="1139">
        <f>SUM(E28:E29)</f>
        <v>5485.0299999999988</v>
      </c>
      <c r="F30" s="1139">
        <f>SUM(F28:F29)</f>
        <v>0</v>
      </c>
      <c r="G30" s="1141">
        <f>SUM(G28:G29)</f>
        <v>5485.0299999999988</v>
      </c>
      <c r="H30" s="2652"/>
      <c r="I30" s="2652"/>
      <c r="J30" s="2652"/>
      <c r="K30" s="2652"/>
      <c r="L30" s="2652"/>
      <c r="M30" s="2652"/>
      <c r="N30" s="2652"/>
      <c r="O30" s="2652"/>
      <c r="P30" s="2652"/>
    </row>
    <row r="31" spans="1:19" ht="15" thickBot="1">
      <c r="A31" s="1674"/>
      <c r="B31" s="1675"/>
      <c r="C31" s="834" t="s">
        <v>1156</v>
      </c>
      <c r="D31" s="675">
        <f>D27+D30</f>
        <v>10479.049999999999</v>
      </c>
      <c r="E31" s="675">
        <f>E27+E30</f>
        <v>48491.65</v>
      </c>
      <c r="F31" s="676">
        <f>F27+F30</f>
        <v>33021.620000000003</v>
      </c>
      <c r="G31" s="677">
        <f>G27+G30</f>
        <v>15470.029999999999</v>
      </c>
      <c r="H31" s="2652"/>
      <c r="I31" s="2652"/>
      <c r="J31" s="2652"/>
      <c r="K31" s="2652"/>
      <c r="L31" s="2652"/>
      <c r="M31" s="2652"/>
      <c r="N31" s="2652"/>
      <c r="O31" s="2652"/>
      <c r="P31" s="2652"/>
    </row>
    <row r="32" spans="1:19" ht="14.4">
      <c r="A32" s="1641"/>
      <c r="B32" s="1641" t="s">
        <v>1157</v>
      </c>
      <c r="C32" s="1641"/>
      <c r="D32" s="1641"/>
      <c r="E32" s="1052">
        <f>SUMIF(C19:C26,"*住宅*",E19:E26)</f>
        <v>0</v>
      </c>
      <c r="F32" s="1641"/>
      <c r="G32" s="1641"/>
      <c r="H32" s="2652"/>
      <c r="I32" s="2652"/>
      <c r="J32" s="2652"/>
      <c r="K32" s="2652"/>
      <c r="L32" s="2652"/>
      <c r="M32" s="2652"/>
      <c r="N32" s="2652"/>
      <c r="O32" s="2652"/>
      <c r="P32" s="2652"/>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4" sqref="K14:L14"/>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1" width="12.33203125" style="1599" customWidth="1"/>
    <col min="12" max="12" width="13.8867187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 thickBot="1">
      <c r="A2" s="1681" t="s">
        <v>1159</v>
      </c>
      <c r="B2" s="1044">
        <f>项目基本情况!D3</f>
        <v>45146</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1"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3386</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酒店</v>
      </c>
      <c r="B6" s="1711" t="str">
        <f>IF(A6=0,"","经营性")</f>
        <v>经营性</v>
      </c>
      <c r="C6" s="1712" t="s">
        <v>673</v>
      </c>
      <c r="D6" s="857">
        <f>SUMIF(项目基本情况!C$12:I$12,C6,项目基本情况!C$14:I$14)</f>
        <v>40</v>
      </c>
      <c r="E6" s="856">
        <f>IF(B6="","",SUMIF(项目基本情况!C$12:I$12,C6,项目基本情况!C$13:I$13))</f>
        <v>54772</v>
      </c>
      <c r="F6" s="64">
        <f>SUMIF(项目基本情况!C$12:I$12,C6,项目基本情况!C$15:I$15)</f>
        <v>26.37</v>
      </c>
      <c r="G6" s="65">
        <f>IF(ISERROR(ROUND(POWER(1+H6,D6-F6)*(POWER(1+H6,F6)-1)/(POWER(1+H6,D6)-1),3)),0,ROUND(POWER(1+H6,D6-F6)*(POWER(1+H6,F6)-1)/(POWER(1+H6,D6)-1),3))</f>
        <v>0.84399999999999997</v>
      </c>
      <c r="H6" s="731">
        <v>0.05</v>
      </c>
      <c r="I6" s="731">
        <v>0.06</v>
      </c>
      <c r="J6" s="66">
        <v>7.0000000000000007E-2</v>
      </c>
      <c r="K6" s="1029">
        <f>SUMIF('数据-汇总表'!C$19:C$33,A6,'数据-汇总表'!E$19:E$33)</f>
        <v>43006.62</v>
      </c>
      <c r="L6" s="732">
        <v>9000</v>
      </c>
      <c r="M6" s="67">
        <f t="shared" ref="M6:M14" si="0">ROUND(K6*L6/10000,0)</f>
        <v>38706</v>
      </c>
      <c r="N6" s="730">
        <f>N20</f>
        <v>0.91</v>
      </c>
      <c r="O6" s="67" t="str">
        <f>IF($N$5="成新度","——",ROUND(M6*N6,0))</f>
        <v>——</v>
      </c>
      <c r="P6" s="68" t="str">
        <f>IF($N$5="成新度","——",M6-O6)</f>
        <v>——</v>
      </c>
      <c r="Q6" s="733">
        <v>0.2</v>
      </c>
      <c r="R6" s="69">
        <f ca="1">SUMIF('数据-汇总表'!C$19:C$33,A6,'数据-汇总表'!R$19:R$27)</f>
        <v>10479.049999999999</v>
      </c>
      <c r="S6" s="51">
        <f>IF('数据-汇总表'!$I$17="按面积比例",SUMIF('数据-汇总表'!C$19:C$33,A6,'数据-汇总表'!K$19:K$33),SUMIF('数据-汇总表'!C$19:C$33,A6,'数据-汇总表'!N$19:N$33))</f>
        <v>5485.03</v>
      </c>
      <c r="T6" s="1171">
        <f>ROUND($L$14*S6/10000,0)</f>
        <v>2743</v>
      </c>
      <c r="U6" s="3421">
        <f>'收益法-酒店模型'!D6*10000</f>
        <v>104550000</v>
      </c>
      <c r="V6" s="70">
        <v>0.03</v>
      </c>
      <c r="W6" s="70">
        <v>0.1</v>
      </c>
      <c r="X6" s="1039"/>
      <c r="Y6" s="71">
        <f>N6</f>
        <v>0.91</v>
      </c>
      <c r="Z6" s="72"/>
      <c r="AA6" s="66"/>
      <c r="AB6" s="66"/>
      <c r="AC6" s="1039"/>
      <c r="AD6" s="73"/>
      <c r="AE6" s="1040">
        <f ca="1">IF(AN6="",0,SUMIF(INDIRECT("'"&amp;AN6&amp;"'"&amp;"!E:E"),$AE$5,INDIRECT("'"&amp;AN6&amp;"'"&amp;"!F:F")))</f>
        <v>26.37</v>
      </c>
      <c r="AF6" s="1346"/>
      <c r="AG6" s="138">
        <f>IF(AF6="",0,AE6-AF6)</f>
        <v>0</v>
      </c>
      <c r="AH6" s="74">
        <v>1</v>
      </c>
      <c r="AI6" s="76">
        <v>1</v>
      </c>
      <c r="AJ6" s="77"/>
      <c r="AK6" s="78">
        <v>1.4999999999999999E-2</v>
      </c>
      <c r="AL6" s="79">
        <v>1.5E-3</v>
      </c>
      <c r="AM6" s="80">
        <v>0.01</v>
      </c>
      <c r="AN6" s="1713" t="s">
        <v>3388</v>
      </c>
      <c r="AO6" s="52">
        <f ca="1">SUMIF(INDIRECT("'"&amp;AN6&amp;"'"&amp;"!A:A"),"总价",INDIRECT("'"&amp;AN6&amp;"'"&amp;"!B:B"))</f>
        <v>123180</v>
      </c>
      <c r="AP6" s="1714">
        <f>IF(C6="住宅",K6*L6,0)</f>
        <v>0</v>
      </c>
      <c r="AQ6" s="52">
        <f>ROUND($L$14*$N$14*S6/10000,0)</f>
        <v>2496</v>
      </c>
      <c r="AR6" s="52">
        <f>ROUND($L$14*(1-$N$14)*S6/10000,0)</f>
        <v>247</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1"/>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2"/>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1"/>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1"/>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1"/>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1"/>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3"/>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1203</v>
      </c>
      <c r="B14" s="1711" t="s">
        <v>1204</v>
      </c>
      <c r="C14" s="1716" t="s">
        <v>1203</v>
      </c>
      <c r="D14" s="857"/>
      <c r="E14" s="856"/>
      <c r="F14" s="64"/>
      <c r="G14" s="65"/>
      <c r="H14" s="1028"/>
      <c r="I14" s="1028"/>
      <c r="J14" s="1028"/>
      <c r="K14" s="1029">
        <f>SUMIF('数据-汇总表'!C$19:C$33,A14,'数据-汇总表'!E$19:E$33)</f>
        <v>5485.0299999999988</v>
      </c>
      <c r="L14" s="82">
        <v>5000</v>
      </c>
      <c r="M14" s="67">
        <f t="shared" si="0"/>
        <v>2743</v>
      </c>
      <c r="N14" s="83">
        <f>N6</f>
        <v>0.91</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1207</v>
      </c>
      <c r="B16" s="88"/>
      <c r="C16" s="832"/>
      <c r="D16" s="1718"/>
      <c r="E16" s="88"/>
      <c r="F16" s="88"/>
      <c r="G16" s="89">
        <f>ROUND(SUMPRODUCT(G6:G13,K6:K13)/SUMPRODUCT((G6:G13&gt;0)*(K6:K13)),3)</f>
        <v>0.84399999999999997</v>
      </c>
      <c r="H16" s="90">
        <f>ROUND(SUMPRODUCT(H6:H13,K6:K13)/SUMPRODUCT((H6:H13&gt;0)*(K6:K13)),3)</f>
        <v>0.05</v>
      </c>
      <c r="I16" s="91"/>
      <c r="J16" s="91"/>
      <c r="K16" s="92">
        <f>SUM(K6:K15)</f>
        <v>48491.65</v>
      </c>
      <c r="L16" s="93">
        <f>ROUND(M16*10000/SUM(K6:K14),0)</f>
        <v>8548</v>
      </c>
      <c r="M16" s="93">
        <f>SUM(M6:M14)</f>
        <v>41449</v>
      </c>
      <c r="N16" s="94">
        <f>ROUND(SUMPRODUCT(M6:M14,N6:N14)/M16,3)</f>
        <v>0.91</v>
      </c>
      <c r="O16" s="93">
        <f>SUM(O6:O14)</f>
        <v>0</v>
      </c>
      <c r="P16" s="93">
        <f>SUM(P6:P14)</f>
        <v>0</v>
      </c>
      <c r="Q16" s="95">
        <f>ROUND(SUMPRODUCT(Q6:Q13,K6:K13)/SUMPRODUCT((Q6:Q13&gt;0)*(K6:K13)),2)</f>
        <v>0.2</v>
      </c>
      <c r="R16" s="1033">
        <f ca="1">SUM(R6:R13)</f>
        <v>10479.049999999999</v>
      </c>
      <c r="S16" s="96">
        <f>SUM(S6:S13)</f>
        <v>5485.03</v>
      </c>
      <c r="T16" s="97">
        <f>IF(SUMIF(T6:T13,"&lt;9E307")=M14,SUMIF(T6:T13,"&lt;9E307"),"有误，请检查")</f>
        <v>2743</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5"/>
      <c r="C17" s="2664"/>
      <c r="D17" s="2668"/>
      <c r="E17" s="2668"/>
      <c r="F17" s="2664"/>
      <c r="G17" s="2664"/>
      <c r="H17" s="2664"/>
      <c r="I17" s="2664"/>
      <c r="J17" s="2664"/>
      <c r="K17" s="2665"/>
      <c r="L17" s="2665"/>
      <c r="M17" s="3443" t="s">
        <v>3382</v>
      </c>
      <c r="N17" s="2664">
        <v>2015</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3" t="s">
        <v>3383</v>
      </c>
      <c r="N18" s="2664">
        <f>ROUND(1-(1-0%)*(2023-N17)/60,2)</f>
        <v>0.87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4">
      <c r="A19" s="1720" t="s">
        <v>1209</v>
      </c>
      <c r="B19" s="103">
        <v>0</v>
      </c>
      <c r="C19" s="2792" t="s">
        <v>2290</v>
      </c>
      <c r="D19" s="2669"/>
      <c r="E19" s="2666"/>
      <c r="F19" s="2666"/>
      <c r="G19" s="2666"/>
      <c r="H19" s="2666"/>
      <c r="I19" s="2666"/>
      <c r="J19" s="2666"/>
      <c r="K19" s="2665"/>
      <c r="L19" s="2665"/>
      <c r="M19" s="3443" t="s">
        <v>3384</v>
      </c>
      <c r="N19" s="3471">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4">
      <c r="A20" s="1721" t="s">
        <v>1210</v>
      </c>
      <c r="B20" s="104">
        <v>2</v>
      </c>
      <c r="C20" s="2793" t="s">
        <v>2288</v>
      </c>
      <c r="D20" s="2669"/>
      <c r="E20" s="2666"/>
      <c r="F20" s="2666"/>
      <c r="G20" s="2666"/>
      <c r="H20" s="2666"/>
      <c r="I20" s="2666"/>
      <c r="J20" s="2666"/>
      <c r="K20" s="2665"/>
      <c r="L20" s="2665"/>
      <c r="M20" s="3443" t="s">
        <v>3385</v>
      </c>
      <c r="N20" s="2664">
        <f>ROUND((N18+N19)/2,2)</f>
        <v>0.91</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4">
      <c r="A21" s="1722" t="s">
        <v>1211</v>
      </c>
      <c r="B21" s="104">
        <f>B20</f>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4">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4">
      <c r="A23" s="1722" t="s">
        <v>1213</v>
      </c>
      <c r="B23" s="105">
        <f>B19+B21</f>
        <v>2</v>
      </c>
      <c r="C23" s="2666"/>
      <c r="D23" s="2669"/>
      <c r="E23" s="2666"/>
      <c r="F23" s="2666"/>
      <c r="G23" s="2666"/>
      <c r="H23" s="2666"/>
      <c r="I23" s="2666"/>
      <c r="J23" s="2666"/>
      <c r="K23" s="3476" t="s">
        <v>3592</v>
      </c>
      <c r="L23" s="3475">
        <f>334067421.6/10000</f>
        <v>33406.742160000002</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4.4" thickBot="1">
      <c r="A25" s="1555"/>
      <c r="B25" s="1685"/>
      <c r="C25" s="2666"/>
      <c r="D25" s="2669"/>
      <c r="E25" s="2666"/>
      <c r="F25" s="2666"/>
      <c r="G25" s="2666"/>
      <c r="H25" s="2666"/>
      <c r="I25" s="2666"/>
      <c r="J25" s="2666"/>
      <c r="K25" s="3476" t="s">
        <v>3593</v>
      </c>
      <c r="L25" s="2665">
        <f>57838669/10000</f>
        <v>5783.8669</v>
      </c>
      <c r="M25" s="2664">
        <f>ROUND(L25*10000/K16,0)</f>
        <v>1193</v>
      </c>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3476" t="s">
        <v>3594</v>
      </c>
      <c r="L26" s="2665">
        <f>1220181531.36/10000</f>
        <v>122018.15313599999</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8.8">
      <c r="A27" s="1725" t="s">
        <v>1218</v>
      </c>
      <c r="B27" s="107"/>
      <c r="C27" s="2794" t="s">
        <v>2292</v>
      </c>
      <c r="D27" s="2672"/>
      <c r="E27" s="2654"/>
      <c r="F27" s="2654"/>
      <c r="G27" s="2666"/>
      <c r="H27" s="2666"/>
      <c r="I27" s="2666"/>
      <c r="J27" s="2666"/>
      <c r="K27" s="3476" t="s">
        <v>3595</v>
      </c>
      <c r="L27" s="3477">
        <f>L26-L23-L25</f>
        <v>82827.544075999991</v>
      </c>
      <c r="M27" s="2664">
        <f>ROUND(L27*10000/K16,0)</f>
        <v>17081</v>
      </c>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8">
      <c r="A28" s="1727"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9.4" thickBot="1">
      <c r="A29" s="1728" t="s">
        <v>1220</v>
      </c>
      <c r="B29" s="112">
        <f ca="1">成本法!C10</f>
        <v>970</v>
      </c>
      <c r="C29" s="2795" t="s">
        <v>2279</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8.8">
      <c r="A30" s="1729" t="s">
        <v>1221</v>
      </c>
      <c r="B30" s="670">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8.8">
      <c r="A31" s="1727"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9.4" thickBot="1">
      <c r="A32" s="1730"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4">
      <c r="A33" s="1725" t="s">
        <v>1224</v>
      </c>
      <c r="B33" s="672">
        <v>0.06</v>
      </c>
      <c r="C33" s="2796" t="s">
        <v>2280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4">
      <c r="A34" s="1727" t="s">
        <v>1225</v>
      </c>
      <c r="B34" s="113">
        <v>0</v>
      </c>
      <c r="C34" s="2796" t="s">
        <v>2281</v>
      </c>
      <c r="D34" s="2677" t="s">
        <v>2289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4">
      <c r="A35" s="1727" t="s">
        <v>1226</v>
      </c>
      <c r="B35" s="110">
        <f>B30</f>
        <v>200</v>
      </c>
      <c r="C35" s="2796"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96" t="s">
        <v>2283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4">
      <c r="A37" s="1729" t="s">
        <v>1228</v>
      </c>
      <c r="B37" s="115">
        <v>0.02</v>
      </c>
      <c r="C37" s="2796" t="s">
        <v>2284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4">
      <c r="A38" s="1727" t="s">
        <v>1229</v>
      </c>
      <c r="B38" s="113">
        <v>0.02</v>
      </c>
      <c r="C38" s="2796" t="s">
        <v>2284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4">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4.4" thickBot="1">
      <c r="A40" s="2808" t="s">
        <v>2299</v>
      </c>
      <c r="B40" s="1077">
        <f ca="1">IF(A40="利息：取LPR",存贷款利率!G1,存贷款利率!G1+C40)</f>
        <v>3.5499999999999997E-2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4">
      <c r="A41" s="1725" t="s">
        <v>1231</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4">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4">
      <c r="A43" s="1731" t="s">
        <v>1233</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4">
      <c r="A44" s="1732" t="s">
        <v>1234</v>
      </c>
      <c r="B44" s="119">
        <v>0.05</v>
      </c>
      <c r="C44" s="2796" t="s">
        <v>2293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4">
      <c r="A45" s="1732" t="s">
        <v>1235</v>
      </c>
      <c r="B45" s="117">
        <v>0.03</v>
      </c>
      <c r="C45" s="2795" t="s">
        <v>2285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4">
      <c r="A46" s="1732" t="s">
        <v>1236</v>
      </c>
      <c r="B46" s="117">
        <v>0.02</v>
      </c>
      <c r="C46" s="2795" t="s">
        <v>2286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2294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4">
      <c r="A48" s="1734" t="s">
        <v>1238</v>
      </c>
      <c r="B48" s="121">
        <v>0.03</v>
      </c>
      <c r="C48" s="2795" t="s">
        <v>2285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2287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4">
      <c r="A50" s="1735"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4">
      <c r="A52" s="1735"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8.8">
      <c r="A53" s="1727" t="s">
        <v>1243</v>
      </c>
      <c r="B53" s="1736" t="s">
        <v>29</v>
      </c>
      <c r="C53" s="2654" t="s">
        <v>1244</v>
      </c>
      <c r="D53" s="2797" t="s">
        <v>2291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4">
      <c r="A54" s="1737"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4">
      <c r="A55" s="1737"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4">
      <c r="A56" s="1737"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4">
      <c r="A57" s="1737"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4">
      <c r="A58" s="1737"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4">
      <c r="A59" s="1737"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4">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4">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4">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684" customWidth="1"/>
    <col min="2" max="2" width="24.44140625" style="1570" customWidth="1"/>
    <col min="3" max="3" width="24.44140625" style="2503" customWidth="1"/>
    <col min="4" max="4" width="2.6640625" style="2503" customWidth="1"/>
    <col min="5" max="5" width="5.88671875" style="2503" customWidth="1"/>
    <col min="6" max="6" width="27" style="1570" customWidth="1"/>
    <col min="7" max="7" width="27" style="2504" customWidth="1"/>
    <col min="8" max="8" width="11.88671875" style="2484" customWidth="1"/>
    <col min="9" max="9" width="16.77734375" style="2485" customWidth="1"/>
    <col min="10" max="10" width="2.6640625" style="2484" customWidth="1"/>
    <col min="11" max="11" width="11.88671875" style="2484" customWidth="1"/>
    <col min="12" max="12" width="16.77734375" style="2485" customWidth="1"/>
    <col min="13" max="13" width="2.6640625" style="2484" customWidth="1"/>
    <col min="14" max="14" width="11.88671875" style="2484" customWidth="1"/>
    <col min="15" max="15" width="16.77734375" style="2485" customWidth="1"/>
    <col min="16" max="16" width="2.6640625" style="2484" customWidth="1"/>
    <col min="17" max="17" width="11.88671875" style="2484" customWidth="1"/>
    <col min="18" max="18" width="16.77734375" style="2486" customWidth="1"/>
    <col min="19" max="29" width="9" style="798"/>
    <col min="30" max="16384" width="9" style="1684"/>
  </cols>
  <sheetData>
    <row r="1" spans="1:29" s="2450" customFormat="1" ht="18" thickBot="1">
      <c r="A1" s="3616" t="s">
        <v>2271</v>
      </c>
      <c r="B1" s="3617"/>
      <c r="C1" s="3617"/>
      <c r="D1" s="3617"/>
      <c r="E1" s="3617"/>
      <c r="F1" s="3617"/>
      <c r="G1" s="3617"/>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4.4" thickBot="1">
      <c r="A2" s="2451"/>
      <c r="B2" s="2452"/>
      <c r="C2" s="2453" t="s">
        <v>2268</v>
      </c>
      <c r="D2" s="2454"/>
      <c r="E2" s="2451"/>
      <c r="F2" s="2455"/>
      <c r="G2" s="2453" t="s">
        <v>2269</v>
      </c>
      <c r="H2" s="798"/>
      <c r="I2" s="798"/>
      <c r="J2" s="798"/>
      <c r="K2" s="798"/>
      <c r="L2" s="798"/>
      <c r="M2" s="798"/>
      <c r="N2" s="798"/>
      <c r="O2" s="798"/>
      <c r="P2" s="798"/>
      <c r="Q2" s="798"/>
      <c r="R2" s="798"/>
    </row>
    <row r="3" spans="1:29" ht="24">
      <c r="A3" s="2434" t="s">
        <v>2270</v>
      </c>
      <c r="B3" s="2456" t="s">
        <v>2246</v>
      </c>
      <c r="C3" s="2457" t="s">
        <v>3389</v>
      </c>
      <c r="D3" s="2458"/>
      <c r="E3" s="2435" t="s">
        <v>2270</v>
      </c>
      <c r="F3" s="2459" t="s">
        <v>2247</v>
      </c>
      <c r="G3" s="2460" t="s">
        <v>3389</v>
      </c>
      <c r="H3" s="798"/>
      <c r="I3" s="798"/>
      <c r="J3" s="798"/>
      <c r="K3" s="798"/>
      <c r="L3" s="798"/>
      <c r="M3" s="798"/>
      <c r="N3" s="798"/>
      <c r="O3" s="798"/>
      <c r="P3" s="798"/>
      <c r="Q3" s="798"/>
      <c r="R3" s="798"/>
    </row>
    <row r="4" spans="1:29">
      <c r="A4" s="2435"/>
      <c r="B4" s="323" t="s">
        <v>2248</v>
      </c>
      <c r="C4" s="2461" t="s">
        <v>3389</v>
      </c>
      <c r="D4" s="2458"/>
      <c r="E4" s="2462"/>
      <c r="F4" s="1371" t="s">
        <v>2249</v>
      </c>
      <c r="G4" s="2463" t="s">
        <v>3389</v>
      </c>
      <c r="H4" s="798"/>
      <c r="I4" s="798"/>
      <c r="J4" s="798"/>
      <c r="K4" s="798"/>
      <c r="L4" s="798"/>
      <c r="M4" s="798"/>
      <c r="N4" s="798"/>
      <c r="O4" s="798"/>
      <c r="P4" s="798"/>
      <c r="Q4" s="798"/>
      <c r="R4" s="798"/>
    </row>
    <row r="5" spans="1:29">
      <c r="A5" s="2435"/>
      <c r="B5" s="323" t="s">
        <v>2250</v>
      </c>
      <c r="C5" s="3472" t="s">
        <v>3587</v>
      </c>
      <c r="D5" s="2458"/>
      <c r="E5" s="2462"/>
      <c r="F5" s="323" t="s">
        <v>2251</v>
      </c>
      <c r="G5" s="2463" t="s">
        <v>3389</v>
      </c>
      <c r="H5" s="798"/>
      <c r="I5" s="798"/>
      <c r="J5" s="798"/>
      <c r="K5" s="798"/>
      <c r="L5" s="798"/>
      <c r="M5" s="798"/>
      <c r="N5" s="798"/>
      <c r="O5" s="798"/>
      <c r="P5" s="798"/>
      <c r="Q5" s="798"/>
      <c r="R5" s="798"/>
    </row>
    <row r="6" spans="1:29">
      <c r="A6" s="2435"/>
      <c r="B6" s="323" t="s">
        <v>2252</v>
      </c>
      <c r="C6" s="3473" t="s">
        <v>3587</v>
      </c>
      <c r="D6" s="2458"/>
      <c r="E6" s="2462"/>
      <c r="F6" s="323" t="s">
        <v>2253</v>
      </c>
      <c r="G6" s="2463" t="s">
        <v>3390</v>
      </c>
      <c r="H6" s="798"/>
      <c r="I6" s="798"/>
      <c r="J6" s="798"/>
      <c r="K6" s="798"/>
      <c r="L6" s="798"/>
      <c r="M6" s="798"/>
      <c r="N6" s="798"/>
      <c r="O6" s="798"/>
      <c r="P6" s="798"/>
      <c r="Q6" s="798"/>
      <c r="R6" s="798"/>
    </row>
    <row r="7" spans="1:29" ht="14.4" thickBot="1">
      <c r="A7" s="2435"/>
      <c r="B7" s="323" t="s">
        <v>2251</v>
      </c>
      <c r="C7" s="2463" t="s">
        <v>3389</v>
      </c>
      <c r="D7" s="2464"/>
      <c r="E7" s="2465"/>
      <c r="F7" s="2466" t="s">
        <v>2254</v>
      </c>
      <c r="G7" s="2467" t="s">
        <v>3389</v>
      </c>
      <c r="H7" s="798"/>
      <c r="I7" s="798"/>
      <c r="J7" s="798"/>
      <c r="K7" s="798"/>
      <c r="L7" s="798"/>
      <c r="M7" s="798"/>
      <c r="N7" s="798"/>
      <c r="O7" s="798"/>
      <c r="P7" s="798"/>
      <c r="Q7" s="798"/>
      <c r="R7" s="798"/>
    </row>
    <row r="8" spans="1:29">
      <c r="A8" s="2435"/>
      <c r="B8" s="323" t="s">
        <v>2253</v>
      </c>
      <c r="C8" s="2463" t="s">
        <v>3390</v>
      </c>
      <c r="D8" s="2464"/>
      <c r="E8" s="2464"/>
      <c r="F8" s="2468"/>
      <c r="G8" s="2468"/>
      <c r="H8" s="798"/>
      <c r="I8" s="798"/>
      <c r="J8" s="798"/>
      <c r="K8" s="798"/>
      <c r="L8" s="798"/>
      <c r="M8" s="798"/>
      <c r="N8" s="798"/>
      <c r="O8" s="798"/>
      <c r="P8" s="798"/>
      <c r="Q8" s="798"/>
      <c r="R8" s="798"/>
    </row>
    <row r="9" spans="1:29">
      <c r="A9" s="2435"/>
      <c r="B9" s="323" t="s">
        <v>2255</v>
      </c>
      <c r="C9" s="2461" t="s">
        <v>3389</v>
      </c>
      <c r="D9" s="2458"/>
      <c r="E9" s="2464"/>
      <c r="F9" s="2468"/>
      <c r="G9" s="2468"/>
      <c r="H9" s="798"/>
      <c r="I9" s="798"/>
      <c r="J9" s="798"/>
      <c r="K9" s="798"/>
      <c r="L9" s="798"/>
      <c r="M9" s="798"/>
      <c r="N9" s="798"/>
      <c r="O9" s="798"/>
      <c r="P9" s="798"/>
      <c r="Q9" s="798"/>
      <c r="R9" s="798"/>
    </row>
    <row r="10" spans="1:29" s="2474" customFormat="1" ht="14.4" thickBot="1">
      <c r="A10" s="2436"/>
      <c r="B10" s="2469" t="s">
        <v>2256</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7.399999999999999">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 thickBot="1">
      <c r="A13" s="2483" t="s">
        <v>2272</v>
      </c>
      <c r="B13" s="2477"/>
      <c r="C13" s="2477"/>
      <c r="D13" s="2475"/>
      <c r="E13" s="2477"/>
      <c r="F13" s="2477"/>
      <c r="G13" s="2477"/>
    </row>
    <row r="14" spans="1:29" ht="14.4" thickBot="1">
      <c r="A14" s="2487"/>
      <c r="B14" s="2487"/>
      <c r="C14" s="2488" t="s">
        <v>2257</v>
      </c>
      <c r="D14" s="2458"/>
      <c r="E14" s="2489"/>
      <c r="F14" s="2489"/>
      <c r="G14" s="2453" t="s">
        <v>2258</v>
      </c>
    </row>
    <row r="15" spans="1:29" ht="24">
      <c r="A15" s="2437" t="s">
        <v>2259</v>
      </c>
      <c r="B15" s="2490" t="s">
        <v>2246</v>
      </c>
      <c r="C15" s="2491" t="str">
        <f>C3</f>
        <v>较好</v>
      </c>
      <c r="D15" s="2458"/>
      <c r="E15" s="2438" t="s">
        <v>2260</v>
      </c>
      <c r="F15" s="2490" t="s">
        <v>2261</v>
      </c>
      <c r="G15" s="2492" t="str">
        <f>G3</f>
        <v>较好</v>
      </c>
    </row>
    <row r="16" spans="1:29">
      <c r="A16" s="2439"/>
      <c r="B16" s="2493" t="s">
        <v>2248</v>
      </c>
      <c r="C16" s="2494" t="str">
        <f>C4</f>
        <v>较好</v>
      </c>
      <c r="D16" s="2458"/>
      <c r="E16" s="2440"/>
      <c r="F16" s="2495" t="s">
        <v>2249</v>
      </c>
      <c r="G16" s="2496" t="str">
        <f>G4</f>
        <v>较好</v>
      </c>
    </row>
    <row r="17" spans="1:18">
      <c r="A17" s="2439"/>
      <c r="B17" s="2493" t="s">
        <v>2250</v>
      </c>
      <c r="C17" s="2494" t="str">
        <f>C5</f>
        <v>一般</v>
      </c>
      <c r="D17" s="2464"/>
      <c r="E17" s="2440"/>
      <c r="F17" s="2495" t="s">
        <v>2262</v>
      </c>
      <c r="G17" s="3444" t="s">
        <v>3391</v>
      </c>
    </row>
    <row r="18" spans="1:18">
      <c r="A18" s="2439"/>
      <c r="B18" s="2495" t="s">
        <v>2252</v>
      </c>
      <c r="C18" s="2496" t="str">
        <f>C6</f>
        <v>一般</v>
      </c>
      <c r="D18" s="2464"/>
      <c r="E18" s="2440"/>
      <c r="F18" s="2495" t="s">
        <v>2254</v>
      </c>
      <c r="G18" s="2496" t="str">
        <f>G7</f>
        <v>较好</v>
      </c>
    </row>
    <row r="19" spans="1:18">
      <c r="A19" s="2439"/>
      <c r="B19" s="2495" t="s">
        <v>2263</v>
      </c>
      <c r="C19" s="3444" t="s">
        <v>3391</v>
      </c>
      <c r="D19" s="2458"/>
      <c r="E19" s="2440"/>
      <c r="F19" s="323" t="s">
        <v>2251</v>
      </c>
      <c r="G19" s="2496" t="str">
        <f>G5</f>
        <v>较好</v>
      </c>
    </row>
    <row r="20" spans="1:18">
      <c r="A20" s="2439"/>
      <c r="B20" s="2495" t="s">
        <v>2264</v>
      </c>
      <c r="C20" s="2494" t="str">
        <f>C9</f>
        <v>较好</v>
      </c>
      <c r="D20" s="2464"/>
      <c r="E20" s="2440"/>
      <c r="F20" s="323" t="s">
        <v>2253</v>
      </c>
      <c r="G20" s="2496" t="str">
        <f>G6</f>
        <v>七通</v>
      </c>
    </row>
    <row r="21" spans="1:18">
      <c r="A21" s="2439"/>
      <c r="B21" s="323" t="s">
        <v>2251</v>
      </c>
      <c r="C21" s="2496" t="str">
        <f>C7</f>
        <v>较好</v>
      </c>
      <c r="D21" s="2458"/>
      <c r="E21" s="2440"/>
      <c r="F21" s="2495" t="s">
        <v>2265</v>
      </c>
      <c r="G21" s="2498"/>
    </row>
    <row r="22" spans="1:18" ht="13.5" customHeight="1">
      <c r="A22" s="2439"/>
      <c r="B22" s="323" t="s">
        <v>2253</v>
      </c>
      <c r="C22" s="2496" t="str">
        <f>C8</f>
        <v>七通</v>
      </c>
      <c r="D22" s="2458"/>
      <c r="E22" s="2440"/>
      <c r="F22" s="2495" t="s">
        <v>2256</v>
      </c>
      <c r="G22" s="2497"/>
    </row>
    <row r="23" spans="1:18" s="798" customFormat="1" ht="14.4" thickBot="1">
      <c r="A23" s="2439"/>
      <c r="B23" s="2495" t="s">
        <v>2265</v>
      </c>
      <c r="C23" s="2498"/>
      <c r="D23" s="1739"/>
      <c r="E23" s="2441"/>
      <c r="F23" s="2499" t="s">
        <v>2266</v>
      </c>
      <c r="G23" s="2500"/>
      <c r="H23" s="2484"/>
      <c r="I23" s="2485"/>
      <c r="J23" s="2484"/>
      <c r="K23" s="2484"/>
      <c r="L23" s="2485"/>
      <c r="M23" s="2484"/>
      <c r="N23" s="2484"/>
      <c r="O23" s="2485"/>
      <c r="P23" s="2484"/>
      <c r="Q23" s="2484"/>
      <c r="R23" s="2486"/>
    </row>
    <row r="24" spans="1:18" s="798" customFormat="1" ht="14.4" thickBot="1">
      <c r="A24" s="2442"/>
      <c r="B24" s="2499" t="s">
        <v>2267</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4.4"/>
  <cols>
    <col min="1" max="1" width="25" style="2506" customWidth="1"/>
    <col min="2" max="9" width="15.77734375" style="2506" customWidth="1"/>
    <col min="10" max="16384" width="9" style="2506"/>
  </cols>
  <sheetData>
    <row r="1" spans="1:11" ht="16.2">
      <c r="A1" s="2505" t="s">
        <v>665</v>
      </c>
      <c r="B1" s="2505">
        <f>SUM(B14:B23)</f>
        <v>48491.65</v>
      </c>
      <c r="C1" s="2679"/>
      <c r="D1" s="2679"/>
      <c r="E1" s="2679"/>
      <c r="F1" s="2679"/>
      <c r="G1" s="2680"/>
      <c r="H1" s="2681"/>
      <c r="I1" s="2681"/>
      <c r="J1" s="2681"/>
      <c r="K1" s="2681"/>
    </row>
    <row r="2" spans="1:11" ht="16.2">
      <c r="A2" s="2505" t="s">
        <v>653</v>
      </c>
      <c r="B2" s="2505">
        <f>SUM(C14:C23)</f>
        <v>10479.049999999999</v>
      </c>
      <c r="C2" s="2679"/>
      <c r="D2" s="2679"/>
      <c r="E2" s="2679"/>
      <c r="F2" s="2679"/>
      <c r="G2" s="2680"/>
      <c r="H2" s="2681"/>
      <c r="I2" s="2681"/>
      <c r="J2" s="2681"/>
      <c r="K2" s="2681"/>
    </row>
    <row r="3" spans="1:11" ht="15.6">
      <c r="A3" s="2505" t="s">
        <v>662</v>
      </c>
      <c r="B3" s="2507">
        <f>项目基本情况!D3</f>
        <v>45146</v>
      </c>
      <c r="C3" s="2679"/>
      <c r="D3" s="2679"/>
      <c r="E3" s="2679"/>
      <c r="F3" s="2679"/>
      <c r="G3" s="2680"/>
      <c r="H3" s="2681"/>
      <c r="I3" s="2681"/>
      <c r="J3" s="2681"/>
      <c r="K3" s="2681"/>
    </row>
    <row r="4" spans="1:11" ht="31.2">
      <c r="A4" s="2505" t="s">
        <v>661</v>
      </c>
      <c r="B4" s="2505" t="s">
        <v>660</v>
      </c>
      <c r="C4" s="2505" t="s">
        <v>659</v>
      </c>
      <c r="D4" s="2505" t="s">
        <v>658</v>
      </c>
      <c r="E4" s="2679"/>
      <c r="F4" s="2680"/>
      <c r="G4" s="2680"/>
      <c r="H4" s="2681"/>
      <c r="I4" s="2681"/>
      <c r="J4" s="2681"/>
      <c r="K4" s="2681"/>
    </row>
    <row r="5" spans="1:11" ht="15.6">
      <c r="A5" s="2505" t="s">
        <v>657</v>
      </c>
      <c r="B5" s="2505">
        <f ca="1">SUM(D14:D23)</f>
        <v>108920</v>
      </c>
      <c r="C5" s="2505">
        <f ca="1">IF(B5=D14,结果表!H102,ROUND(B5*10000/$B$1,0))</f>
        <v>22462</v>
      </c>
      <c r="D5" s="2505">
        <f ca="1">ROUND(B5*10000/$B$2,0)</f>
        <v>103941</v>
      </c>
      <c r="E5" s="2679"/>
      <c r="F5" s="2680"/>
      <c r="G5" s="2680"/>
      <c r="H5" s="2681"/>
      <c r="I5" s="2681"/>
      <c r="J5" s="2681"/>
      <c r="K5" s="2681"/>
    </row>
    <row r="6" spans="1:11" ht="15.6">
      <c r="A6" s="2505" t="s">
        <v>656</v>
      </c>
      <c r="B6" s="2505">
        <f ca="1">SUM(G14:G23)</f>
        <v>108920</v>
      </c>
      <c r="C6" s="2505">
        <f ca="1">IF(B6=G14,结果表!H108,ROUND(B6*10000/$B$1,0))</f>
        <v>22462</v>
      </c>
      <c r="D6" s="2505">
        <f ca="1">ROUND(B6*10000/$B$2,0)</f>
        <v>103941</v>
      </c>
      <c r="E6" s="2679"/>
      <c r="F6" s="2680"/>
      <c r="G6" s="2680"/>
      <c r="H6" s="2681"/>
      <c r="I6" s="2681"/>
      <c r="J6" s="2681"/>
      <c r="K6" s="2681"/>
    </row>
    <row r="7" spans="1:11" ht="15.6">
      <c r="A7" s="2505" t="s">
        <v>664</v>
      </c>
      <c r="B7" s="2505">
        <f>SUM(H14:H23)</f>
        <v>0</v>
      </c>
      <c r="C7" s="2505" t="str">
        <f>IF(B7=H14,结果表!H110,ROUND(B7*10000/$B$1,0))</f>
        <v>——</v>
      </c>
      <c r="D7" s="2505">
        <f>ROUND(B7*10000/$B$2,0)</f>
        <v>0</v>
      </c>
      <c r="E7" s="2679"/>
      <c r="F7" s="2680"/>
      <c r="G7" s="2680"/>
      <c r="H7" s="2681"/>
      <c r="I7" s="2681"/>
      <c r="J7" s="2681"/>
      <c r="K7" s="2681"/>
    </row>
    <row r="8" spans="1:11" ht="15.6">
      <c r="A8" s="2505" t="s">
        <v>587</v>
      </c>
      <c r="B8" s="2505">
        <f>SUM(I14:I23)</f>
        <v>0</v>
      </c>
      <c r="C8" s="2505" t="str">
        <f>IF(B8=I14,结果表!H112,ROUND(B8*10000/$B$1,0))</f>
        <v>——</v>
      </c>
      <c r="D8" s="2505">
        <f>ROUND(B8*10000/$B$2,0)</f>
        <v>0</v>
      </c>
      <c r="E8" s="2679"/>
      <c r="F8" s="2680"/>
      <c r="G8" s="2680"/>
      <c r="H8" s="2681"/>
      <c r="I8" s="2681"/>
      <c r="J8" s="2681"/>
      <c r="K8" s="2681"/>
    </row>
    <row r="9" spans="1:11" ht="15.6">
      <c r="A9" s="2505" t="s">
        <v>655</v>
      </c>
      <c r="B9" s="2513"/>
      <c r="C9" s="2679"/>
      <c r="D9" s="2679"/>
      <c r="E9" s="2679"/>
      <c r="F9" s="2680"/>
      <c r="G9" s="2680"/>
      <c r="H9" s="2681"/>
      <c r="I9" s="2681"/>
      <c r="J9" s="2681"/>
      <c r="K9" s="2681"/>
    </row>
    <row r="10" spans="1:11" ht="15.6">
      <c r="A10" s="2505" t="s">
        <v>654</v>
      </c>
      <c r="B10" s="2505">
        <f>IF(E10="",0,ROUND(B1*(E10*365/G10)/10000,0))</f>
        <v>0</v>
      </c>
      <c r="C10" s="2505" t="s">
        <v>3346</v>
      </c>
      <c r="D10" s="2505" t="s">
        <v>3347</v>
      </c>
      <c r="E10" s="3434"/>
      <c r="F10" s="3438" t="s">
        <v>3348</v>
      </c>
      <c r="G10" s="3435"/>
      <c r="H10" s="2681"/>
      <c r="I10" s="2681"/>
      <c r="J10" s="2681"/>
      <c r="K10" s="2681"/>
    </row>
    <row r="11" spans="1:11" ht="15.6">
      <c r="A11" s="2505" t="s">
        <v>670</v>
      </c>
      <c r="B11" s="2513"/>
      <c r="C11" s="2679"/>
      <c r="D11" s="2679"/>
      <c r="E11" s="2679"/>
      <c r="F11" s="2680"/>
      <c r="G11" s="2680"/>
      <c r="H11" s="2681"/>
      <c r="I11" s="2681"/>
      <c r="J11" s="2681"/>
      <c r="K11" s="2681"/>
    </row>
    <row r="12" spans="1:11" ht="15.6">
      <c r="A12" s="2679"/>
      <c r="B12" s="2679"/>
      <c r="C12" s="2679"/>
      <c r="D12" s="2679"/>
      <c r="E12" s="2679"/>
      <c r="F12" s="2680"/>
      <c r="G12" s="2680"/>
      <c r="H12" s="2681"/>
      <c r="I12" s="2681"/>
      <c r="J12" s="2681"/>
      <c r="K12" s="2681"/>
    </row>
    <row r="13" spans="1:11" ht="31.8">
      <c r="A13" s="2508" t="s">
        <v>669</v>
      </c>
      <c r="B13" s="2509" t="s">
        <v>666</v>
      </c>
      <c r="C13" s="2509" t="s">
        <v>668</v>
      </c>
      <c r="D13" s="2509" t="s">
        <v>667</v>
      </c>
      <c r="E13" s="2505" t="s">
        <v>659</v>
      </c>
      <c r="F13" s="2505" t="s">
        <v>658</v>
      </c>
      <c r="G13" s="2509" t="s">
        <v>652</v>
      </c>
      <c r="H13" s="2509" t="s">
        <v>663</v>
      </c>
      <c r="I13" s="2509" t="s">
        <v>651</v>
      </c>
      <c r="J13" s="2680"/>
      <c r="K13" s="2681"/>
    </row>
    <row r="14" spans="1:11" ht="15.6">
      <c r="A14" s="2510" t="s">
        <v>650</v>
      </c>
      <c r="B14" s="2511">
        <f>结果表!B118</f>
        <v>48491.65</v>
      </c>
      <c r="C14" s="2511">
        <f>结果表!C118</f>
        <v>10479.049999999999</v>
      </c>
      <c r="D14" s="2511">
        <f ca="1">结果表!H101</f>
        <v>108920</v>
      </c>
      <c r="E14" s="2511">
        <f ca="1">ROUND(D14*10000/B14,0)</f>
        <v>22462</v>
      </c>
      <c r="F14" s="2511">
        <f ca="1">ROUND(D14*10000/C14,0)</f>
        <v>103941</v>
      </c>
      <c r="G14" s="2511">
        <f ca="1">结果表!D122</f>
        <v>108920</v>
      </c>
      <c r="H14" s="2511"/>
      <c r="I14" s="2511"/>
      <c r="J14" s="2680"/>
      <c r="K14" s="2681"/>
    </row>
    <row r="15" spans="1:11" ht="15.6">
      <c r="A15" s="2510" t="s">
        <v>649</v>
      </c>
      <c r="B15" s="2512"/>
      <c r="C15" s="2512"/>
      <c r="D15" s="2512"/>
      <c r="E15" s="2511" t="e">
        <f t="shared" ref="E15:E23" si="0">ROUND(D15*10000/B15,0)</f>
        <v>#DIV/0!</v>
      </c>
      <c r="F15" s="2511" t="e">
        <f t="shared" ref="F15:F23" si="1">ROUND(D15*10000/C15,0)</f>
        <v>#DIV/0!</v>
      </c>
      <c r="G15" s="1329"/>
      <c r="H15" s="1329"/>
      <c r="I15" s="2512"/>
      <c r="J15" s="2680"/>
      <c r="K15" s="2681"/>
    </row>
    <row r="16" spans="1:11" ht="15.6">
      <c r="A16" s="2510" t="s">
        <v>648</v>
      </c>
      <c r="B16" s="2512"/>
      <c r="C16" s="2512"/>
      <c r="D16" s="2512"/>
      <c r="E16" s="2511" t="e">
        <f t="shared" si="0"/>
        <v>#DIV/0!</v>
      </c>
      <c r="F16" s="2511" t="e">
        <f t="shared" si="1"/>
        <v>#DIV/0!</v>
      </c>
      <c r="G16" s="1329"/>
      <c r="H16" s="1329"/>
      <c r="I16" s="2512"/>
      <c r="J16" s="2681"/>
      <c r="K16" s="2681"/>
    </row>
    <row r="17" spans="1:11" ht="15.6">
      <c r="A17" s="2510" t="s">
        <v>647</v>
      </c>
      <c r="B17" s="2512"/>
      <c r="C17" s="2512"/>
      <c r="D17" s="2512"/>
      <c r="E17" s="2511" t="e">
        <f t="shared" si="0"/>
        <v>#DIV/0!</v>
      </c>
      <c r="F17" s="2511" t="e">
        <f t="shared" si="1"/>
        <v>#DIV/0!</v>
      </c>
      <c r="G17" s="1329"/>
      <c r="H17" s="1329"/>
      <c r="I17" s="2512"/>
      <c r="J17" s="2681"/>
      <c r="K17" s="2681"/>
    </row>
    <row r="18" spans="1:11" ht="15.6">
      <c r="A18" s="2510" t="s">
        <v>646</v>
      </c>
      <c r="B18" s="2512"/>
      <c r="C18" s="2512"/>
      <c r="D18" s="2512"/>
      <c r="E18" s="2511" t="e">
        <f t="shared" si="0"/>
        <v>#DIV/0!</v>
      </c>
      <c r="F18" s="2511" t="e">
        <f t="shared" si="1"/>
        <v>#DIV/0!</v>
      </c>
      <c r="G18" s="2512"/>
      <c r="H18" s="2512"/>
      <c r="I18" s="2512"/>
      <c r="J18" s="2681"/>
      <c r="K18" s="2681"/>
    </row>
    <row r="19" spans="1:11" ht="15.6">
      <c r="A19" s="2510" t="s">
        <v>645</v>
      </c>
      <c r="B19" s="2512"/>
      <c r="C19" s="2512"/>
      <c r="D19" s="2512"/>
      <c r="E19" s="2511" t="e">
        <f t="shared" si="0"/>
        <v>#DIV/0!</v>
      </c>
      <c r="F19" s="2511" t="e">
        <f t="shared" si="1"/>
        <v>#DIV/0!</v>
      </c>
      <c r="G19" s="2512"/>
      <c r="H19" s="2512"/>
      <c r="I19" s="2512"/>
      <c r="J19" s="2681"/>
      <c r="K19" s="2681"/>
    </row>
    <row r="20" spans="1:11" ht="15.6">
      <c r="A20" s="2510" t="s">
        <v>644</v>
      </c>
      <c r="B20" s="2512"/>
      <c r="C20" s="2512"/>
      <c r="D20" s="2512"/>
      <c r="E20" s="2511" t="e">
        <f t="shared" si="0"/>
        <v>#DIV/0!</v>
      </c>
      <c r="F20" s="2511" t="e">
        <f t="shared" si="1"/>
        <v>#DIV/0!</v>
      </c>
      <c r="G20" s="2512"/>
      <c r="H20" s="2512"/>
      <c r="I20" s="2512"/>
      <c r="J20" s="2681"/>
      <c r="K20" s="2681"/>
    </row>
    <row r="21" spans="1:11" ht="15.6">
      <c r="A21" s="2510" t="s">
        <v>643</v>
      </c>
      <c r="B21" s="2512"/>
      <c r="C21" s="2512"/>
      <c r="D21" s="2512"/>
      <c r="E21" s="2511" t="e">
        <f t="shared" si="0"/>
        <v>#DIV/0!</v>
      </c>
      <c r="F21" s="2511" t="e">
        <f t="shared" si="1"/>
        <v>#DIV/0!</v>
      </c>
      <c r="G21" s="2512"/>
      <c r="H21" s="2512"/>
      <c r="I21" s="2512"/>
      <c r="J21" s="2681"/>
      <c r="K21" s="2681"/>
    </row>
    <row r="22" spans="1:11" ht="15.6">
      <c r="A22" s="2510" t="s">
        <v>642</v>
      </c>
      <c r="B22" s="2512"/>
      <c r="C22" s="2512"/>
      <c r="D22" s="2512"/>
      <c r="E22" s="2511" t="e">
        <f t="shared" si="0"/>
        <v>#DIV/0!</v>
      </c>
      <c r="F22" s="2511" t="e">
        <f t="shared" si="1"/>
        <v>#DIV/0!</v>
      </c>
      <c r="G22" s="2512"/>
      <c r="H22" s="2512"/>
      <c r="I22" s="2512"/>
      <c r="J22" s="2681"/>
      <c r="K22" s="2681"/>
    </row>
    <row r="23" spans="1:11" ht="15.6">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80" t="str">
        <f>项目基本情况!B1</f>
        <v>北京市通州区新华东街289号院2号楼-3至29层101等7套房地产市场价值预评估</v>
      </c>
      <c r="C37" s="3480"/>
      <c r="D37" s="3480"/>
      <c r="E37" s="3480"/>
      <c r="F37" s="3480"/>
      <c r="G37" s="3480"/>
      <c r="H37" s="3480"/>
      <c r="I37" s="3480"/>
    </row>
    <row r="38" spans="1:9">
      <c r="A38" s="843"/>
      <c r="B38" s="843"/>
    </row>
    <row r="39" spans="1:9">
      <c r="A39" s="841" t="s">
        <v>371</v>
      </c>
      <c r="B39" s="841" t="s">
        <v>373</v>
      </c>
    </row>
    <row r="40" spans="1:9">
      <c r="A40" s="841"/>
      <c r="B40" s="1472" t="str">
        <f>项目基本情况!B5</f>
        <v>建设银行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19" sqref="G19"/>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1260</v>
      </c>
      <c r="B1" s="1745"/>
      <c r="C1" s="1746"/>
      <c r="D1" s="1745"/>
      <c r="E1" s="1745"/>
      <c r="F1" s="1747" t="s">
        <v>1261</v>
      </c>
      <c r="G1" s="1559" t="s">
        <v>3374</v>
      </c>
      <c r="H1" s="1748" t="str">
        <f>IF(G1="现房","——","估价对象范围")</f>
        <v>——</v>
      </c>
      <c r="I1" s="1749" t="s">
        <v>3392</v>
      </c>
    </row>
    <row r="2" spans="1:12" ht="21.75" customHeight="1" thickBot="1">
      <c r="A2" s="3685" t="str">
        <f>项目基本情况!S2</f>
        <v>北京市通州区新华东街289号院2号楼-3至29层101等7套房地产</v>
      </c>
      <c r="B2" s="3686"/>
      <c r="C2" s="3686"/>
      <c r="D2" s="3686"/>
      <c r="E2" s="3686"/>
      <c r="F2" s="3686"/>
      <c r="G2" s="3686"/>
      <c r="H2" s="3686"/>
      <c r="I2" s="3687"/>
    </row>
    <row r="3" spans="1:12" ht="13.2">
      <c r="A3" s="3689" t="s">
        <v>1262</v>
      </c>
      <c r="B3" s="3690"/>
      <c r="C3" s="3690"/>
      <c r="D3" s="3690"/>
      <c r="E3" s="3690"/>
      <c r="F3" s="3690"/>
      <c r="G3" s="3690"/>
      <c r="H3" s="3690"/>
      <c r="I3" s="3690"/>
    </row>
    <row r="4" spans="1:12" ht="14.4">
      <c r="A4" s="1752" t="s">
        <v>1263</v>
      </c>
      <c r="B4" s="1753" t="s">
        <v>1264</v>
      </c>
      <c r="C4" s="1754" t="s">
        <v>3387</v>
      </c>
      <c r="D4" s="1754" t="s">
        <v>3591</v>
      </c>
      <c r="E4" s="3694" t="s">
        <v>1265</v>
      </c>
      <c r="F4" s="3695"/>
      <c r="G4" s="3695"/>
      <c r="H4" s="3695"/>
      <c r="I4" s="36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33" t="s">
        <v>1266</v>
      </c>
      <c r="B5" s="3688">
        <v>25</v>
      </c>
      <c r="C5" s="3691"/>
      <c r="D5" s="3679"/>
      <c r="E5" s="131" t="s">
        <v>1267</v>
      </c>
      <c r="F5" s="1755"/>
      <c r="G5" s="1755"/>
      <c r="H5" s="1755"/>
      <c r="I5" s="1371"/>
    </row>
    <row r="6" spans="1:12" ht="13.2">
      <c r="A6" s="3633"/>
      <c r="B6" s="3688"/>
      <c r="C6" s="3693"/>
      <c r="D6" s="3679"/>
      <c r="E6" s="131" t="s">
        <v>1268</v>
      </c>
      <c r="F6" s="1755"/>
      <c r="G6" s="1755"/>
      <c r="H6" s="1755"/>
      <c r="I6" s="1371"/>
    </row>
    <row r="7" spans="1:12" ht="13.2">
      <c r="A7" s="3633"/>
      <c r="B7" s="3688"/>
      <c r="C7" s="3692"/>
      <c r="D7" s="3679"/>
      <c r="E7" s="131" t="s">
        <v>1269</v>
      </c>
      <c r="F7" s="1755"/>
      <c r="G7" s="1755"/>
      <c r="H7" s="1755"/>
      <c r="I7" s="1371"/>
    </row>
    <row r="8" spans="1:12" ht="13.2">
      <c r="A8" s="3633" t="s">
        <v>1270</v>
      </c>
      <c r="B8" s="3688">
        <v>15</v>
      </c>
      <c r="C8" s="3691"/>
      <c r="D8" s="3679"/>
      <c r="E8" s="131" t="s">
        <v>1271</v>
      </c>
      <c r="F8" s="1755"/>
      <c r="G8" s="1755"/>
      <c r="H8" s="1755"/>
      <c r="I8" s="1371"/>
    </row>
    <row r="9" spans="1:12" ht="13.2">
      <c r="A9" s="3633"/>
      <c r="B9" s="3688"/>
      <c r="C9" s="3692"/>
      <c r="D9" s="3679"/>
      <c r="E9" s="131" t="s">
        <v>1272</v>
      </c>
      <c r="F9" s="1755"/>
      <c r="G9" s="1755"/>
      <c r="H9" s="1755"/>
      <c r="I9" s="1371"/>
    </row>
    <row r="10" spans="1:12" ht="13.2">
      <c r="A10" s="3633" t="s">
        <v>1273</v>
      </c>
      <c r="B10" s="3688">
        <v>15</v>
      </c>
      <c r="C10" s="3691"/>
      <c r="D10" s="3679"/>
      <c r="E10" s="131" t="s">
        <v>1274</v>
      </c>
      <c r="F10" s="1755"/>
      <c r="G10" s="1755"/>
      <c r="H10" s="1755"/>
      <c r="I10" s="1371"/>
    </row>
    <row r="11" spans="1:12" ht="13.2">
      <c r="A11" s="3633"/>
      <c r="B11" s="3688"/>
      <c r="C11" s="3692"/>
      <c r="D11" s="3679"/>
      <c r="E11" s="131" t="s">
        <v>1275</v>
      </c>
      <c r="F11" s="1755"/>
      <c r="G11" s="1755"/>
      <c r="H11" s="1755"/>
      <c r="I11" s="1371"/>
    </row>
    <row r="12" spans="1:12" ht="13.2">
      <c r="A12" s="3633" t="s">
        <v>1276</v>
      </c>
      <c r="B12" s="3688">
        <v>15</v>
      </c>
      <c r="C12" s="3691"/>
      <c r="D12" s="3679"/>
      <c r="E12" s="131" t="s">
        <v>1277</v>
      </c>
      <c r="F12" s="1755"/>
      <c r="G12" s="1755"/>
      <c r="H12" s="1755"/>
      <c r="I12" s="1371"/>
    </row>
    <row r="13" spans="1:12" ht="13.2">
      <c r="A13" s="3633"/>
      <c r="B13" s="3688"/>
      <c r="C13" s="3692"/>
      <c r="D13" s="3679"/>
      <c r="E13" s="131" t="s">
        <v>1278</v>
      </c>
      <c r="F13" s="1755"/>
      <c r="G13" s="1755"/>
      <c r="H13" s="1755"/>
      <c r="I13" s="1371"/>
    </row>
    <row r="14" spans="1:12" ht="13.2">
      <c r="A14" s="3633" t="s">
        <v>1279</v>
      </c>
      <c r="B14" s="3688">
        <v>30</v>
      </c>
      <c r="C14" s="3691">
        <v>5</v>
      </c>
      <c r="D14" s="3679">
        <f>10-C14</f>
        <v>5</v>
      </c>
      <c r="E14" s="131" t="s">
        <v>1280</v>
      </c>
      <c r="F14" s="1755"/>
      <c r="G14" s="1755"/>
      <c r="H14" s="1755"/>
      <c r="I14" s="1371"/>
    </row>
    <row r="15" spans="1:12" ht="13.2">
      <c r="A15" s="3633"/>
      <c r="B15" s="3688"/>
      <c r="C15" s="3693"/>
      <c r="D15" s="3679"/>
      <c r="E15" s="131" t="s">
        <v>1281</v>
      </c>
      <c r="F15" s="1755"/>
      <c r="G15" s="1755"/>
      <c r="H15" s="1755"/>
      <c r="I15" s="1371"/>
    </row>
    <row r="16" spans="1:12" ht="13.2">
      <c r="A16" s="3633"/>
      <c r="B16" s="3688"/>
      <c r="C16" s="3692"/>
      <c r="D16" s="3679"/>
      <c r="E16" s="131" t="s">
        <v>1282</v>
      </c>
      <c r="F16" s="1755"/>
      <c r="G16" s="1755"/>
      <c r="H16" s="1755"/>
      <c r="I16" s="1371"/>
    </row>
    <row r="17" spans="1:36" ht="14.4">
      <c r="A17" s="1756" t="s">
        <v>1283</v>
      </c>
      <c r="B17" s="56"/>
      <c r="C17" s="132">
        <f>SUM(C5:C16)</f>
        <v>5</v>
      </c>
      <c r="D17" s="132">
        <f>SUM(D5:D16)</f>
        <v>5</v>
      </c>
      <c r="E17" s="129"/>
      <c r="F17" s="129"/>
      <c r="G17" s="129"/>
      <c r="H17" s="129"/>
      <c r="I17" s="129"/>
      <c r="K17" s="302"/>
      <c r="L17" s="302" t="s">
        <v>1284</v>
      </c>
      <c r="M17" s="302" t="s">
        <v>1285</v>
      </c>
    </row>
    <row r="18" spans="1:36" ht="31.95" customHeight="1" thickBot="1">
      <c r="A18" s="1757" t="s">
        <v>1286</v>
      </c>
      <c r="B18" s="1758"/>
      <c r="C18" s="133">
        <f>ROUND(C17/SUM(C17:D17),2)</f>
        <v>0.5</v>
      </c>
      <c r="D18" s="133">
        <f>1-C18</f>
        <v>0.5</v>
      </c>
      <c r="E18" s="3710" t="s">
        <v>2128</v>
      </c>
      <c r="F18" s="3711"/>
      <c r="G18" s="3711"/>
      <c r="H18" s="3711"/>
      <c r="I18" s="3711"/>
      <c r="K18" s="302" t="s">
        <v>1287</v>
      </c>
      <c r="L18" s="302">
        <f>IF(C1="",'数据-汇总表'!E3,SUMIF(项目类型,C1,'数据-汇总表'!E17:E26)+SUMIF(项目类型,C1,'数据-汇总表'!I17:I26))</f>
        <v>48491.65</v>
      </c>
      <c r="M18" s="302">
        <f>IF(C1="",'数据-汇总表'!E3,SUMIF(项目类型,C1,'数据-汇总表'!E17:E26))</f>
        <v>48491.65</v>
      </c>
    </row>
    <row r="19" spans="1:36" ht="14.4">
      <c r="A19" s="1759" t="s">
        <v>1288</v>
      </c>
      <c r="B19" s="1760" t="s">
        <v>1289</v>
      </c>
      <c r="C19" s="134">
        <f ca="1">SUMIF(INDIRECT("'"&amp;C4&amp;"'"&amp;"!A:A"),结果表!B19,INDIRECT("'"&amp;C4&amp;"'"&amp;"!B:B"))</f>
        <v>129396</v>
      </c>
      <c r="D19" s="135">
        <f ca="1">SUMIF(INDIRECT("'"&amp;D4&amp;"'"&amp;"!A:A"),结果表!B19,INDIRECT("'"&amp;D4&amp;"'"&amp;"!B:B"))</f>
        <v>88444</v>
      </c>
      <c r="E19" s="1759" t="s">
        <v>1290</v>
      </c>
      <c r="F19" s="1760" t="s">
        <v>1289</v>
      </c>
      <c r="G19" s="136">
        <f ca="1">ROUND(C19*$C$18+D19*$D$18,0)</f>
        <v>108920</v>
      </c>
      <c r="H19" s="1761" t="s">
        <v>1291</v>
      </c>
      <c r="I19" s="129"/>
      <c r="K19" s="302" t="s">
        <v>1292</v>
      </c>
      <c r="L19" s="302">
        <f>IF(C1="",'数据-汇总表'!D3,SUMIF(项目类型,C1,'数据-汇总表'!D17:D26)+SUMIF(项目类型,C1,'数据-汇总表'!H17:H27))</f>
        <v>10479.049999999999</v>
      </c>
      <c r="M19" s="302">
        <f>IF(C1="",'数据-汇总表'!D3,SUMIF(项目类型,C1,'数据-汇总表'!D17:D26))</f>
        <v>10479.049999999999</v>
      </c>
    </row>
    <row r="20" spans="1:36" ht="14.4">
      <c r="A20" s="1762"/>
      <c r="B20" s="1025" t="s">
        <v>1293</v>
      </c>
      <c r="C20" s="137">
        <f ca="1">SUMIF(INDIRECT("'"&amp;C4&amp;"'"&amp;"!A:A"),结果表!B20,INDIRECT("'"&amp;C4&amp;"'"&amp;"!B:B"))</f>
        <v>30087</v>
      </c>
      <c r="D20" s="138">
        <f ca="1">SUMIF(INDIRECT("'"&amp;D4&amp;"'"&amp;"!A:A"),结果表!B20,INDIRECT("'"&amp;D4&amp;"'"&amp;"!B:B"))</f>
        <v>18239</v>
      </c>
      <c r="E20" s="1762"/>
      <c r="F20" s="1025" t="s">
        <v>1293</v>
      </c>
      <c r="G20" s="139">
        <f ca="1">ROUND(C20*$C$18+D20*$D$18,0)</f>
        <v>24163</v>
      </c>
      <c r="H20" s="807" t="s">
        <v>1294</v>
      </c>
      <c r="I20" s="129"/>
    </row>
    <row r="21" spans="1:36" ht="15" customHeight="1" thickBot="1">
      <c r="A21" s="827"/>
      <c r="B21" s="1763" t="s">
        <v>1295</v>
      </c>
      <c r="C21" s="718">
        <f ca="1">ROUND(C19*10000/L19,0)</f>
        <v>123481</v>
      </c>
      <c r="D21" s="719">
        <f ca="1">ROUND(D19*10000/L19,0)</f>
        <v>84401</v>
      </c>
      <c r="E21" s="827"/>
      <c r="F21" s="1763" t="s">
        <v>1295</v>
      </c>
      <c r="G21" s="140">
        <f ca="1">ROUND(G19*10000/L19,0)</f>
        <v>103941</v>
      </c>
      <c r="H21" s="1764" t="s">
        <v>1294</v>
      </c>
      <c r="I21" s="129"/>
    </row>
    <row r="22" spans="1:36" ht="15" thickBot="1">
      <c r="A22" s="1686" t="s">
        <v>1296</v>
      </c>
      <c r="B22" s="1765"/>
      <c r="C22" s="1766"/>
      <c r="D22" s="720">
        <f ca="1">IF(C19&lt;D19,D19/C19-1,C19/D19-1)</f>
        <v>0.46302745239925835</v>
      </c>
      <c r="E22" s="129"/>
      <c r="F22" s="129"/>
      <c r="G22" s="129"/>
      <c r="H22" s="129"/>
      <c r="I22" s="129"/>
    </row>
    <row r="23" spans="1:36" ht="13.8" thickBot="1">
      <c r="A23" s="1745"/>
      <c r="B23" s="1745"/>
      <c r="C23" s="1745"/>
      <c r="D23" s="1745"/>
      <c r="E23" s="129"/>
      <c r="F23" s="129"/>
      <c r="G23" s="129"/>
      <c r="H23" s="129"/>
      <c r="I23" s="129"/>
      <c r="K23" s="724">
        <f ca="1">ROUND(G19*10000/'数据-汇总表'!F31,0)</f>
        <v>32984</v>
      </c>
    </row>
    <row r="24" spans="1:36" ht="14.4">
      <c r="A24" s="3703" t="s">
        <v>1297</v>
      </c>
      <c r="B24" s="1760" t="s">
        <v>1289</v>
      </c>
      <c r="C24" s="136">
        <f>IF(B30=0,0,D30)</f>
        <v>0</v>
      </c>
      <c r="D24" s="1767"/>
      <c r="E24" s="129"/>
      <c r="F24" s="129"/>
      <c r="G24" s="129"/>
      <c r="H24" s="129"/>
      <c r="I24" s="129"/>
    </row>
    <row r="25" spans="1:36" ht="14.4">
      <c r="A25" s="3704"/>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 customHeight="1" thickTop="1" thickBot="1">
      <c r="A31" s="2300"/>
      <c r="B31" s="2301"/>
      <c r="C31" s="2301"/>
      <c r="D31" s="2301"/>
      <c r="E31" s="2301"/>
      <c r="F31" s="2301"/>
      <c r="G31" s="2301"/>
      <c r="H31" s="2301"/>
      <c r="I31" s="2302" t="s">
        <v>2130</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71" t="s">
        <v>1303</v>
      </c>
      <c r="B32" s="1772"/>
      <c r="C32" s="144">
        <f ca="1">IF(D32="总价",G19-C24,G20-C25)</f>
        <v>108920</v>
      </c>
      <c r="D32" s="1773" t="s">
        <v>3393</v>
      </c>
      <c r="E32" s="129"/>
      <c r="F32" s="129"/>
      <c r="G32" s="129"/>
      <c r="H32" s="129"/>
      <c r="I32" s="129"/>
    </row>
    <row r="33" spans="1:15" ht="14.4">
      <c r="A33" s="785" t="s">
        <v>1304</v>
      </c>
      <c r="B33" s="1774"/>
      <c r="C33" s="1775" t="s">
        <v>3394</v>
      </c>
      <c r="D33" s="1776" t="s">
        <v>3388</v>
      </c>
      <c r="E33" s="1777" t="s">
        <v>1305</v>
      </c>
      <c r="F33" s="1778" t="str">
        <f>IF(D32="楼面单价","取值（单价）","取值（总价）")</f>
        <v>取值（总价）</v>
      </c>
      <c r="G33" s="129"/>
      <c r="H33" s="129"/>
      <c r="I33" s="129"/>
    </row>
    <row r="34" spans="1:15" ht="14.4">
      <c r="A34" s="1779"/>
      <c r="B34" s="1780" t="s">
        <v>1306</v>
      </c>
      <c r="C34" s="148">
        <f ca="1">IF(C33="自定义",F34,C32-C35)</f>
        <v>44548</v>
      </c>
      <c r="D34" s="860">
        <f ca="1">IF(C33="自定义",ROUND(C34/C32,3),IF(C33="收益比率",SUMIF(INDIRECT("'"&amp;D33&amp;"'"&amp;"!b:b"),"土地收益比率",INDIRECT("'"&amp;D33&amp;"'"&amp;"!c:c")),SUMIF(INDIRECT("'"&amp;D33&amp;"'"&amp;"!b:b"),"土地成本比率",INDIRECT("'"&amp;D33&amp;"'"&amp;"!c:c"))))</f>
        <v>0.40900000000000003</v>
      </c>
      <c r="E34" s="1781" t="s">
        <v>1307</v>
      </c>
      <c r="F34" s="1328"/>
      <c r="G34" s="129"/>
      <c r="H34" s="129"/>
      <c r="I34" s="129"/>
    </row>
    <row r="35" spans="1:15" ht="15" thickBot="1">
      <c r="A35" s="1782"/>
      <c r="B35" s="1783" t="s">
        <v>1308</v>
      </c>
      <c r="C35" s="1169">
        <f ca="1">IF(C33="自定义",F35,ROUND(C32*D35,0))</f>
        <v>64372</v>
      </c>
      <c r="D35" s="1170">
        <f ca="1">IF(C33="自定义",ROUND(C35/C32,3),IF(C33="收益比率",SUMIF(INDIRECT("'"&amp;D33&amp;"'"&amp;"!b:b"),"建筑物收益比率",INDIRECT("'"&amp;D33&amp;"'"&amp;"!c:c")),SUMIF(INDIRECT("'"&amp;D33&amp;"'"&amp;"!b:b"),"建筑物成本比率",INDIRECT("'"&amp;D33&amp;"'"&amp;"!c:c"))))</f>
        <v>0.59099999999999997</v>
      </c>
      <c r="E35" s="1784" t="s">
        <v>1309</v>
      </c>
      <c r="F35" s="154"/>
      <c r="G35" s="129"/>
      <c r="H35" s="129"/>
      <c r="I35" s="129"/>
    </row>
    <row r="36" spans="1:15" ht="15" thickBot="1">
      <c r="A36" s="3680" t="s">
        <v>1310</v>
      </c>
      <c r="B36" s="1785" t="s">
        <v>1311</v>
      </c>
      <c r="C36" s="145"/>
      <c r="D36" s="1786"/>
      <c r="E36" s="1787"/>
      <c r="F36" s="1788"/>
      <c r="G36" s="129"/>
      <c r="H36" s="129"/>
      <c r="I36" s="129"/>
    </row>
    <row r="37" spans="1:15" ht="15" thickBot="1">
      <c r="A37" s="3681"/>
      <c r="B37" s="1672" t="s">
        <v>1312</v>
      </c>
      <c r="C37" s="147"/>
      <c r="D37" s="1138"/>
      <c r="E37" s="1138"/>
      <c r="F37" s="1788"/>
      <c r="G37" s="129"/>
      <c r="H37" s="129"/>
      <c r="I37" s="129"/>
    </row>
    <row r="38" spans="1:15" ht="15" thickBot="1">
      <c r="A38" s="3682"/>
      <c r="B38" s="1789" t="s">
        <v>1313</v>
      </c>
      <c r="C38" s="673"/>
      <c r="D38" s="1790" t="s">
        <v>1314</v>
      </c>
      <c r="E38" s="1138"/>
      <c r="F38" s="1788"/>
      <c r="G38" s="129"/>
      <c r="H38" s="129"/>
      <c r="I38" s="129"/>
    </row>
    <row r="39" spans="1:15" ht="14.4">
      <c r="A39" s="1762" t="s">
        <v>1315</v>
      </c>
      <c r="B39" s="1791" t="s">
        <v>1316</v>
      </c>
      <c r="C39" s="1792" t="s">
        <v>1317</v>
      </c>
      <c r="D39" s="1792" t="s">
        <v>1318</v>
      </c>
      <c r="E39" s="1793" t="s">
        <v>1319</v>
      </c>
      <c r="F39" s="1788"/>
      <c r="G39" s="129"/>
      <c r="H39" s="129"/>
      <c r="I39" s="129"/>
    </row>
    <row r="40" spans="1:15" ht="13.8">
      <c r="A40" s="1794" t="s">
        <v>1320</v>
      </c>
      <c r="B40" s="149"/>
      <c r="C40" s="150"/>
      <c r="D40" s="150"/>
      <c r="E40" s="151"/>
      <c r="F40" s="1788"/>
      <c r="G40" s="129"/>
      <c r="H40" s="129"/>
      <c r="I40" s="129"/>
    </row>
    <row r="41" spans="1:15" ht="13.8">
      <c r="A41" s="1794" t="s">
        <v>1321</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700" t="s">
        <v>1324</v>
      </c>
      <c r="B45" s="3701"/>
      <c r="C45" s="3702"/>
      <c r="D45" s="155">
        <f ca="1">ROUND(H101*F45,0)</f>
        <v>108920</v>
      </c>
      <c r="E45" s="156" t="s">
        <v>1325</v>
      </c>
      <c r="F45" s="157">
        <v>1</v>
      </c>
      <c r="G45" s="158" t="s">
        <v>1326</v>
      </c>
      <c r="H45" s="129"/>
      <c r="I45" s="129"/>
      <c r="J45" s="3620" t="s">
        <v>1327</v>
      </c>
      <c r="K45" s="3620"/>
      <c r="L45" s="3620"/>
      <c r="M45" s="3620"/>
      <c r="N45" s="3620"/>
      <c r="O45" s="3620"/>
    </row>
    <row r="46" spans="1:15" ht="14.25" customHeight="1">
      <c r="A46" s="3697" t="s">
        <v>1328</v>
      </c>
      <c r="B46" s="3698"/>
      <c r="C46" s="3698"/>
      <c r="D46" s="3698"/>
      <c r="E46" s="3698"/>
      <c r="F46" s="3698"/>
      <c r="G46" s="3699"/>
      <c r="H46" s="1804"/>
      <c r="I46" s="159"/>
      <c r="J46" s="2516">
        <v>1</v>
      </c>
      <c r="K46" s="3621" t="s">
        <v>1329</v>
      </c>
      <c r="L46" s="3621"/>
      <c r="M46" s="3622"/>
      <c r="N46" s="3622"/>
      <c r="O46" s="3622"/>
    </row>
    <row r="47" spans="1:15" ht="12" customHeight="1">
      <c r="A47" s="160" t="s">
        <v>1330</v>
      </c>
      <c r="B47" s="161"/>
      <c r="C47" s="162"/>
      <c r="D47" s="1086" t="s">
        <v>1331</v>
      </c>
      <c r="E47" s="302" t="s">
        <v>1332</v>
      </c>
      <c r="F47" s="163" t="s">
        <v>1333</v>
      </c>
      <c r="G47" s="2539" t="s">
        <v>1334</v>
      </c>
      <c r="H47" s="2540"/>
      <c r="I47" s="159"/>
      <c r="J47" s="2516">
        <v>2</v>
      </c>
      <c r="K47" s="3621" t="s">
        <v>1335</v>
      </c>
      <c r="L47" s="3621"/>
      <c r="M47" s="3623">
        <f>'数据-取费表'!B2</f>
        <v>45146</v>
      </c>
      <c r="N47" s="3623"/>
      <c r="O47" s="3623"/>
    </row>
    <row r="48" spans="1:15" ht="26.4">
      <c r="A48" s="3683" t="s">
        <v>1336</v>
      </c>
      <c r="B48" s="3684"/>
      <c r="C48" s="3684"/>
      <c r="D48" s="2320">
        <f ca="1">IF(H48="情况1",0,IF(H48="情况2",D52,IF(H48="情况3",D53,IF(H48="情况4",D54))))</f>
        <v>5705</v>
      </c>
      <c r="E48" s="2330" t="str">
        <f>IF(H48="情况4","(销售额-原购置价)×税（费）率","销售额×税（费）率")</f>
        <v>销售额×税（费）率</v>
      </c>
      <c r="F48" s="2541">
        <f>IF(H48="情况1","免征",'数据-取费表'!B41)</f>
        <v>5.5000000000000007E-2</v>
      </c>
      <c r="G48" s="2542" t="s">
        <v>1337</v>
      </c>
      <c r="H48" s="2543" t="s">
        <v>3395</v>
      </c>
      <c r="I48" s="1804"/>
      <c r="J48" s="2516">
        <v>3</v>
      </c>
      <c r="K48" s="3621" t="s">
        <v>1338</v>
      </c>
      <c r="L48" s="3621"/>
      <c r="M48" s="3624">
        <f ca="1">H101</f>
        <v>108920</v>
      </c>
      <c r="N48" s="3624"/>
      <c r="O48" s="3624"/>
    </row>
    <row r="49" spans="1:35" ht="25.5" customHeight="1">
      <c r="A49" s="2329" t="s">
        <v>1339</v>
      </c>
      <c r="B49" s="3669" t="s">
        <v>1340</v>
      </c>
      <c r="C49" s="3669"/>
      <c r="D49" s="1588">
        <v>0</v>
      </c>
      <c r="E49" s="324" t="s">
        <v>1341</v>
      </c>
      <c r="F49" s="2417" t="s">
        <v>28</v>
      </c>
      <c r="G49" s="3652"/>
      <c r="H49" s="2306" t="s">
        <v>2131</v>
      </c>
      <c r="I49" s="2307"/>
      <c r="J49" s="2516">
        <v>4</v>
      </c>
      <c r="K49" s="3621" t="str">
        <f>IF(项目基本情况!E8="房地产抵押价值","房地产抵押价值","抵押担保权已注销时的房地产抵押价值")</f>
        <v>房地产抵押价值</v>
      </c>
      <c r="L49" s="3621"/>
      <c r="M49" s="3624">
        <f ca="1">IF(项目基本情况!E8="房地产抵押价值",H107,H109)</f>
        <v>108920</v>
      </c>
      <c r="N49" s="3624"/>
      <c r="O49" s="3624"/>
    </row>
    <row r="50" spans="1:35" ht="25.5" customHeight="1">
      <c r="A50" s="2544"/>
      <c r="B50" s="3669" t="s">
        <v>1342</v>
      </c>
      <c r="C50" s="3669"/>
      <c r="D50" s="2545"/>
      <c r="E50" s="332"/>
      <c r="F50" s="2417"/>
      <c r="G50" s="3653"/>
      <c r="H50" s="2308" t="s">
        <v>2132</v>
      </c>
      <c r="I50" s="2307"/>
      <c r="J50" s="3620" t="s">
        <v>1343</v>
      </c>
      <c r="K50" s="3620"/>
      <c r="L50" s="3620"/>
      <c r="M50" s="3620"/>
      <c r="N50" s="3620"/>
      <c r="O50" s="3620"/>
    </row>
    <row r="51" spans="1:35" ht="20.399999999999999" customHeight="1">
      <c r="A51" s="2546"/>
      <c r="B51" s="3669" t="s">
        <v>1344</v>
      </c>
      <c r="C51" s="3669"/>
      <c r="D51" s="1086"/>
      <c r="E51" s="327"/>
      <c r="F51" s="2417"/>
      <c r="G51" s="3654"/>
      <c r="H51" s="2308" t="s">
        <v>2133</v>
      </c>
      <c r="I51" s="2307"/>
      <c r="J51" s="2517" t="s">
        <v>1345</v>
      </c>
      <c r="K51" s="3621" t="s">
        <v>1346</v>
      </c>
      <c r="L51" s="3621"/>
      <c r="M51" s="2517" t="s">
        <v>1347</v>
      </c>
      <c r="N51" s="2517" t="s">
        <v>1348</v>
      </c>
      <c r="O51" s="2517" t="s">
        <v>1349</v>
      </c>
    </row>
    <row r="52" spans="1:35" ht="24" customHeight="1">
      <c r="A52" s="2331" t="s">
        <v>1350</v>
      </c>
      <c r="B52" s="3669" t="s">
        <v>1351</v>
      </c>
      <c r="C52" s="3669"/>
      <c r="D52" s="1086">
        <f ca="1">ROUND(D45*'数据-取费表'!B41/(1+'数据-取费表'!C42),0)</f>
        <v>5705</v>
      </c>
      <c r="E52" s="2330" t="s">
        <v>1352</v>
      </c>
      <c r="F52" s="2547">
        <f>'数据-取费表'!B41</f>
        <v>5.5000000000000007E-2</v>
      </c>
      <c r="G52" s="2548"/>
      <c r="H52" s="2537"/>
      <c r="I52" s="1805"/>
      <c r="J52" s="2516">
        <v>1</v>
      </c>
      <c r="K52" s="3646" t="s">
        <v>1353</v>
      </c>
      <c r="L52" s="3646"/>
      <c r="M52" s="2518">
        <f ca="1">D48</f>
        <v>5705</v>
      </c>
      <c r="N52" s="2516" t="str">
        <f>E48</f>
        <v>销售额×税（费）率</v>
      </c>
      <c r="O52" s="2519">
        <f>F48</f>
        <v>5.5000000000000007E-2</v>
      </c>
    </row>
    <row r="53" spans="1:35" ht="12" customHeight="1">
      <c r="A53" s="2331" t="s">
        <v>1354</v>
      </c>
      <c r="B53" s="3670" t="s">
        <v>2276</v>
      </c>
      <c r="C53" s="3671"/>
      <c r="D53" s="1086">
        <f ca="1">ROUND(D45*'数据-取费表'!B41/(1+'数据-取费表'!C42),0)</f>
        <v>5705</v>
      </c>
      <c r="E53" s="2330" t="s">
        <v>1352</v>
      </c>
      <c r="F53" s="2547">
        <f>'数据-取费表'!B41</f>
        <v>5.5000000000000007E-2</v>
      </c>
      <c r="G53" s="2548"/>
      <c r="H53" s="2537"/>
      <c r="I53" s="1805"/>
      <c r="J53" s="2516">
        <v>2</v>
      </c>
      <c r="K53" s="3646" t="s">
        <v>1355</v>
      </c>
      <c r="L53" s="3646"/>
      <c r="M53" s="2518">
        <f t="shared" ref="M53:O54" ca="1" si="0">D55</f>
        <v>54</v>
      </c>
      <c r="N53" s="2516" t="str">
        <f t="shared" si="0"/>
        <v>销售额×税（费）率</v>
      </c>
      <c r="O53" s="2519">
        <f t="shared" si="0"/>
        <v>5.0000000000000001E-4</v>
      </c>
    </row>
    <row r="54" spans="1:35" ht="12" customHeight="1">
      <c r="A54" s="2331" t="s">
        <v>1356</v>
      </c>
      <c r="B54" s="3670" t="s">
        <v>2277</v>
      </c>
      <c r="C54" s="3671"/>
      <c r="D54" s="1086">
        <f ca="1">C68</f>
        <v>5705</v>
      </c>
      <c r="E54" s="327" t="s">
        <v>1357</v>
      </c>
      <c r="F54" s="2547">
        <f>'数据-取费表'!B41</f>
        <v>5.5000000000000007E-2</v>
      </c>
      <c r="G54" s="2548"/>
      <c r="H54" s="2549"/>
      <c r="I54" s="1805"/>
      <c r="J54" s="2516">
        <v>3</v>
      </c>
      <c r="K54" s="3646" t="s">
        <v>1358</v>
      </c>
      <c r="L54" s="3646"/>
      <c r="M54" s="2518">
        <f t="shared" ca="1" si="0"/>
        <v>61747</v>
      </c>
      <c r="N54" s="2516" t="str">
        <f t="shared" si="0"/>
        <v>增值额×税（费）率</v>
      </c>
      <c r="O54" s="2520" t="str">
        <f t="shared" si="0"/>
        <v>——</v>
      </c>
    </row>
    <row r="55" spans="1:35" ht="24" customHeight="1">
      <c r="A55" s="3706" t="s">
        <v>1359</v>
      </c>
      <c r="B55" s="3684"/>
      <c r="C55" s="3684"/>
      <c r="D55" s="2320">
        <f ca="1">IF(H55="个人住宅",0,ROUND(D45*I55,0))</f>
        <v>54</v>
      </c>
      <c r="E55" s="2330" t="s">
        <v>1360</v>
      </c>
      <c r="F55" s="2547">
        <f>IF(H55="正常",I55,"免征")</f>
        <v>5.0000000000000001E-4</v>
      </c>
      <c r="G55" s="2548"/>
      <c r="H55" s="2543" t="s">
        <v>3396</v>
      </c>
      <c r="I55" s="165">
        <f>'数据-取费表'!B49</f>
        <v>5.0000000000000001E-4</v>
      </c>
      <c r="J55" s="2516" t="str">
        <f>IF(H59="非个人房产","",4)</f>
        <v/>
      </c>
      <c r="K55" s="3646" t="str">
        <f>IF(H59="非个人房产","——","个人所得税")</f>
        <v>——</v>
      </c>
      <c r="L55" s="3646"/>
      <c r="M55" s="2521" t="str">
        <f>D59</f>
        <v>——</v>
      </c>
      <c r="N55" s="2036" t="str">
        <f>E59</f>
        <v>——</v>
      </c>
      <c r="O55" s="2522" t="str">
        <f>F59</f>
        <v>——</v>
      </c>
    </row>
    <row r="56" spans="1:35" ht="25.2">
      <c r="A56" s="3706" t="s">
        <v>1361</v>
      </c>
      <c r="B56" s="3684"/>
      <c r="C56" s="3684"/>
      <c r="D56" s="2320">
        <f ca="1">IF(H56="个人住宅",D57,D58)</f>
        <v>61747</v>
      </c>
      <c r="E56" s="2330" t="s">
        <v>1362</v>
      </c>
      <c r="F56" s="2547" t="str">
        <f>IF(H56="正常",F58,"免征")</f>
        <v>——</v>
      </c>
      <c r="G56" s="2550" t="s">
        <v>1363</v>
      </c>
      <c r="H56" s="2551" t="s">
        <v>3396</v>
      </c>
      <c r="I56" s="1806"/>
      <c r="J56" s="2516" t="str">
        <f>IF(项目基本情况!K6="上海银行",IF(J55="",4,J55+1),"")</f>
        <v/>
      </c>
      <c r="K56" s="3627" t="str">
        <f>IF(项目基本情况!K6="上海银行","其他处置费用","")</f>
        <v/>
      </c>
      <c r="L56" s="3628"/>
      <c r="M56" s="2518" t="str">
        <f>IF(项目基本情况!K6="上海银行",M69,"")</f>
        <v/>
      </c>
      <c r="N56" s="3627" t="str">
        <f>IF(项目基本情况!K6="上海银行","包含处置中涉及的律师、诉讼、拍卖、评估等费用","")</f>
        <v/>
      </c>
      <c r="O56" s="3630"/>
    </row>
    <row r="57" spans="1:35" ht="13.2">
      <c r="A57" s="2331" t="s">
        <v>1339</v>
      </c>
      <c r="B57" s="3670" t="s">
        <v>1364</v>
      </c>
      <c r="C57" s="3671"/>
      <c r="D57" s="1588">
        <v>0</v>
      </c>
      <c r="E57" s="324" t="s">
        <v>1341</v>
      </c>
      <c r="F57" s="302"/>
      <c r="G57" s="2548"/>
      <c r="H57" s="2552"/>
      <c r="I57" s="1806"/>
      <c r="J57" s="3646">
        <f>IF(AND(J55="",J56=""),4,IF(项目基本情况!K6="上海银行",结果表!J56+1,结果表!J55+1))</f>
        <v>4</v>
      </c>
      <c r="K57" s="3646" t="s">
        <v>1365</v>
      </c>
      <c r="L57" s="2523" t="s">
        <v>1366</v>
      </c>
      <c r="M57" s="2524"/>
      <c r="N57" s="2525">
        <f ca="1">SUMIF(M52:M56,"&lt;9e307")</f>
        <v>67506</v>
      </c>
      <c r="O57" s="2526"/>
      <c r="P57" s="2683">
        <f ca="1">N57/M49</f>
        <v>0.6197759823723834</v>
      </c>
    </row>
    <row r="58" spans="1:35" ht="25.2">
      <c r="A58" s="2331" t="s">
        <v>1350</v>
      </c>
      <c r="B58" s="3670" t="s">
        <v>1367</v>
      </c>
      <c r="C58" s="3669"/>
      <c r="D58" s="2320">
        <f ca="1">IF(H58="转让取得",C81,C97)</f>
        <v>61747</v>
      </c>
      <c r="E58" s="2330" t="s">
        <v>1362</v>
      </c>
      <c r="F58" s="302" t="s">
        <v>28</v>
      </c>
      <c r="G58" s="2548"/>
      <c r="H58" s="2551" t="s">
        <v>3397</v>
      </c>
      <c r="I58" s="1806"/>
      <c r="J58" s="3646"/>
      <c r="K58" s="3646"/>
      <c r="L58" s="2523" t="s">
        <v>1368</v>
      </c>
      <c r="M58" s="2527"/>
      <c r="N58" s="2528" t="str">
        <f ca="1">NUMBERSTRING(INT(N57*10000),2)&amp;"元整"</f>
        <v>陆亿柒仟伍佰零陆万元整</v>
      </c>
      <c r="O58" s="2529"/>
    </row>
    <row r="59" spans="1:35" ht="24.6" thickBot="1">
      <c r="A59" s="3650" t="s">
        <v>1369</v>
      </c>
      <c r="B59" s="3651"/>
      <c r="C59" s="3651"/>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0" t="s">
        <v>3398</v>
      </c>
      <c r="I59" s="2309" t="s">
        <v>2134</v>
      </c>
      <c r="J59" s="3648">
        <f>J57+1</f>
        <v>5</v>
      </c>
      <c r="K59" s="3646" t="s">
        <v>1370</v>
      </c>
      <c r="L59" s="2516" t="s">
        <v>1366</v>
      </c>
      <c r="M59" s="2530"/>
      <c r="N59" s="2531">
        <f ca="1">M49-N57</f>
        <v>41414</v>
      </c>
      <c r="O59" s="2532"/>
    </row>
    <row r="60" spans="1:35" ht="12" customHeight="1">
      <c r="A60" s="1807"/>
      <c r="B60" s="1745"/>
      <c r="C60" s="1745"/>
      <c r="D60" s="1745"/>
      <c r="E60" s="1576"/>
      <c r="F60" s="1806"/>
      <c r="G60" s="1806"/>
      <c r="H60" s="1808"/>
      <c r="I60" s="129"/>
      <c r="J60" s="3649"/>
      <c r="K60" s="3646"/>
      <c r="L60" s="2523" t="s">
        <v>1368</v>
      </c>
      <c r="M60" s="2527"/>
      <c r="N60" s="2528" t="str">
        <f ca="1">NUMBERSTRING(INT(N59*10000),2)&amp;"元整"</f>
        <v>肆亿壹仟肆佰壹拾肆万元整</v>
      </c>
      <c r="O60" s="2529"/>
    </row>
    <row r="61" spans="1:35" ht="13.8" thickBot="1">
      <c r="A61" s="3705" t="s">
        <v>1371</v>
      </c>
      <c r="B61" s="3705"/>
      <c r="C61" s="3705"/>
      <c r="D61" s="3705"/>
      <c r="E61" s="3705"/>
      <c r="F61" s="1806"/>
      <c r="G61" s="1806"/>
      <c r="H61" s="1808"/>
      <c r="I61" s="129"/>
      <c r="J61" s="2516">
        <f>J59+1</f>
        <v>6</v>
      </c>
      <c r="K61" s="3646" t="s">
        <v>1372</v>
      </c>
      <c r="L61" s="3646"/>
      <c r="M61" s="2533"/>
      <c r="N61" s="2534">
        <f ca="1">ROUND(N59*10000/'数据-汇总表'!E3,0)</f>
        <v>8540</v>
      </c>
      <c r="O61" s="2535"/>
    </row>
    <row r="62" spans="1:35" ht="13.2">
      <c r="A62" s="3665" t="s">
        <v>1373</v>
      </c>
      <c r="B62" s="3666"/>
      <c r="C62" s="2017"/>
      <c r="D62" s="2017" t="s">
        <v>1374</v>
      </c>
      <c r="E62" s="166" t="s">
        <v>1375</v>
      </c>
      <c r="F62" s="1806"/>
      <c r="G62" s="1806"/>
      <c r="H62" s="1808"/>
      <c r="I62" s="129"/>
    </row>
    <row r="63" spans="1:35" ht="13.2">
      <c r="A63" s="173" t="s">
        <v>330</v>
      </c>
      <c r="B63" s="167" t="s">
        <v>1376</v>
      </c>
      <c r="C63" s="2557">
        <f ca="1">ROUND((C64+C65)/(1+'数据-取费表'!C42),0)</f>
        <v>103733</v>
      </c>
      <c r="D63" s="167"/>
      <c r="E63" s="168"/>
      <c r="F63" s="1806"/>
      <c r="G63" s="1806"/>
      <c r="H63" s="1808"/>
      <c r="I63" s="129"/>
      <c r="J63" s="3629" t="s">
        <v>1377</v>
      </c>
      <c r="K63" s="1330" t="s">
        <v>1378</v>
      </c>
      <c r="L63" s="1330">
        <f ca="1">IF(M49&gt;10000,M49*0.5%,IF(AND(M49&gt;1000,M49&lt;=10000),M49*1%,IF(AND(M49&gt;100,M49&lt;=1000),M49*3%,IF(AND(M49&gt;10,M49&lt;=100),M49*5%,M49*8%))))</f>
        <v>544.6</v>
      </c>
      <c r="M63" s="302">
        <f ca="1">ROUND(L63,1)</f>
        <v>544.6</v>
      </c>
      <c r="N63" s="2536"/>
      <c r="Z63" s="1750"/>
      <c r="AI63" s="1751"/>
    </row>
    <row r="64" spans="1:35" ht="14.25" customHeight="1">
      <c r="A64" s="169" t="s">
        <v>325</v>
      </c>
      <c r="B64" s="170" t="s">
        <v>1379</v>
      </c>
      <c r="C64" s="2558">
        <f ca="1">D45</f>
        <v>108920</v>
      </c>
      <c r="D64" s="170" t="s">
        <v>26</v>
      </c>
      <c r="E64" s="172"/>
      <c r="F64" s="1806"/>
      <c r="G64" s="1806"/>
      <c r="H64" s="1808"/>
      <c r="I64" s="129"/>
      <c r="J64" s="3629"/>
      <c r="K64" s="1330" t="s">
        <v>1380</v>
      </c>
      <c r="L64" s="1330">
        <f ca="1">IF(M49&gt;2000,M49*0.5%,IF(AND(M49&gt;1000,M49&lt;=2000),M49*0.6%,IF(AND(M49&gt;500,M49&lt;=1000),M49*0.7%,IF(AND(M49&gt;200,M49&lt;=500),M49*0.8%,IF(AND(M49&gt;100,M49&lt;=200),M49*0.9%,IF(AND(M49&gt;50,M49&lt;=100),M49*1%,IF(AND(M49&gt;20,M49&lt;=50),M49*1.5%,IF(AND(M49&gt;10,M49&lt;=20),M49*2%,IF(AND(M49&gt;1,M49&lt;=10),M49*2.5%)))))))))</f>
        <v>544.6</v>
      </c>
      <c r="M64" s="302">
        <f t="shared" ref="M64:M65" ca="1" si="1">ROUND(L64,1)</f>
        <v>544.6</v>
      </c>
      <c r="N64" s="2537" t="s">
        <v>1381</v>
      </c>
      <c r="Z64" s="1750"/>
      <c r="AI64" s="1751"/>
    </row>
    <row r="65" spans="1:35" ht="14.25" customHeight="1">
      <c r="A65" s="169" t="s">
        <v>326</v>
      </c>
      <c r="B65" s="170" t="s">
        <v>1382</v>
      </c>
      <c r="C65" s="2559"/>
      <c r="D65" s="170"/>
      <c r="E65" s="172"/>
      <c r="F65" s="1806"/>
      <c r="G65" s="1806"/>
      <c r="H65" s="1808"/>
      <c r="I65" s="129"/>
      <c r="J65" s="3629"/>
      <c r="K65" s="1330" t="s">
        <v>1383</v>
      </c>
      <c r="L65" s="1330">
        <f ca="1">IF(M49&gt;1000,M49*0.1%,IF(AND(M49&gt;500,M49&lt;=1000),M49*0.5%,IF(AND(M49&gt;50,M49&lt;=500),M49*1%,IF(AND(M49&gt;1,M49&lt;=50),M49*1.5%))))</f>
        <v>108.92</v>
      </c>
      <c r="M65" s="302">
        <f t="shared" ca="1" si="1"/>
        <v>108.9</v>
      </c>
      <c r="N65" s="2537" t="s">
        <v>1381</v>
      </c>
      <c r="Z65" s="1750"/>
      <c r="AI65" s="1751"/>
    </row>
    <row r="66" spans="1:35" ht="14.25" customHeight="1">
      <c r="A66" s="173" t="s">
        <v>327</v>
      </c>
      <c r="B66" s="174" t="s">
        <v>1384</v>
      </c>
      <c r="C66" s="2560">
        <f>C75/1.05</f>
        <v>0</v>
      </c>
      <c r="D66" s="174" t="s">
        <v>26</v>
      </c>
      <c r="E66" s="1336" t="s">
        <v>671</v>
      </c>
      <c r="F66" s="1806"/>
      <c r="G66" s="1806"/>
      <c r="H66" s="1808"/>
      <c r="I66" s="129"/>
      <c r="J66" s="3629"/>
      <c r="K66" s="1330" t="s">
        <v>1385</v>
      </c>
      <c r="L66" s="1330">
        <f ca="1">M49*0.5%</f>
        <v>544.6</v>
      </c>
      <c r="M66" s="302">
        <f ca="1">IF(L66&gt;0.5,0.5,ROUND(L66,0))</f>
        <v>0.5</v>
      </c>
      <c r="N66" s="2537" t="s">
        <v>1386</v>
      </c>
      <c r="Z66" s="1750"/>
      <c r="AI66" s="1751"/>
    </row>
    <row r="67" spans="1:35" ht="14.25" customHeight="1">
      <c r="A67" s="173" t="s">
        <v>328</v>
      </c>
      <c r="B67" s="174" t="s">
        <v>1387</v>
      </c>
      <c r="C67" s="2561">
        <f ca="1">C63-C66</f>
        <v>103733</v>
      </c>
      <c r="D67" s="170" t="s">
        <v>26</v>
      </c>
      <c r="E67" s="172"/>
      <c r="F67" s="1806"/>
      <c r="G67" s="1806"/>
      <c r="H67" s="1808"/>
      <c r="I67" s="129"/>
      <c r="J67" s="3629"/>
      <c r="K67" s="1330" t="s">
        <v>1388</v>
      </c>
      <c r="L67" s="1330">
        <f ca="1">IF(M49&gt;=10000,(8.25+(M49-10000)*0.01%),IF(AND(M49&gt;=8000,M49&lt;10000),(7.85+(M49-8000)*0.02%),IF(AND(M49&gt;=5000,M49&lt;8000),(6.65+(M49-5000)*0.04%),IF(AND(M49&gt;=2000,M49&lt;5000),(4.25+(PM49-2000)*0.08%),IF(AND(M49&gt;=1000,M49&lt;2000),(2.75+(M49-1000)*0.15%),IF(AND(M49&gt;=100,M49&lt;1000),(0.5+(M49-100)*0.25%),IF(AND(M49&gt;0,M49&lt;100),M49*0.5%)))))))</f>
        <v>18.142000000000003</v>
      </c>
      <c r="M67" s="302">
        <f ca="1">ROUND(L67*0.9,1)</f>
        <v>16.3</v>
      </c>
      <c r="N67" s="2536"/>
      <c r="Z67" s="1750"/>
      <c r="AI67" s="1751"/>
    </row>
    <row r="68" spans="1:35" ht="14.25" customHeight="1" thickBot="1">
      <c r="A68" s="176" t="s">
        <v>329</v>
      </c>
      <c r="B68" s="177" t="s">
        <v>1389</v>
      </c>
      <c r="C68" s="2562">
        <f ca="1">IF(C67&lt;=0,0,ROUND(C67*D68,0))</f>
        <v>5705</v>
      </c>
      <c r="D68" s="2563">
        <f>'数据-取费表'!B41</f>
        <v>5.5000000000000007E-2</v>
      </c>
      <c r="E68" s="178"/>
      <c r="F68" s="1806"/>
      <c r="G68" s="1806"/>
      <c r="H68" s="1808"/>
      <c r="I68" s="129"/>
      <c r="J68" s="3629"/>
      <c r="K68" s="1330" t="s">
        <v>1390</v>
      </c>
      <c r="L68" s="1330">
        <f ca="1">IF(M49&gt;10000,M49*0.5%,IF(AND(M49&gt;5000,M49&lt;=10000),M49*1%,IF(AND(M49&gt;1000,M49&lt;=5000),M49*2%,IF(AND(M49&gt;200,M49&lt;=1000),M49*3%,M49*5%))))</f>
        <v>544.6</v>
      </c>
      <c r="M68" s="302">
        <f ca="1">ROUND(L68,1)</f>
        <v>544.6</v>
      </c>
      <c r="N68" s="2536"/>
      <c r="Z68" s="1750"/>
      <c r="AI68" s="1751"/>
    </row>
    <row r="69" spans="1:35" s="1770" customFormat="1" ht="16.5" customHeight="1">
      <c r="A69" s="1809"/>
      <c r="B69" s="1810"/>
      <c r="C69" s="1811"/>
      <c r="D69" s="1812"/>
      <c r="E69" s="1813"/>
      <c r="F69" s="1576"/>
      <c r="G69" s="1576"/>
      <c r="H69" s="1575"/>
      <c r="I69" s="1745"/>
      <c r="J69" s="3629"/>
      <c r="K69" s="1330" t="s">
        <v>1391</v>
      </c>
      <c r="L69" s="1330"/>
      <c r="M69" s="302">
        <f ca="1">ROUND(SUM(M63:M68),0)</f>
        <v>1760</v>
      </c>
      <c r="N69" s="2538">
        <f ca="1">M69/M49</f>
        <v>1.6158648549394052E-2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73" t="s">
        <v>1392</v>
      </c>
      <c r="B70" s="3674"/>
      <c r="C70" s="3674"/>
      <c r="D70" s="3674"/>
      <c r="E70" s="3674"/>
      <c r="F70" s="3674"/>
      <c r="G70" s="3674"/>
      <c r="H70" s="3674"/>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65" t="s">
        <v>1373</v>
      </c>
      <c r="B71" s="3666"/>
      <c r="C71" s="2017"/>
      <c r="D71" s="2017"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1393</v>
      </c>
      <c r="C72" s="2561">
        <f ca="1">ROUND(D45/(1+'数据-取费表'!C42),0)</f>
        <v>103733</v>
      </c>
      <c r="D72" s="170" t="s">
        <v>26</v>
      </c>
      <c r="E72" s="2327"/>
      <c r="F72" s="2326"/>
      <c r="G72" s="2326"/>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1394</v>
      </c>
      <c r="C73" s="2561">
        <f ca="1">C74+C78</f>
        <v>519</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1396</v>
      </c>
      <c r="C75" s="2564"/>
      <c r="D75" s="170" t="s">
        <v>26</v>
      </c>
      <c r="E75" s="184" t="s">
        <v>1397</v>
      </c>
      <c r="F75" s="2565" t="s">
        <v>3399</v>
      </c>
      <c r="G75" s="184" t="s">
        <v>1398</v>
      </c>
      <c r="H75" s="2566"/>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7">
        <v>0.05</v>
      </c>
      <c r="E76" s="3670" t="s">
        <v>1400</v>
      </c>
      <c r="F76" s="3669"/>
      <c r="G76" s="3669"/>
      <c r="H76" s="367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20" t="s">
        <v>3400</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69">
        <f ca="1">ROUND(D45*D78/(1+'数据-取费表'!C42),0)</f>
        <v>519</v>
      </c>
      <c r="D78" s="2570">
        <f>'数据-取费表'!B43</f>
        <v>5.000000000000001E-3</v>
      </c>
      <c r="E78" s="3662" t="s">
        <v>1404</v>
      </c>
      <c r="F78" s="3663"/>
      <c r="G78" s="3663"/>
      <c r="H78" s="36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1405</v>
      </c>
      <c r="C79" s="2561">
        <f ca="1">C72-C73</f>
        <v>103214</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1">
        <f ca="1">IF(C79&lt;=0,0,C79/C73)</f>
        <v>198.8709055876686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1407</v>
      </c>
      <c r="C81" s="2572">
        <f ca="1">ROUND(IF(C79&lt;=0,0,IF(C80&gt;=200%,C79*60%-C73*35%,IF(C80&gt;=100%,C79*50%-C73*15%,IF(C80&gt;=50%,C79*40%-C73*5%,IF(C80&lt;50%,C79*30%,0))))),0)</f>
        <v>61747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73" t="s">
        <v>1408</v>
      </c>
      <c r="B83" s="3674"/>
      <c r="C83" s="3674"/>
      <c r="D83" s="3674"/>
      <c r="E83" s="3674"/>
      <c r="F83" s="3674"/>
      <c r="G83" s="3674"/>
      <c r="H83" s="367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65" t="s">
        <v>1373</v>
      </c>
      <c r="B84" s="3666"/>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1393</v>
      </c>
      <c r="C85" s="2561">
        <f ca="1">ROUND(D45/(1+'数据-取费表'!C42),0)</f>
        <v>103733</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1394</v>
      </c>
      <c r="C86" s="2561">
        <f ca="1">IF(H88="仅含出让金",C87+C90+C91+C92+C93+C94,C87+C91+C92+C93+C94)</f>
        <v>519</v>
      </c>
      <c r="D86" s="2574"/>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1409</v>
      </c>
      <c r="C87" s="2569">
        <f>C88+C89</f>
        <v>0</v>
      </c>
      <c r="D87" s="2570"/>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26.4">
      <c r="A88" s="169" t="s">
        <v>331</v>
      </c>
      <c r="B88" s="170" t="s">
        <v>1410</v>
      </c>
      <c r="C88" s="2575"/>
      <c r="D88" s="2570"/>
      <c r="E88" s="193" t="s">
        <v>1411</v>
      </c>
      <c r="F88" s="2323"/>
      <c r="G88" s="194" t="s">
        <v>1412</v>
      </c>
      <c r="H88" s="1822" t="s">
        <v>3401</v>
      </c>
      <c r="I88" s="1819"/>
      <c r="J88" s="2514" t="s">
        <v>2273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1401</v>
      </c>
      <c r="C89" s="2569">
        <f>ROUND(C88*D89,0)</f>
        <v>0</v>
      </c>
      <c r="D89" s="2570">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1414</v>
      </c>
      <c r="C90" s="2575"/>
      <c r="D90" s="2570"/>
      <c r="E90" s="193" t="str">
        <f>IF(H88="-","土地取得成本中已包含该笔费用"," ")</f>
        <v xml:space="preserve"> </v>
      </c>
      <c r="F90" s="2323"/>
      <c r="G90" s="3631" t="s">
        <v>2126</v>
      </c>
      <c r="H90" s="3632"/>
      <c r="I90" s="1819"/>
      <c r="J90" s="2514" t="s">
        <v>2274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69">
        <f>IF(H91="——",成本法!C33,I91)</f>
        <v>0</v>
      </c>
      <c r="D91" s="2570"/>
      <c r="E91" s="3662" t="s">
        <v>1417</v>
      </c>
      <c r="F91" s="3663"/>
      <c r="G91" s="366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69">
        <f>ROUND((C87+C90+C91)*D92,0)</f>
        <v>0</v>
      </c>
      <c r="D92" s="2576"/>
      <c r="E92" s="3662" t="s">
        <v>1420</v>
      </c>
      <c r="F92" s="3663"/>
      <c r="G92" s="3663"/>
      <c r="H92" s="3664"/>
      <c r="I92" s="1819"/>
      <c r="J92" s="2515" t="s">
        <v>2275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69">
        <f ca="1">ROUND(D45*D93/(1+'数据-取费表'!C42),0)</f>
        <v>519</v>
      </c>
      <c r="D93" s="2570">
        <f>'数据-取费表'!B43</f>
        <v>5.000000000000001E-3</v>
      </c>
      <c r="E93" s="3662" t="s">
        <v>1404</v>
      </c>
      <c r="F93" s="3663"/>
      <c r="G93" s="3663"/>
      <c r="H93" s="36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5">
        <f>ROUND((C87+C90+C91)*D94,0)</f>
        <v>0</v>
      </c>
      <c r="D94" s="2570">
        <v>0.2</v>
      </c>
      <c r="E94" s="3707" t="s">
        <v>1424</v>
      </c>
      <c r="F94" s="3708"/>
      <c r="G94" s="3708"/>
      <c r="H94" s="370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1405</v>
      </c>
      <c r="C95" s="2561">
        <f ca="1">ROUND(C85-C86,0)</f>
        <v>103214</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1">
        <f ca="1">IF(C95&lt;=0,0,C95/C86)</f>
        <v>198.8709055876686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1407</v>
      </c>
      <c r="C97" s="2572">
        <f ca="1">ROUND(IF(C95&lt;=0,0,IF(C96&gt;=200%,C95*60%-C86*35%,IF(C96&gt;=100%,C95*50%-C86*15%,IF(C96&gt;=50%,C95*40%-C86*5%,IF(C96&lt;50%,C95*30%,0))))),0)</f>
        <v>61747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12" t="s">
        <v>1426</v>
      </c>
      <c r="B100" s="3613"/>
      <c r="C100" s="3613"/>
      <c r="D100" s="3647"/>
      <c r="E100" s="3613" t="s">
        <v>1427</v>
      </c>
      <c r="F100" s="3613"/>
      <c r="G100" s="3613"/>
      <c r="H100" s="3647"/>
      <c r="I100" s="129"/>
    </row>
    <row r="101" spans="1:35" ht="18.75" customHeight="1">
      <c r="A101" s="3655" t="s">
        <v>1428</v>
      </c>
      <c r="B101" s="3656"/>
      <c r="C101" s="2578" t="str">
        <f>C4</f>
        <v>成本法</v>
      </c>
      <c r="D101" s="2579" t="str">
        <f>D4</f>
        <v>收益法-酒店模型</v>
      </c>
      <c r="E101" s="3625" t="s">
        <v>1429</v>
      </c>
      <c r="F101" s="3626"/>
      <c r="G101" s="1825" t="s">
        <v>1430</v>
      </c>
      <c r="H101" s="2588">
        <f ca="1">H118</f>
        <v>108920</v>
      </c>
      <c r="I101" s="129"/>
    </row>
    <row r="102" spans="1:35" ht="18.75" customHeight="1">
      <c r="A102" s="3657" t="s">
        <v>1431</v>
      </c>
      <c r="B102" s="2577" t="s">
        <v>1430</v>
      </c>
      <c r="C102" s="2578">
        <f ca="1">IF(D32="楼面单价",ROUND(C19,0),C19)</f>
        <v>129396</v>
      </c>
      <c r="D102" s="2579">
        <f ca="1">IF(D32="楼面单价",ROUND(D19,0),D19)</f>
        <v>88444</v>
      </c>
      <c r="E102" s="3625"/>
      <c r="F102" s="3626"/>
      <c r="G102" s="1825" t="s">
        <v>1432</v>
      </c>
      <c r="H102" s="2548">
        <f ca="1">I118</f>
        <v>22462</v>
      </c>
      <c r="I102" s="129"/>
    </row>
    <row r="103" spans="1:35" ht="42.75" customHeight="1">
      <c r="A103" s="3657"/>
      <c r="B103" s="2577" t="s">
        <v>1432</v>
      </c>
      <c r="C103" s="2580">
        <f ca="1">C20</f>
        <v>30087</v>
      </c>
      <c r="D103" s="2581">
        <f ca="1">D20</f>
        <v>18239</v>
      </c>
      <c r="E103" s="3618" t="s">
        <v>1433</v>
      </c>
      <c r="F103" s="3619"/>
      <c r="G103" s="1826" t="s">
        <v>1434</v>
      </c>
      <c r="H103" s="2588">
        <f>IF(D36="正常操作",H104+H105+H106,H105+H106)</f>
        <v>0</v>
      </c>
      <c r="I103" s="129"/>
    </row>
    <row r="104" spans="1:35" ht="18.75" customHeight="1">
      <c r="A104" s="3657" t="s">
        <v>1435</v>
      </c>
      <c r="B104" s="2582" t="s">
        <v>1430</v>
      </c>
      <c r="C104" s="2583">
        <f ca="1">H118</f>
        <v>108920</v>
      </c>
      <c r="D104" s="2584"/>
      <c r="E104" s="1672" t="s">
        <v>1436</v>
      </c>
      <c r="F104" s="1664"/>
      <c r="G104" s="1826" t="s">
        <v>1434</v>
      </c>
      <c r="H104" s="2589">
        <f>IF(D36="同一抵押权人同一抵押物续贷",C36&amp;"（续贷，未扣减，详见特别提示）",C36)</f>
        <v>0</v>
      </c>
      <c r="I104" s="129"/>
    </row>
    <row r="105" spans="1:35" ht="18.75" customHeight="1" thickBot="1">
      <c r="A105" s="3667"/>
      <c r="B105" s="2585" t="s">
        <v>1432</v>
      </c>
      <c r="C105" s="2586">
        <f ca="1">I118</f>
        <v>22462</v>
      </c>
      <c r="D105" s="2587"/>
      <c r="E105" s="1672" t="s">
        <v>1437</v>
      </c>
      <c r="F105" s="1664"/>
      <c r="G105" s="1826" t="s">
        <v>1434</v>
      </c>
      <c r="H105" s="2590">
        <f>C37</f>
        <v>0</v>
      </c>
      <c r="I105" s="129"/>
    </row>
    <row r="106" spans="1:35" ht="18.75" customHeight="1">
      <c r="A106" s="1745" t="s">
        <v>1438</v>
      </c>
      <c r="B106" s="1745"/>
      <c r="C106" s="1745"/>
      <c r="D106" s="1745"/>
      <c r="E106" s="1827" t="s">
        <v>1439</v>
      </c>
      <c r="F106" s="1664"/>
      <c r="G106" s="1826" t="s">
        <v>1434</v>
      </c>
      <c r="H106" s="2590">
        <f>C38</f>
        <v>0</v>
      </c>
      <c r="I106" s="129"/>
    </row>
    <row r="107" spans="1:35" ht="18.75" customHeight="1">
      <c r="A107" s="129"/>
      <c r="B107" s="129"/>
      <c r="C107" s="129"/>
      <c r="D107" s="129"/>
      <c r="E107" s="3658" t="str">
        <f>IF(项目基本情况!E8="已注销","——","3.房地产抵押价值")</f>
        <v>3.房地产抵押价值</v>
      </c>
      <c r="F107" s="3626"/>
      <c r="G107" s="1825" t="s">
        <v>1430</v>
      </c>
      <c r="H107" s="2588">
        <f ca="1">IF(E107="——","——",H101-H103)</f>
        <v>108920</v>
      </c>
      <c r="I107" s="129"/>
    </row>
    <row r="108" spans="1:35" ht="18.75" customHeight="1">
      <c r="A108" s="129"/>
      <c r="B108" s="129"/>
      <c r="C108" s="129"/>
      <c r="D108" s="129"/>
      <c r="E108" s="3658"/>
      <c r="F108" s="3626"/>
      <c r="G108" s="1825" t="s">
        <v>1432</v>
      </c>
      <c r="H108" s="2548">
        <f ca="1">IF(H107=H101,H102,ROUND(H107*10000/'数据-汇总表'!E3,0))</f>
        <v>22462</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5" t="s">
        <v>1430</v>
      </c>
      <c r="H109" s="2591" t="str">
        <f>IF(E109="——","——",H101-H105-H106)</f>
        <v>——</v>
      </c>
      <c r="I109" s="129"/>
    </row>
    <row r="110" spans="1:35" ht="18.75" customHeight="1">
      <c r="A110" s="129"/>
      <c r="B110" s="129"/>
      <c r="C110" s="129"/>
      <c r="D110" s="129"/>
      <c r="E110" s="3658"/>
      <c r="F110" s="3626"/>
      <c r="G110" s="1825" t="s">
        <v>1432</v>
      </c>
      <c r="H110" s="2548"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45"/>
      <c r="G111" s="1825" t="s">
        <v>1430</v>
      </c>
      <c r="H111" s="2588" t="str">
        <f>IF(E111="——","——",N59)</f>
        <v>——</v>
      </c>
      <c r="I111" s="129"/>
    </row>
    <row r="112" spans="1:35" ht="18.75" customHeight="1" thickBot="1">
      <c r="A112" s="129"/>
      <c r="B112" s="129"/>
      <c r="C112" s="129"/>
      <c r="D112" s="129"/>
      <c r="E112" s="3660"/>
      <c r="F112" s="3661"/>
      <c r="G112" s="1828" t="s">
        <v>1432</v>
      </c>
      <c r="H112" s="2592" t="str">
        <f>IF(E111="——","——",N61)</f>
        <v>——</v>
      </c>
      <c r="I112" s="129"/>
    </row>
    <row r="113" spans="1:27" ht="18.75" customHeight="1">
      <c r="A113" s="129"/>
      <c r="B113" s="129"/>
      <c r="C113" s="129"/>
      <c r="D113" s="129"/>
      <c r="E113" s="3668" t="s">
        <v>1438</v>
      </c>
      <c r="F113" s="3668"/>
      <c r="G113" s="3668"/>
      <c r="H113" s="3668"/>
      <c r="I113" s="129"/>
    </row>
    <row r="114" spans="1:27" ht="3.75" customHeight="1">
      <c r="A114" s="1745"/>
      <c r="B114" s="1745"/>
      <c r="C114" s="1745"/>
      <c r="D114" s="1745"/>
      <c r="E114" s="1807"/>
      <c r="F114" s="1807"/>
      <c r="G114" s="1807"/>
      <c r="H114" s="1807"/>
      <c r="I114" s="1745"/>
    </row>
    <row r="115" spans="1:27" ht="18.75" customHeight="1">
      <c r="A115" s="3676" t="s">
        <v>1440</v>
      </c>
      <c r="B115" s="3677"/>
      <c r="C115" s="3677"/>
      <c r="D115" s="3677"/>
      <c r="E115" s="3677"/>
      <c r="F115" s="3677"/>
      <c r="G115" s="3677"/>
      <c r="H115" s="3677"/>
      <c r="I115" s="3678"/>
    </row>
    <row r="116" spans="1:27" ht="27" customHeight="1">
      <c r="A116" s="3633" t="s">
        <v>1441</v>
      </c>
      <c r="B116" s="3637" t="s">
        <v>1442</v>
      </c>
      <c r="C116" s="3637" t="s">
        <v>1443</v>
      </c>
      <c r="D116" s="3643" t="s">
        <v>1444</v>
      </c>
      <c r="E116" s="3644"/>
      <c r="F116" s="3675" t="s">
        <v>1445</v>
      </c>
      <c r="G116" s="3675"/>
      <c r="H116" s="3633" t="s">
        <v>1446</v>
      </c>
      <c r="I116" s="3633"/>
    </row>
    <row r="117" spans="1:27" ht="18.75" customHeight="1">
      <c r="A117" s="3633"/>
      <c r="B117" s="3638"/>
      <c r="C117" s="3638"/>
      <c r="D117" s="2325" t="s">
        <v>1447</v>
      </c>
      <c r="E117" s="2325" t="s">
        <v>1448</v>
      </c>
      <c r="F117" s="2325" t="s">
        <v>1447</v>
      </c>
      <c r="G117" s="2325" t="s">
        <v>1449</v>
      </c>
      <c r="H117" s="2325" t="s">
        <v>1447</v>
      </c>
      <c r="I117" s="2325" t="s">
        <v>1449</v>
      </c>
    </row>
    <row r="118" spans="1:27" ht="24.75" customHeight="1">
      <c r="A118" s="2593" t="str">
        <f>项目基本情况!S2</f>
        <v>北京市通州区新华东街289号院2号楼-3至29层101等7套房地产</v>
      </c>
      <c r="B118" s="2325">
        <f>M18</f>
        <v>48491.65</v>
      </c>
      <c r="C118" s="2325">
        <f>M19</f>
        <v>10479.049999999999</v>
      </c>
      <c r="D118" s="2325">
        <f ca="1">ROUND(IF(D32="总价",C34,E118*B118/10000),0)</f>
        <v>44548</v>
      </c>
      <c r="E118" s="2325">
        <f ca="1">ROUND(IF(C33="自定义",IF(D32="楼面单价",C34,D118*10000/B118),I118-G118),0)</f>
        <v>9187</v>
      </c>
      <c r="F118" s="2325">
        <f ca="1">ROUND(IF(D32="总价",C35,G118*B118/10000),0)</f>
        <v>64372</v>
      </c>
      <c r="G118" s="2325">
        <f ca="1">ROUND(IF(D32="楼面单价",C35,F118*10000/B118),0)</f>
        <v>13275</v>
      </c>
      <c r="H118" s="2325">
        <f ca="1">ROUND(IF(D32="总价",C32,I118*B118/10000),0)</f>
        <v>108920</v>
      </c>
      <c r="I118" s="2325">
        <f ca="1">ROUND(IF(D32="楼面单价",C32,H118*10000/B118),0)</f>
        <v>22462</v>
      </c>
    </row>
    <row r="119" spans="1:27" ht="18.75" customHeight="1">
      <c r="A119" s="3633" t="s">
        <v>1450</v>
      </c>
      <c r="B119" s="3633"/>
      <c r="C119" s="3633"/>
      <c r="D119" s="3639" t="str">
        <f ca="1">NUMBERSTRING(INT(D118*10000),2)&amp;"元整"</f>
        <v>肆亿肆仟伍佰肆拾捌万元整</v>
      </c>
      <c r="E119" s="3640"/>
      <c r="F119" s="3639" t="str">
        <f ca="1">NUMBERSTRING(INT(F118*10000),2)&amp;"元整"</f>
        <v>陆亿肆仟叁佰柒拾贰万元整</v>
      </c>
      <c r="G119" s="3640"/>
      <c r="H119" s="3639" t="str">
        <f ca="1">NUMBERSTRING(INT(H118*10000),2)&amp;"元整"</f>
        <v>壹拾亿捌仟玖佰贰拾万元整</v>
      </c>
      <c r="I119" s="3640"/>
    </row>
    <row r="120" spans="1:27" ht="18.75" customHeight="1">
      <c r="A120" s="3634" t="str">
        <f>IF(项目基本情况!B9="房地产市场价值","",MID(E103,3,LEN(E103)-2))</f>
        <v/>
      </c>
      <c r="B120" s="3635"/>
      <c r="C120" s="3636"/>
      <c r="D120" s="3634">
        <f>H103</f>
        <v>0</v>
      </c>
      <c r="E120" s="3635"/>
      <c r="F120" s="3635"/>
      <c r="G120" s="3635"/>
      <c r="H120" s="3635"/>
      <c r="I120" s="363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39" t="s">
        <v>1450</v>
      </c>
      <c r="B121" s="3641"/>
      <c r="C121" s="3640"/>
      <c r="D121" s="3639" t="str">
        <f>IF(D120=0,"零元整",NUMBERSTRING(INT(D120*10000),2)&amp;"元整")</f>
        <v>零元整</v>
      </c>
      <c r="E121" s="3641"/>
      <c r="F121" s="3641"/>
      <c r="G121" s="3641"/>
      <c r="H121" s="3641"/>
      <c r="I121" s="3640"/>
      <c r="AA121" s="724"/>
    </row>
    <row r="122" spans="1:27" ht="18.75" customHeight="1">
      <c r="A122" s="3645" t="str">
        <f>IF(项目基本情况!B9="房地产市场价值","",MID(E107,3,LEN(E107)-2))</f>
        <v/>
      </c>
      <c r="B122" s="3645"/>
      <c r="C122" s="3645"/>
      <c r="D122" s="3634">
        <f ca="1">H107</f>
        <v>108920</v>
      </c>
      <c r="E122" s="3635"/>
      <c r="F122" s="3635"/>
      <c r="G122" s="3635"/>
      <c r="H122" s="3635"/>
      <c r="I122" s="3636"/>
      <c r="AA122" s="724"/>
    </row>
    <row r="123" spans="1:27" ht="18.75" customHeight="1">
      <c r="A123" s="3633" t="s">
        <v>1450</v>
      </c>
      <c r="B123" s="3633"/>
      <c r="C123" s="3633"/>
      <c r="D123" s="3639" t="str">
        <f ca="1">NUMBERSTRING(INT(D122*10000),2)&amp;"元整"</f>
        <v>壹拾亿捌仟玖佰贰拾万元整</v>
      </c>
      <c r="E123" s="3641"/>
      <c r="F123" s="3641"/>
      <c r="G123" s="3641"/>
      <c r="H123" s="3641"/>
      <c r="I123" s="3640"/>
      <c r="AA123" s="724"/>
    </row>
    <row r="124" spans="1:27" ht="18.75" customHeight="1">
      <c r="A124" s="3645" t="str">
        <f>IF(项目基本情况!B9="房地产市场价值","",MID(E109,3,LEN(E109)-2))</f>
        <v/>
      </c>
      <c r="B124" s="3645"/>
      <c r="C124" s="3645"/>
      <c r="D124" s="3634" t="str">
        <f>H109</f>
        <v>——</v>
      </c>
      <c r="E124" s="3635"/>
      <c r="F124" s="3635"/>
      <c r="G124" s="3635"/>
      <c r="H124" s="3635"/>
      <c r="I124" s="3636"/>
      <c r="AA124" s="724"/>
    </row>
    <row r="125" spans="1:27" ht="18.75" customHeight="1">
      <c r="A125" s="3633" t="s">
        <v>1450</v>
      </c>
      <c r="B125" s="3633"/>
      <c r="C125" s="3633"/>
      <c r="D125" s="3639" t="e">
        <f>NUMBERSTRING(INT(D124*10000),2)&amp;"元整"</f>
        <v>#VALUE!</v>
      </c>
      <c r="E125" s="3641"/>
      <c r="F125" s="3641"/>
      <c r="G125" s="3641"/>
      <c r="H125" s="3641"/>
      <c r="I125" s="3640"/>
      <c r="AA125" s="724"/>
    </row>
    <row r="126" spans="1:27" ht="18.75" customHeight="1">
      <c r="A126" s="3645" t="str">
        <f>IF(项目基本情况!B9="房地产市场价值","",MID(E111,3,LEN(E111)-2))</f>
        <v/>
      </c>
      <c r="B126" s="3645"/>
      <c r="C126" s="3645"/>
      <c r="D126" s="3634" t="str">
        <f>H111</f>
        <v>——</v>
      </c>
      <c r="E126" s="3635"/>
      <c r="F126" s="3635"/>
      <c r="G126" s="3635"/>
      <c r="H126" s="3635"/>
      <c r="I126" s="3636"/>
      <c r="AA126" s="724"/>
    </row>
    <row r="127" spans="1:27" ht="18.75" customHeight="1">
      <c r="A127" s="3633" t="s">
        <v>1450</v>
      </c>
      <c r="B127" s="3633"/>
      <c r="C127" s="3633"/>
      <c r="D127" s="3639" t="e">
        <f>NUMBERSTRING(INT(D126*10000),2)&amp;"元整"</f>
        <v>#VALUE!</v>
      </c>
      <c r="E127" s="3641"/>
      <c r="F127" s="3641"/>
      <c r="G127" s="3641"/>
      <c r="H127" s="3641"/>
      <c r="I127" s="3640"/>
      <c r="AA127" s="724"/>
    </row>
    <row r="128" spans="1:27" ht="21.75" customHeight="1">
      <c r="A128" s="3642" t="s">
        <v>1451</v>
      </c>
      <c r="B128" s="3642"/>
      <c r="C128" s="3642"/>
      <c r="D128" s="3642"/>
      <c r="E128" s="3642"/>
      <c r="F128" s="3642"/>
      <c r="G128" s="3642"/>
      <c r="H128" s="3642"/>
      <c r="I128" s="3642"/>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1459</v>
      </c>
      <c r="B1" s="1468" t="s">
        <v>3584</v>
      </c>
      <c r="C1" s="198"/>
      <c r="D1" s="198"/>
      <c r="E1" s="198"/>
      <c r="F1" s="198"/>
      <c r="G1" s="1125">
        <f>MATCH(B1,'数据-取费表'!A6:A16,0)+5</f>
        <v>6</v>
      </c>
    </row>
    <row r="2" spans="1:9" s="200" customFormat="1" ht="18" customHeight="1">
      <c r="A2" s="201" t="s">
        <v>1460</v>
      </c>
      <c r="B2" s="202">
        <f ca="1">IF(D2="——",C52,C52-E2)</f>
        <v>129396</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30087</v>
      </c>
      <c r="C3" s="199" t="s">
        <v>1463</v>
      </c>
      <c r="D3" s="199"/>
      <c r="E3" s="199"/>
      <c r="F3" s="199"/>
      <c r="G3" s="199"/>
    </row>
    <row r="4" spans="1:9" s="208" customFormat="1" ht="16.2">
      <c r="A4" s="205" t="s">
        <v>1464</v>
      </c>
      <c r="B4" s="206"/>
      <c r="C4" s="206"/>
      <c r="D4" s="206"/>
      <c r="E4" s="206"/>
      <c r="F4" s="206"/>
      <c r="G4" s="207"/>
    </row>
    <row r="5" spans="1:9" s="214" customFormat="1" ht="13.5" customHeight="1">
      <c r="A5" s="255" t="s">
        <v>1465</v>
      </c>
      <c r="B5" s="210" t="s">
        <v>1466</v>
      </c>
      <c r="C5" s="211">
        <f>C6+C7+C8</f>
        <v>51636</v>
      </c>
      <c r="D5" s="211" t="s">
        <v>1467</v>
      </c>
      <c r="E5" s="212" t="s">
        <v>1468</v>
      </c>
      <c r="F5" s="212" t="s">
        <v>1469</v>
      </c>
      <c r="G5" s="213"/>
    </row>
    <row r="6" spans="1:9" s="214" customFormat="1" ht="13.5" customHeight="1">
      <c r="A6" s="777" t="s">
        <v>1470</v>
      </c>
      <c r="B6" s="215" t="s">
        <v>1471</v>
      </c>
      <c r="C6" s="216">
        <f>'土地比较法-住宅、综合'!B2</f>
        <v>50108</v>
      </c>
      <c r="D6" s="217"/>
      <c r="E6" s="218"/>
      <c r="F6" s="218"/>
      <c r="G6" s="219"/>
    </row>
    <row r="7" spans="1:9" s="214" customFormat="1" ht="13.5" customHeight="1">
      <c r="A7" s="777" t="s">
        <v>1472</v>
      </c>
      <c r="B7" s="215" t="s">
        <v>1473</v>
      </c>
      <c r="C7" s="220">
        <f>ROUND(C6*F7,0)</f>
        <v>1528</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t="s">
        <v>3402</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6"/>
      <c r="I9" s="1856" t="s">
        <v>1477</v>
      </c>
    </row>
    <row r="10" spans="1:9" s="214" customFormat="1" ht="13.5" customHeight="1">
      <c r="A10" s="778" t="s">
        <v>356</v>
      </c>
      <c r="B10" s="224" t="s">
        <v>1478</v>
      </c>
      <c r="C10" s="225">
        <f ca="1">ROUND(D10*E10/10000,0)</f>
        <v>970</v>
      </c>
      <c r="D10" s="844">
        <f ca="1">IF(B1="",'数据-汇总表'!E6,IF(INDIRECT("'数据-取费表'!c"&amp;$G$1)="住宅",INDIRECT("'数据-取费表'!s"&amp;$G$1),INDIRECT("'数据-取费表'!k"&amp;$G$1)+INDIRECT("'数据-取费表'!s"&amp;$G$1)))</f>
        <v>48491.65</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48491.65</v>
      </c>
      <c r="E19" s="211">
        <f>'数据-取费表'!B31</f>
        <v>200</v>
      </c>
      <c r="F19" s="231"/>
      <c r="G19" s="1854" t="s">
        <v>3403</v>
      </c>
    </row>
    <row r="20" spans="1:7" s="214" customFormat="1" ht="13.5" customHeight="1">
      <c r="A20" s="255" t="s">
        <v>1491</v>
      </c>
      <c r="B20" s="210" t="s">
        <v>1492</v>
      </c>
      <c r="C20" s="232">
        <f>ROUND((C5+C19)*F20,0)</f>
        <v>1033</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3768</v>
      </c>
      <c r="D22" s="235">
        <f ca="1">C26</f>
        <v>6.9999999999999999E-4</v>
      </c>
      <c r="E22" s="236" t="s">
        <v>1496</v>
      </c>
      <c r="F22" s="237">
        <f ca="1">'数据-取费表'!B40</f>
        <v>3.5499999999999997E-2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3731</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37</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6.4">
      <c r="A27" s="255" t="s">
        <v>1510</v>
      </c>
      <c r="B27" s="244" t="s">
        <v>1511</v>
      </c>
      <c r="C27" s="245">
        <f ca="1">C28</f>
        <v>10534</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10534</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72566</v>
      </c>
      <c r="D31" s="230"/>
      <c r="E31" s="211"/>
      <c r="F31" s="250"/>
      <c r="G31" s="234" t="s">
        <v>1520</v>
      </c>
    </row>
    <row r="32" spans="1:7" s="208" customFormat="1" ht="16.2">
      <c r="A32" s="252" t="s">
        <v>1521</v>
      </c>
      <c r="B32" s="253"/>
      <c r="C32" s="253"/>
      <c r="D32" s="253"/>
      <c r="E32" s="253"/>
      <c r="F32" s="253"/>
      <c r="G32" s="254"/>
    </row>
    <row r="33" spans="1:7" s="214" customFormat="1" ht="13.5" customHeight="1">
      <c r="A33" s="255" t="s">
        <v>337</v>
      </c>
      <c r="B33" s="210" t="s">
        <v>1522</v>
      </c>
      <c r="C33" s="256">
        <f ca="1">SUM(C34:C38)</f>
        <v>45735</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41449</v>
      </c>
      <c r="D34" s="217"/>
      <c r="E34" s="220"/>
      <c r="F34" s="257">
        <f ca="1">IF('数据-取费表'!B24=0,1,IF(B1="",'数据-取费表'!N16,INDIRECT("'数据-取费表'!n"&amp;$G$1)))</f>
        <v>1</v>
      </c>
      <c r="G34" s="219" t="s">
        <v>1524</v>
      </c>
    </row>
    <row r="35" spans="1:7" ht="13.5" customHeight="1">
      <c r="A35" s="779" t="s">
        <v>351</v>
      </c>
      <c r="B35" s="215" t="s">
        <v>1525</v>
      </c>
      <c r="C35" s="220">
        <f ca="1">ROUND(C34*F35,0)</f>
        <v>2487</v>
      </c>
      <c r="D35" s="220"/>
      <c r="E35" s="220"/>
      <c r="F35" s="259">
        <f>'数据-取费表'!B33</f>
        <v>0.06</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970</v>
      </c>
      <c r="D37" s="217">
        <f ca="1">D19</f>
        <v>48491.65</v>
      </c>
      <c r="E37" s="249">
        <f>'数据-取费表'!B35</f>
        <v>200</v>
      </c>
      <c r="F37" s="259"/>
      <c r="G37" s="261" t="s">
        <v>1530</v>
      </c>
    </row>
    <row r="38" spans="1:7" ht="13.5" customHeight="1">
      <c r="A38" s="779" t="s">
        <v>354</v>
      </c>
      <c r="B38" s="215" t="s">
        <v>1531</v>
      </c>
      <c r="C38" s="220">
        <f ca="1">ROUND(C34*F38,0)</f>
        <v>829</v>
      </c>
      <c r="D38" s="220"/>
      <c r="E38" s="220"/>
      <c r="F38" s="259">
        <f>'数据-取费表'!B36</f>
        <v>0.02</v>
      </c>
      <c r="G38" s="219" t="s">
        <v>1526</v>
      </c>
    </row>
    <row r="39" spans="1:7" s="214" customFormat="1" ht="13.5" customHeight="1">
      <c r="A39" s="255" t="s">
        <v>1532</v>
      </c>
      <c r="B39" s="210" t="s">
        <v>1533</v>
      </c>
      <c r="C39" s="232">
        <f ca="1">ROUND(C33*F20,0)</f>
        <v>915</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1656</v>
      </c>
      <c r="D41" s="235">
        <f ca="1">C44</f>
        <v>6.9999999999999999E-4</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1624</v>
      </c>
      <c r="D42" s="238"/>
      <c r="E42" s="238"/>
      <c r="F42" s="239"/>
      <c r="G42" s="3712" t="s">
        <v>1542</v>
      </c>
    </row>
    <row r="43" spans="1:7" ht="13.5" customHeight="1">
      <c r="A43" s="779" t="s">
        <v>347</v>
      </c>
      <c r="B43" s="215" t="s">
        <v>1543</v>
      </c>
      <c r="C43" s="238">
        <f ca="1">ROUND(IF('数据-取费表'!B22&lt;=1,C39*F22*'数据-取费表'!B21/2,C39*(POWER((1+F22),'数据-取费表'!B21/2)-1)),0)</f>
        <v>32</v>
      </c>
      <c r="D43" s="238"/>
      <c r="E43" s="238"/>
      <c r="F43" s="239"/>
      <c r="G43" s="3713"/>
    </row>
    <row r="44" spans="1:7" ht="13.5" customHeight="1">
      <c r="A44" s="779" t="s">
        <v>348</v>
      </c>
      <c r="B44" s="215" t="s">
        <v>1544</v>
      </c>
      <c r="C44" s="238">
        <f ca="1">ROUND(IF('数据-取费表'!B22&lt;=1,C40*F22*'数据-取费表'!B21/2,C40*(POWER((1+F22),'数据-取费表'!B21/2)-1)),4)</f>
        <v>6.9999999999999999E-4</v>
      </c>
      <c r="D44" s="238"/>
      <c r="E44" s="238"/>
      <c r="F44" s="239"/>
      <c r="G44" s="3714"/>
    </row>
    <row r="45" spans="1:7" s="214" customFormat="1" ht="13.5" customHeight="1">
      <c r="A45" s="255" t="s">
        <v>1545</v>
      </c>
      <c r="B45" s="244" t="s">
        <v>1511</v>
      </c>
      <c r="C45" s="245">
        <f ca="1">C46</f>
        <v>9330</v>
      </c>
      <c r="D45" s="235">
        <f ca="1">C47</f>
        <v>4.0000000000000001E-3</v>
      </c>
      <c r="E45" s="236" t="s">
        <v>1537</v>
      </c>
      <c r="F45" s="246">
        <f ca="1">F27</f>
        <v>0.2</v>
      </c>
      <c r="G45" s="247" t="s">
        <v>1546</v>
      </c>
    </row>
    <row r="46" spans="1:7" s="214" customFormat="1" ht="13.5" customHeight="1">
      <c r="A46" s="779" t="s">
        <v>346</v>
      </c>
      <c r="B46" s="248" t="s">
        <v>1547</v>
      </c>
      <c r="C46" s="249">
        <f ca="1">ROUND((C33+C39)*F27,0)</f>
        <v>9330</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62451</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56830</v>
      </c>
      <c r="D51" s="232"/>
      <c r="E51" s="232"/>
      <c r="F51" s="264"/>
      <c r="G51" s="234" t="s">
        <v>1558</v>
      </c>
    </row>
    <row r="52" spans="1:7" s="208" customFormat="1" ht="16.8" thickBot="1">
      <c r="A52" s="265" t="s">
        <v>1559</v>
      </c>
      <c r="B52" s="266"/>
      <c r="C52" s="267">
        <f ca="1">C31+C51</f>
        <v>129396</v>
      </c>
      <c r="D52" s="266"/>
      <c r="E52" s="266"/>
      <c r="F52" s="266"/>
      <c r="G52" s="268"/>
    </row>
    <row r="55" spans="1:7" ht="15">
      <c r="B55" s="270" t="s">
        <v>1560</v>
      </c>
      <c r="C55" s="271"/>
    </row>
    <row r="56" spans="1:7">
      <c r="B56" s="273" t="s">
        <v>802</v>
      </c>
      <c r="C56" s="275">
        <f ca="1">1-C57</f>
        <v>0.56099999999999994</v>
      </c>
    </row>
    <row r="57" spans="1:7">
      <c r="B57" s="273" t="s">
        <v>803</v>
      </c>
      <c r="C57" s="274">
        <f ca="1">ROUND(C51/C52,3)</f>
        <v>0.439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7">
        <f ca="1">ROUND(IF(D2="——",C52/10000,C52/10000-E2),4)</f>
        <v>58192.003100000002</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12000</v>
      </c>
      <c r="C3" s="199" t="s">
        <v>1463</v>
      </c>
      <c r="D3" s="199"/>
      <c r="E3" s="199"/>
      <c r="F3" s="199"/>
      <c r="G3" s="199"/>
    </row>
    <row r="4" spans="1:8" s="208" customFormat="1" ht="16.2">
      <c r="A4" s="205" t="s">
        <v>1464</v>
      </c>
      <c r="B4" s="206"/>
      <c r="C4" s="206"/>
      <c r="D4" s="206"/>
      <c r="E4" s="206"/>
      <c r="F4" s="206"/>
      <c r="G4" s="207"/>
    </row>
    <row r="5" spans="1:8" s="214" customFormat="1" ht="13.5" customHeight="1">
      <c r="A5" s="255" t="s">
        <v>1465</v>
      </c>
      <c r="B5" s="210" t="s">
        <v>1466</v>
      </c>
      <c r="C5" s="211">
        <f ca="1">C6+C7+C8</f>
        <v>9698330</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9698330</v>
      </c>
      <c r="D8" s="222"/>
      <c r="E8" s="220"/>
      <c r="F8" s="221"/>
      <c r="G8" s="1854" t="s">
        <v>3402</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9698330</v>
      </c>
      <c r="D10" s="844">
        <f ca="1">IF(B1="",'数据-汇总表'!E6,IF(INDIRECT("'数据-取费表'!c"&amp;$G$1)="住宅",INDIRECT("'数据-取费表'!s"&amp;$G$1),INDIRECT("'数据-取费表'!k"&amp;$G$1)+INDIRECT("'数据-取费表'!s"&amp;$G$1)))</f>
        <v>48491.65</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48491.65</v>
      </c>
      <c r="E19" s="211">
        <f>'数据-取费表'!B31</f>
        <v>200</v>
      </c>
      <c r="F19" s="231"/>
      <c r="G19" s="1854" t="s">
        <v>3403</v>
      </c>
    </row>
    <row r="20" spans="1:7" s="214" customFormat="1" ht="13.5" customHeight="1">
      <c r="A20" s="255" t="s">
        <v>1572</v>
      </c>
      <c r="B20" s="210" t="s">
        <v>1573</v>
      </c>
      <c r="C20" s="232">
        <f ca="1">ROUND((C5+C19)*F20,0)</f>
        <v>193967</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707690</v>
      </c>
      <c r="D22" s="235">
        <f ca="1">C26</f>
        <v>6.9999999999999999E-4</v>
      </c>
      <c r="E22" s="236" t="s">
        <v>1577</v>
      </c>
      <c r="F22" s="237">
        <f ca="1">'数据-取费表'!B40</f>
        <v>3.5499999999999997E-2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700804</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6886</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6.4">
      <c r="A27" s="255" t="s">
        <v>1510</v>
      </c>
      <c r="B27" s="244" t="s">
        <v>1511</v>
      </c>
      <c r="C27" s="245">
        <f ca="1">C28</f>
        <v>1978459</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1978459</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13629262</v>
      </c>
      <c r="D31" s="230"/>
      <c r="E31" s="211"/>
      <c r="F31" s="250"/>
      <c r="G31" s="234" t="s">
        <v>1520</v>
      </c>
    </row>
    <row r="32" spans="1:7" s="208" customFormat="1" ht="16.2">
      <c r="A32" s="252" t="s">
        <v>1587</v>
      </c>
      <c r="B32" s="253"/>
      <c r="C32" s="253"/>
      <c r="D32" s="253"/>
      <c r="E32" s="253"/>
      <c r="F32" s="253"/>
      <c r="G32" s="254"/>
    </row>
    <row r="33" spans="1:7" s="214" customFormat="1" ht="13.5" customHeight="1">
      <c r="A33" s="255" t="s">
        <v>337</v>
      </c>
      <c r="B33" s="210" t="s">
        <v>1588</v>
      </c>
      <c r="C33" s="256">
        <f ca="1">SUM(C34:C38)</f>
        <v>457341839</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414484730</v>
      </c>
      <c r="D34" s="217"/>
      <c r="E34" s="220"/>
      <c r="F34" s="257"/>
      <c r="G34" s="219"/>
    </row>
    <row r="35" spans="1:7" ht="13.5" customHeight="1">
      <c r="A35" s="779" t="s">
        <v>351</v>
      </c>
      <c r="B35" s="215" t="s">
        <v>1525</v>
      </c>
      <c r="C35" s="220">
        <f ca="1">ROUND(C34*F35,0)</f>
        <v>24869084</v>
      </c>
      <c r="D35" s="220"/>
      <c r="E35" s="220"/>
      <c r="F35" s="259">
        <f>'数据-取费表'!B33</f>
        <v>0.06</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9698330</v>
      </c>
      <c r="D37" s="217">
        <f ca="1">D19</f>
        <v>48491.65</v>
      </c>
      <c r="E37" s="249">
        <f>'数据-取费表'!B35</f>
        <v>200</v>
      </c>
      <c r="F37" s="259"/>
      <c r="G37" s="261"/>
    </row>
    <row r="38" spans="1:7" ht="13.5" customHeight="1">
      <c r="A38" s="779" t="s">
        <v>354</v>
      </c>
      <c r="B38" s="215" t="s">
        <v>1531</v>
      </c>
      <c r="C38" s="220">
        <f ca="1">ROUND(C34*F38,0)</f>
        <v>8289695</v>
      </c>
      <c r="D38" s="220"/>
      <c r="E38" s="220"/>
      <c r="F38" s="259">
        <f>'数据-取费表'!B36</f>
        <v>0.02</v>
      </c>
      <c r="G38" s="219" t="s">
        <v>1526</v>
      </c>
    </row>
    <row r="39" spans="1:7" s="214" customFormat="1" ht="13.5" customHeight="1">
      <c r="A39" s="255" t="s">
        <v>1532</v>
      </c>
      <c r="B39" s="210" t="s">
        <v>1533</v>
      </c>
      <c r="C39" s="232">
        <f ca="1">ROUND(C33*F20,0)</f>
        <v>9146837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16560348</v>
      </c>
      <c r="D41" s="235">
        <f ca="1">C44</f>
        <v>6.9999999999999999E-4</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16235635</v>
      </c>
      <c r="D42" s="238"/>
      <c r="E42" s="238"/>
      <c r="F42" s="239"/>
      <c r="G42" s="3712" t="s">
        <v>1589</v>
      </c>
    </row>
    <row r="43" spans="1:7" ht="13.5" customHeight="1">
      <c r="A43" s="779" t="s">
        <v>347</v>
      </c>
      <c r="B43" s="215" t="s">
        <v>1543</v>
      </c>
      <c r="C43" s="238">
        <f ca="1">ROUND(IF('数据-取费表'!B22&lt;=1,C39*F22*'数据-取费表'!B20/2,C39*(POWER((1+F22),'数据-取费表'!B20/2)-1)),0)</f>
        <v>324713</v>
      </c>
      <c r="D43" s="238"/>
      <c r="E43" s="238"/>
      <c r="F43" s="239"/>
      <c r="G43" s="3713"/>
    </row>
    <row r="44" spans="1:7" ht="13.5" customHeight="1">
      <c r="A44" s="779" t="s">
        <v>348</v>
      </c>
      <c r="B44" s="215" t="s">
        <v>1544</v>
      </c>
      <c r="C44" s="238">
        <f ca="1">ROUND(IF('数据-取费表'!B22&lt;=1,C40*F22*'数据-取费表'!B20/2,C40*(POWER((1+F22),'数据-取费表'!B20/2)-1)),4)</f>
        <v>6.9999999999999999E-4</v>
      </c>
      <c r="D44" s="238"/>
      <c r="E44" s="238"/>
      <c r="F44" s="239"/>
      <c r="G44" s="3714"/>
    </row>
    <row r="45" spans="1:7" s="214" customFormat="1" ht="13.5" customHeight="1">
      <c r="A45" s="255" t="s">
        <v>1545</v>
      </c>
      <c r="B45" s="244" t="s">
        <v>1511</v>
      </c>
      <c r="C45" s="245">
        <f ca="1">C46</f>
        <v>93297735</v>
      </c>
      <c r="D45" s="235">
        <f ca="1">C47</f>
        <v>4.0000000000000001E-3</v>
      </c>
      <c r="E45" s="236" t="s">
        <v>1537</v>
      </c>
      <c r="F45" s="246">
        <f ca="1">F27</f>
        <v>0.2</v>
      </c>
      <c r="G45" s="247" t="s">
        <v>1546</v>
      </c>
    </row>
    <row r="46" spans="1:7" s="214" customFormat="1" ht="13.5" customHeight="1">
      <c r="A46" s="779" t="s">
        <v>346</v>
      </c>
      <c r="B46" s="248" t="s">
        <v>1547</v>
      </c>
      <c r="C46" s="249">
        <f ca="1">ROUND((C33+C39)*F27,0)</f>
        <v>93297735</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624495351</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568290769</v>
      </c>
      <c r="D51" s="232"/>
      <c r="E51" s="232"/>
      <c r="F51" s="264"/>
      <c r="G51" s="234" t="s">
        <v>1558</v>
      </c>
    </row>
    <row r="52" spans="1:7" s="208" customFormat="1" ht="16.8" thickBot="1">
      <c r="A52" s="265" t="s">
        <v>1559</v>
      </c>
      <c r="B52" s="266"/>
      <c r="C52" s="267">
        <f ca="1">C31+C51</f>
        <v>581920031</v>
      </c>
      <c r="D52" s="266"/>
      <c r="E52" s="266"/>
      <c r="F52" s="266"/>
      <c r="G52" s="268"/>
    </row>
    <row r="55" spans="1:7" ht="15">
      <c r="B55" s="270" t="s">
        <v>1560</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4" customFormat="1" ht="16.5" customHeight="1">
      <c r="A4" s="781" t="s">
        <v>1595</v>
      </c>
      <c r="B4" s="782"/>
      <c r="C4" s="823">
        <f>SUM(C8:K8)</f>
        <v>0</v>
      </c>
      <c r="D4" s="782"/>
      <c r="E4" s="782"/>
      <c r="F4" s="782"/>
      <c r="G4" s="782"/>
      <c r="H4" s="782"/>
      <c r="I4" s="782"/>
      <c r="J4" s="782"/>
      <c r="K4" s="783"/>
    </row>
    <row r="5" spans="1:33" s="788" customFormat="1" ht="14.4">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0.06</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48491.65</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48491.65</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3404</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970</v>
      </c>
      <c r="D20" s="845">
        <f ca="1">IF(C1="",'数据-汇总表'!E6,IF(INDIRECT("'数据-取费表'!c"&amp;$K$1)="住宅",INDIRECT("'数据-取费表'!s"&amp;$K$1),INDIRECT("'数据-取费表'!k"&amp;$K$1)+INDIRECT("'数据-取费表'!s"&amp;$K$1)))</f>
        <v>48491.65</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3.2"/>
  <cols>
    <col min="1" max="1" width="9" style="258" customWidth="1"/>
    <col min="2" max="2" width="20.6640625" style="654" customWidth="1"/>
    <col min="3" max="3" width="11.88671875" style="654"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2"/>
      <c r="C1" s="1377"/>
      <c r="D1" s="1360" t="s">
        <v>43</v>
      </c>
      <c r="E1" s="1361" t="s">
        <v>678</v>
      </c>
      <c r="F1" s="1061">
        <f ca="1">J53</f>
        <v>0</v>
      </c>
      <c r="G1" s="1376">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8" t="e">
        <f ca="1">ROUND(D2/10000,4)</f>
        <v>#DIV/0!</v>
      </c>
      <c r="C2" s="1385" t="s">
        <v>879</v>
      </c>
      <c r="D2" s="1469" t="e">
        <f ca="1">C40+J29+L46</f>
        <v>#DIV/0!</v>
      </c>
      <c r="E2" s="1386" t="s">
        <v>880</v>
      </c>
      <c r="F2" s="1387"/>
      <c r="G2" s="2699"/>
      <c r="H2" s="2688"/>
      <c r="I2" s="2688"/>
      <c r="J2" s="2688"/>
      <c r="K2" s="2689"/>
      <c r="L2" s="2688"/>
      <c r="M2" s="2688"/>
    </row>
    <row r="3" spans="1:37" ht="18" customHeight="1" thickBot="1">
      <c r="A3" s="1388" t="s">
        <v>881</v>
      </c>
      <c r="B3" s="1389">
        <f ca="1">IF(ISERROR(D2/F43),0,ROUND(D2/F43,0))</f>
        <v>0</v>
      </c>
      <c r="C3" s="1385" t="s">
        <v>882</v>
      </c>
      <c r="D3" s="1385"/>
      <c r="E3" s="1386"/>
      <c r="F3" s="1387"/>
      <c r="G3" s="2699"/>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15" t="s">
        <v>694</v>
      </c>
      <c r="C6" s="1073">
        <f ca="1">ROUND(F6*F8*F7*(1-F9),0)</f>
        <v>0</v>
      </c>
      <c r="D6" s="155" t="s">
        <v>2103</v>
      </c>
      <c r="E6" s="302" t="s">
        <v>696</v>
      </c>
      <c r="F6" s="303">
        <f ca="1">INDIRECT("'数据-取费表'!u"&amp;$G$1)</f>
        <v>0</v>
      </c>
      <c r="G6" s="1382"/>
      <c r="H6" s="1068" t="s">
        <v>398</v>
      </c>
      <c r="I6" s="3715" t="s">
        <v>694</v>
      </c>
      <c r="J6" s="301">
        <f ca="1">ROUND(M6*M8*M7*(1-M9),0)</f>
        <v>0</v>
      </c>
      <c r="K6" s="1374" t="s">
        <v>2104</v>
      </c>
      <c r="L6" s="302" t="s">
        <v>696</v>
      </c>
      <c r="M6" s="303">
        <f ca="1">INDIRECT("'数据-取费表'!z"&amp;$G$1)</f>
        <v>0</v>
      </c>
    </row>
    <row r="7" spans="1:37" ht="18" customHeight="1">
      <c r="A7" s="1072"/>
      <c r="B7" s="3716"/>
      <c r="C7" s="1074"/>
      <c r="D7" s="307"/>
      <c r="E7" s="1075" t="s">
        <v>697</v>
      </c>
      <c r="F7" s="303">
        <f ca="1">IF(INDIRECT("'数据-取费表'!ah"&amp;$G$1)="",INDIRECT("'数据-取费表'!k"&amp;$G$1),INDIRECT("'数据-取费表'!ah"&amp;$G$1))</f>
        <v>0</v>
      </c>
      <c r="G7" s="1382"/>
      <c r="H7" s="304"/>
      <c r="I7" s="3716"/>
      <c r="J7" s="306"/>
      <c r="K7" s="307"/>
      <c r="L7" s="302" t="s">
        <v>697</v>
      </c>
      <c r="M7" s="303">
        <f ca="1">F7</f>
        <v>0</v>
      </c>
    </row>
    <row r="8" spans="1:37" ht="18" customHeight="1">
      <c r="A8" s="304"/>
      <c r="B8" s="3716"/>
      <c r="C8" s="306"/>
      <c r="D8" s="307"/>
      <c r="E8" s="302" t="s">
        <v>698</v>
      </c>
      <c r="F8" s="303">
        <f ca="1">INDIRECT("'数据-取费表'!ai"&amp;$G$1)</f>
        <v>0</v>
      </c>
      <c r="G8" s="1382"/>
      <c r="H8" s="304"/>
      <c r="I8" s="3716"/>
      <c r="J8" s="306"/>
      <c r="K8" s="307"/>
      <c r="L8" s="302" t="s">
        <v>698</v>
      </c>
      <c r="M8" s="303">
        <f ca="1">INDIRECT("'数据-取费表'!ai"&amp;$G$1)</f>
        <v>0</v>
      </c>
    </row>
    <row r="9" spans="1:37" ht="18" customHeight="1">
      <c r="A9" s="304"/>
      <c r="B9" s="3717"/>
      <c r="C9" s="306"/>
      <c r="D9" s="307"/>
      <c r="E9" s="302" t="s">
        <v>699</v>
      </c>
      <c r="F9" s="312">
        <f ca="1">INDIRECT("'数据-取费表'!w"&amp;$G$1)</f>
        <v>0</v>
      </c>
      <c r="G9" s="1382"/>
      <c r="H9" s="304"/>
      <c r="I9" s="371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2113</v>
      </c>
      <c r="E10" s="313" t="s">
        <v>701</v>
      </c>
      <c r="F10" s="1115" t="s">
        <v>3405</v>
      </c>
      <c r="G10" s="1382"/>
      <c r="H10" s="1068" t="s">
        <v>402</v>
      </c>
      <c r="I10" s="1363" t="s">
        <v>700</v>
      </c>
      <c r="J10" s="301">
        <f ca="1">ROUND(IF(M10="押一",J6/12*M11,IF(M10="押二",J6/12*2*M11,IF(M10="押三",J6/12*3*M11,J11*M11))),0)</f>
        <v>0</v>
      </c>
      <c r="K10" s="1375" t="s">
        <v>2115</v>
      </c>
      <c r="L10" s="313" t="s">
        <v>701</v>
      </c>
      <c r="M10" s="1115" t="s">
        <v>3405</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3326</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1" t="s">
        <v>2295</v>
      </c>
      <c r="I31" s="1396"/>
      <c r="J31" s="1397"/>
      <c r="K31" s="2468"/>
      <c r="L31" s="2691"/>
      <c r="M31" s="2692"/>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3326</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ROUND(C29*F36,0)</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ROUND(C13*F37,0)</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ROUND(C5*F38,0)</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3424" t="s">
        <v>3342</v>
      </c>
      <c r="B45" s="1398"/>
      <c r="C45" s="1470" t="e">
        <f ca="1">ROUND((C68-C40)/10000,4)</f>
        <v>#DIV/0!</v>
      </c>
      <c r="D45" s="3425" t="s">
        <v>3343</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8" thickBot="1">
      <c r="A47" s="945" t="s">
        <v>687</v>
      </c>
      <c r="B47" s="977" t="s">
        <v>688</v>
      </c>
      <c r="C47" s="977" t="s">
        <v>689</v>
      </c>
      <c r="D47" s="977" t="s">
        <v>690</v>
      </c>
      <c r="E47" s="1057" t="s">
        <v>691</v>
      </c>
      <c r="F47" s="1058"/>
      <c r="G47" s="721"/>
      <c r="I47" s="1412" t="s">
        <v>815</v>
      </c>
      <c r="J47" s="1413" t="s">
        <v>3406</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1357">
        <f ca="1">C49+C53+C55</f>
        <v>0</v>
      </c>
      <c r="D48" s="1111"/>
      <c r="E48" s="1112"/>
      <c r="F48" s="961"/>
      <c r="G48" s="721"/>
      <c r="H48" s="722"/>
      <c r="I48" s="1419" t="s">
        <v>819</v>
      </c>
      <c r="J48" s="1420" t="s">
        <v>3407</v>
      </c>
      <c r="K48" s="1421" t="s">
        <v>820</v>
      </c>
      <c r="L48" s="1422">
        <f ca="1">INDIRECT("'数据-取费表'!f"&amp;$G$1)</f>
        <v>0</v>
      </c>
      <c r="O48" s="1416" t="s">
        <v>404</v>
      </c>
      <c r="P48" s="1417" t="s">
        <v>821</v>
      </c>
      <c r="Q48" s="1418">
        <f ca="1">J60</f>
        <v>0</v>
      </c>
      <c r="R48" s="1418" t="s">
        <v>822</v>
      </c>
    </row>
    <row r="49" spans="1:18" s="1382" customFormat="1" ht="13.8" thickBot="1">
      <c r="A49" s="974" t="s">
        <v>439</v>
      </c>
      <c r="B49" s="1369" t="s">
        <v>779</v>
      </c>
      <c r="C49" s="1113">
        <f ca="1">ROUND(F49*F51*F50*(1-F52),0)</f>
        <v>0</v>
      </c>
      <c r="D49" s="1054" t="s">
        <v>695</v>
      </c>
      <c r="E49" s="1370" t="s">
        <v>780</v>
      </c>
      <c r="F49" s="1059"/>
      <c r="G49" s="1423"/>
      <c r="H49" s="722"/>
      <c r="I49" s="1419" t="s">
        <v>823</v>
      </c>
      <c r="J49" s="1424">
        <f>'数据-取费表'!N17</f>
        <v>2015</v>
      </c>
      <c r="K49" s="1421" t="s">
        <v>824</v>
      </c>
      <c r="L49" s="1425"/>
      <c r="O49" s="1426" t="s">
        <v>405</v>
      </c>
      <c r="P49" s="1417" t="s">
        <v>825</v>
      </c>
      <c r="Q49" s="1418">
        <f ca="1">C29</f>
        <v>0</v>
      </c>
      <c r="R49" s="1418" t="s">
        <v>818</v>
      </c>
    </row>
    <row r="50" spans="1:18" s="1382" customFormat="1" ht="13.8"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0.86699999999999999</v>
      </c>
      <c r="R50" s="1418"/>
    </row>
    <row r="51" spans="1:18" s="1382" customFormat="1" ht="13.8" thickBot="1">
      <c r="A51" s="976"/>
      <c r="B51" s="978"/>
      <c r="C51" s="979"/>
      <c r="D51" s="952"/>
      <c r="E51" s="980" t="s">
        <v>698</v>
      </c>
      <c r="F51" s="303">
        <f ca="1">F8</f>
        <v>0</v>
      </c>
      <c r="I51" s="1430" t="s">
        <v>829</v>
      </c>
      <c r="J51" s="1431">
        <f>IF(J49="",J50,J49+J50-YEAR('数据-取费表'!B2))</f>
        <v>52</v>
      </c>
      <c r="K51" s="1432" t="s">
        <v>830</v>
      </c>
      <c r="L51" s="1433">
        <f ca="1">ROUND(-PV(INDIRECT("'数据-取费表'!h"&amp;$G$1),J51,(C39-C13*C76),0),0)</f>
        <v>0</v>
      </c>
      <c r="M51" s="1434"/>
      <c r="O51" s="1426" t="s">
        <v>407</v>
      </c>
      <c r="P51" s="1417" t="s">
        <v>831</v>
      </c>
      <c r="Q51" s="1429">
        <f>J52</f>
        <v>7.5000000000000011E-2</v>
      </c>
      <c r="R51" s="1418"/>
    </row>
    <row r="52" spans="1:18" s="1382" customFormat="1" ht="13.8"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0</v>
      </c>
      <c r="K53" s="3718" t="s">
        <v>837</v>
      </c>
      <c r="L53" s="3719"/>
      <c r="O53" s="1416" t="s">
        <v>409</v>
      </c>
      <c r="P53" s="1417" t="s">
        <v>838</v>
      </c>
      <c r="Q53" s="1418" t="e">
        <f ca="1">Q47+Q48</f>
        <v>#DIV/0!</v>
      </c>
      <c r="R53" s="1418" t="s">
        <v>410</v>
      </c>
    </row>
    <row r="54" spans="1:18" s="1382" customFormat="1" ht="13.8"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0.86699999999999999</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3373</v>
      </c>
      <c r="K56" s="1419" t="s">
        <v>843</v>
      </c>
      <c r="L56" s="1422" t="str">
        <f ca="1">IF(L48&lt;J51,"——",L48-J51)</f>
        <v>——</v>
      </c>
      <c r="O56" s="1416" t="s">
        <v>403</v>
      </c>
      <c r="P56" s="1417" t="s">
        <v>817</v>
      </c>
      <c r="Q56" s="1418" t="e">
        <f ca="1">C40+J29</f>
        <v>#DIV/0!</v>
      </c>
      <c r="R56" s="1418" t="s">
        <v>818</v>
      </c>
    </row>
    <row r="57" spans="1:18" s="1382" customFormat="1" ht="24.6" thickBot="1">
      <c r="A57" s="1449"/>
      <c r="B57" s="949" t="s">
        <v>767</v>
      </c>
      <c r="C57" s="238">
        <f ca="1">C29</f>
        <v>0</v>
      </c>
      <c r="D57" s="1450"/>
      <c r="E57" s="1451"/>
      <c r="F57" s="1452"/>
      <c r="I57" s="1453" t="s">
        <v>844</v>
      </c>
      <c r="J57" s="1454">
        <f ca="1">IF(OR(M47="住宅",J51&lt;L48,J56="是"),"——",J51-L48)</f>
        <v>52</v>
      </c>
      <c r="K57" s="1419" t="s">
        <v>892</v>
      </c>
      <c r="L57" s="1422" t="str">
        <f ca="1">IF(L48&lt;J51,"——",IF(L55="比较法",L49,IF(L55="基准地价",L50,L51)))</f>
        <v>——</v>
      </c>
      <c r="O57" s="1416" t="s">
        <v>404</v>
      </c>
      <c r="P57" s="1417" t="s">
        <v>893</v>
      </c>
      <c r="Q57" s="1418">
        <f ca="1">L60</f>
        <v>0</v>
      </c>
      <c r="R57" s="1418" t="s">
        <v>894</v>
      </c>
    </row>
    <row r="58" spans="1:18" s="1382" customFormat="1" ht="24.6" thickBot="1">
      <c r="A58" s="315" t="s">
        <v>393</v>
      </c>
      <c r="B58" s="957" t="s">
        <v>714</v>
      </c>
      <c r="C58" s="316">
        <f ca="1">ROUND(C59+C64+C65+C66,0)</f>
        <v>0</v>
      </c>
      <c r="D58" s="959" t="s">
        <v>715</v>
      </c>
      <c r="E58" s="960"/>
      <c r="F58" s="961"/>
      <c r="I58" s="1453" t="s">
        <v>848</v>
      </c>
      <c r="J58" s="1455">
        <f ca="1">IF(J55&lt;0.4,0.4,J55)</f>
        <v>0.86699999999999999</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IF(项目基本情况!B11="自然人","——",IF(D61="按租金收入计税",ROUND(C49*F61/(1+'数据-取费表'!C42),0),IF(D61="按房产原值计税",ROUND(C57*F61*0.7,0),INDIRECT("'数据-取费表'!Aj"&amp;$G$1))))</f>
        <v>0</v>
      </c>
      <c r="D61" s="1368" t="s">
        <v>3326</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24.6"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2"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8" thickBot="1">
      <c r="A69" s="950"/>
      <c r="B69" s="951"/>
      <c r="C69" s="306"/>
      <c r="D69" s="969" t="s">
        <v>762</v>
      </c>
      <c r="E69" s="949" t="s">
        <v>763</v>
      </c>
      <c r="F69" s="333">
        <f ca="1">F41</f>
        <v>0</v>
      </c>
      <c r="O69" s="1426" t="s">
        <v>411</v>
      </c>
      <c r="P69" s="1465" t="s">
        <v>872</v>
      </c>
      <c r="Q69" s="1418">
        <f ca="1">C39</f>
        <v>0</v>
      </c>
      <c r="R69" s="1418" t="s">
        <v>818</v>
      </c>
    </row>
    <row r="70" spans="1:18" s="1382" customFormat="1" ht="13.8" thickBot="1">
      <c r="A70" s="953"/>
      <c r="B70" s="954"/>
      <c r="C70" s="310"/>
      <c r="D70" s="965"/>
      <c r="E70" s="949" t="s">
        <v>766</v>
      </c>
      <c r="F70" s="1053"/>
      <c r="O70" s="1426" t="s">
        <v>412</v>
      </c>
      <c r="P70" s="1465" t="s">
        <v>873</v>
      </c>
      <c r="Q70" s="1418">
        <f ca="1">C13</f>
        <v>0</v>
      </c>
      <c r="R70" s="1418" t="s">
        <v>818</v>
      </c>
    </row>
    <row r="71" spans="1:18" s="1382" customFormat="1" ht="13.8"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B3" sqref="B3"/>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20" customWidth="1"/>
    <col min="33" max="36" width="9.33203125" style="2049" customWidth="1"/>
    <col min="37" max="38" width="9.33203125" style="1994" customWidth="1"/>
    <col min="39" max="16384" width="12" style="1994"/>
  </cols>
  <sheetData>
    <row r="1" spans="1:36" ht="31.2">
      <c r="A1" s="196" t="s">
        <v>1923</v>
      </c>
      <c r="B1" s="197"/>
      <c r="C1" s="201" t="s">
        <v>1924</v>
      </c>
      <c r="D1" s="342">
        <f>SUM(D33:D34,D37:D42)</f>
        <v>43006.62</v>
      </c>
      <c r="E1" s="1991"/>
      <c r="F1" s="1991"/>
      <c r="G1" s="1991"/>
      <c r="H1" s="1991"/>
      <c r="I1" s="1991"/>
      <c r="J1" s="1991"/>
      <c r="K1" s="1118"/>
      <c r="L1" s="1992" t="s">
        <v>1925</v>
      </c>
      <c r="M1" s="862">
        <f>SUMPRODUCT((区片价!B5:B9=I2)*(区片价!C3:G3=E2)*(区片价!C5:G9))</f>
        <v>0</v>
      </c>
      <c r="N1" s="865">
        <f>SUMPRODUCT((因素修正幅度!B5:B9=I2)*(因素修正幅度!C3:G3=E2)*(因素修正幅度!C5:G9))</f>
        <v>0</v>
      </c>
      <c r="O1" s="1993"/>
      <c r="P1" s="1993"/>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6">
      <c r="A2" s="201" t="s">
        <v>1931</v>
      </c>
      <c r="B2" s="204">
        <f>C30</f>
        <v>48292</v>
      </c>
      <c r="C2" s="1995" t="s">
        <v>1932</v>
      </c>
      <c r="D2" s="1996" t="s">
        <v>1933</v>
      </c>
      <c r="E2" s="3415" t="s">
        <v>673</v>
      </c>
      <c r="F2" s="1996" t="s">
        <v>1934</v>
      </c>
      <c r="G2" s="1997" t="str">
        <f>IF(E2="商业",项目基本情况!B37,IF(E2="办公",项目基本情况!C37,IF(E2="住宅",项目基本情况!D37,IF(E2="工业",项目基本情况!E37,项目基本情况!F37))))</f>
        <v>四级</v>
      </c>
      <c r="H2" s="1996" t="s">
        <v>1935</v>
      </c>
      <c r="I2" s="1997" t="str">
        <f>IF(E2="商业",项目基本情况!B38,IF(E2="办公",项目基本情况!C38,IF(E2="住宅",项目基本情况!D38,IF(E2="工业",项目基本情况!E38,项目基本情况!F38))))</f>
        <v>Ⅳ-通1</v>
      </c>
      <c r="J2" s="1998"/>
      <c r="K2" s="1118"/>
      <c r="L2" s="1999" t="s">
        <v>1936</v>
      </c>
      <c r="M2" s="863">
        <f>SUMPRODUCT((区片价!B10:B29=I2)*(区片价!C3:G3=E2)*(区片价!C10:G29))</f>
        <v>0</v>
      </c>
      <c r="N2" s="865">
        <f>SUMPRODUCT((因素修正幅度!B10:B29=I2)*(因素修正幅度!C3:G3=E2)*(因素修正幅度!C10:G29))</f>
        <v>0</v>
      </c>
      <c r="O2" s="1118"/>
      <c r="P2" s="1118"/>
      <c r="Q2" s="1118"/>
      <c r="R2" s="1210">
        <v>1</v>
      </c>
      <c r="S2" s="3354">
        <f>ROUND(SUMPRODUCT((B106:B110=R2)*(C105:N105=G2)*(C106:N110)),4)</f>
        <v>1.5019</v>
      </c>
      <c r="T2" s="3354">
        <f t="shared" ref="T2:T16" si="0">ROUND($C$5*$C$22*$C$23*$C$24*S2*$C$28,0)</f>
        <v>20716</v>
      </c>
      <c r="U2" s="1211"/>
      <c r="V2" s="3354">
        <f>ROUND(T2*U2/10000,0)</f>
        <v>0</v>
      </c>
      <c r="W2" s="1214"/>
      <c r="X2" s="1214"/>
      <c r="Y2" s="1214"/>
      <c r="Z2" s="1214"/>
      <c r="AA2" s="1214"/>
      <c r="AB2" s="1214"/>
      <c r="AC2" s="1215"/>
      <c r="AD2" s="1216"/>
      <c r="AE2" s="1216"/>
      <c r="AF2" s="1216"/>
      <c r="AG2" s="1216"/>
      <c r="AH2" s="1216"/>
      <c r="AI2" s="1216"/>
      <c r="AJ2" s="1217"/>
    </row>
    <row r="3" spans="1:36" ht="15.6">
      <c r="A3" s="203" t="s">
        <v>1937</v>
      </c>
      <c r="B3" s="204">
        <f>ROUND(B2*10000/D1,0)</f>
        <v>11229</v>
      </c>
      <c r="C3" s="1995" t="s">
        <v>1938</v>
      </c>
      <c r="D3" s="1996" t="s">
        <v>1939</v>
      </c>
      <c r="E3" s="3413" t="s">
        <v>2434</v>
      </c>
      <c r="F3" s="2000" t="s">
        <v>3588</v>
      </c>
      <c r="G3" s="751">
        <f>IF(F3="宗地容积率",'数据-汇总表'!I4,IF(F3="估价对象容积率",'数据-汇总表'!I6,'数据-汇总表'!I7))</f>
        <v>4.5</v>
      </c>
      <c r="H3" s="170" t="s">
        <v>1940</v>
      </c>
      <c r="I3" s="774"/>
      <c r="J3" s="1998" t="s">
        <v>1941</v>
      </c>
      <c r="K3" s="1118"/>
      <c r="L3" s="1999" t="s">
        <v>1942</v>
      </c>
      <c r="M3" s="863">
        <f>SUMPRODUCT((区片价!B30:B54=I2)*(区片价!C3:G3=E2)*(区片价!C30:G54))</f>
        <v>0</v>
      </c>
      <c r="N3" s="865">
        <f>SUMPRODUCT((因素修正幅度!B30:B54=I2)*(因素修正幅度!C3:G3=E2)*(因素修正幅度!C30:G54))</f>
        <v>0</v>
      </c>
      <c r="O3" s="1118"/>
      <c r="P3" s="1118"/>
      <c r="Q3" s="1118"/>
      <c r="R3" s="1210">
        <v>2</v>
      </c>
      <c r="S3" s="3354">
        <f>ROUND(SUMPRODUCT((B106:B110=R3)*(C105:N105=G2)*(C106:N110)),4)</f>
        <v>1.1838</v>
      </c>
      <c r="T3" s="3354">
        <f t="shared" si="0"/>
        <v>16329</v>
      </c>
      <c r="U3" s="1211"/>
      <c r="V3" s="3354">
        <f t="shared" ref="V3:V16" si="1">ROUND(T3*U3/10000,0)</f>
        <v>0</v>
      </c>
      <c r="W3" s="1214"/>
      <c r="X3" s="1214"/>
      <c r="Y3" s="1214"/>
      <c r="Z3" s="1214"/>
      <c r="AA3" s="1214"/>
      <c r="AB3" s="1214"/>
      <c r="AC3" s="1215"/>
      <c r="AD3" s="1216"/>
      <c r="AE3" s="1216"/>
      <c r="AF3" s="1216"/>
      <c r="AG3" s="1216"/>
      <c r="AH3" s="1216"/>
      <c r="AI3" s="1216"/>
      <c r="AJ3" s="1217"/>
    </row>
    <row r="4" spans="1:36" ht="15.6">
      <c r="A4" s="3727"/>
      <c r="B4" s="3728"/>
      <c r="C4" s="3728"/>
      <c r="D4" s="3729"/>
      <c r="E4" s="3729"/>
      <c r="F4" s="3729"/>
      <c r="G4" s="3729"/>
      <c r="H4" s="3729"/>
      <c r="I4" s="3729"/>
      <c r="J4" s="3730"/>
      <c r="K4" s="1118"/>
      <c r="L4" s="1999" t="s">
        <v>1943</v>
      </c>
      <c r="M4" s="863">
        <f>SUMPRODUCT((区片价!B55:B86=I2)*(区片价!C3:G3=E2)*(区片价!C55:G86))</f>
        <v>16610</v>
      </c>
      <c r="N4" s="865">
        <f>SUMPRODUCT((因素修正幅度!B55:B86=I2)*(因素修正幅度!C3:G3=E2)*(因素修正幅度!C55:G86))</f>
        <v>9.8000000000000004E-2</v>
      </c>
      <c r="O4" s="1118"/>
      <c r="P4" s="1118"/>
      <c r="Q4" s="1118"/>
      <c r="R4" s="1210">
        <v>3</v>
      </c>
      <c r="S4" s="3354">
        <f>ROUND(SUMPRODUCT((B106:B110=R4)*(C105:N105=G2)*(C106:N110)),4)</f>
        <v>1.0004999999999999</v>
      </c>
      <c r="T4" s="3354">
        <f t="shared" si="0"/>
        <v>13800</v>
      </c>
      <c r="U4" s="1211"/>
      <c r="V4" s="3354">
        <f t="shared" si="1"/>
        <v>0</v>
      </c>
      <c r="W4" s="1214"/>
      <c r="X4" s="1214"/>
      <c r="Y4" s="1214"/>
      <c r="Z4" s="1214"/>
      <c r="AA4" s="1214"/>
      <c r="AB4" s="1214"/>
      <c r="AC4" s="1215"/>
      <c r="AD4" s="1216"/>
      <c r="AE4" s="1216"/>
      <c r="AF4" s="1216"/>
      <c r="AG4" s="1216"/>
      <c r="AH4" s="1216"/>
      <c r="AI4" s="1216"/>
      <c r="AJ4" s="1217"/>
    </row>
    <row r="5" spans="1:36" s="2010" customFormat="1" ht="15.6" thickBot="1">
      <c r="A5" s="2001" t="s">
        <v>362</v>
      </c>
      <c r="B5" s="2002" t="s">
        <v>1944</v>
      </c>
      <c r="C5" s="752">
        <f>ROUND(IF(E2="商业",C6*C7*C17+C20,(IF(E2="住宅",C6*C13*C17+C20,IF(E2="办公",C6*C12*C17+C20,C6+C20)))),0)</f>
        <v>16574</v>
      </c>
      <c r="D5" s="1337">
        <f>ROUND(C6*C17+C20,0)</f>
        <v>16574</v>
      </c>
      <c r="E5" s="1337"/>
      <c r="F5" s="2003"/>
      <c r="G5" s="2004"/>
      <c r="H5" s="2004"/>
      <c r="I5" s="2004"/>
      <c r="J5" s="2005"/>
      <c r="K5" s="2006"/>
      <c r="L5" s="1999" t="s">
        <v>1945</v>
      </c>
      <c r="M5" s="863">
        <f>SUMPRODUCT((区片价!B87:B126=I2)*(区片价!C3:G3=E2)*(区片价!C87:G126))</f>
        <v>0</v>
      </c>
      <c r="N5" s="865">
        <f>SUMPRODUCT((因素修正幅度!B87:B126=I2)*(因素修正幅度!C3:G3=E2)*(因素修正幅度!C87:G126))</f>
        <v>0</v>
      </c>
      <c r="O5" s="1118"/>
      <c r="P5" s="1118"/>
      <c r="Q5" s="1118"/>
      <c r="R5" s="1210">
        <v>4</v>
      </c>
      <c r="S5" s="3354">
        <f>ROUND(SUMPRODUCT((B106:B110=R5)*(C105:N105=G2)*(C106:N110)),4)</f>
        <v>0.88239999999999996</v>
      </c>
      <c r="T5" s="3354">
        <f t="shared" si="0"/>
        <v>12171</v>
      </c>
      <c r="U5" s="1211"/>
      <c r="V5" s="3354">
        <f t="shared" si="1"/>
        <v>0</v>
      </c>
      <c r="W5" s="1214"/>
      <c r="X5" s="1214"/>
      <c r="Y5" s="1214"/>
      <c r="Z5" s="1214"/>
      <c r="AA5" s="1214"/>
      <c r="AB5" s="1214"/>
      <c r="AC5" s="2007"/>
      <c r="AD5" s="2008"/>
      <c r="AE5" s="2008"/>
      <c r="AF5" s="2008"/>
      <c r="AG5" s="2008"/>
      <c r="AH5" s="2008"/>
      <c r="AI5" s="2008"/>
      <c r="AJ5" s="2009"/>
    </row>
    <row r="6" spans="1:36" ht="15.6" thickBot="1">
      <c r="A6" s="2011" t="s">
        <v>1946</v>
      </c>
      <c r="B6" s="2012" t="s">
        <v>1947</v>
      </c>
      <c r="C6" s="753">
        <f>SUMIF(L1:L12,G2,M1:M12)</f>
        <v>16610</v>
      </c>
      <c r="D6" s="2013"/>
      <c r="E6" s="2014"/>
      <c r="F6" s="2014"/>
      <c r="G6" s="2015"/>
      <c r="H6" s="2015"/>
      <c r="I6" s="2015"/>
      <c r="J6" s="2016"/>
      <c r="K6" s="1382"/>
      <c r="L6" s="1999" t="s">
        <v>1948</v>
      </c>
      <c r="M6" s="863">
        <f>SUMPRODUCT((区片价!B127:B189=I2)*(区片价!C3:G3=E2)*(区片价!C127:G189))</f>
        <v>0</v>
      </c>
      <c r="N6" s="865">
        <f>SUMPRODUCT((因素修正幅度!B127:B189=I2)*(因素修正幅度!C3:G3=E2)*(因素修正幅度!C127:G189))</f>
        <v>0</v>
      </c>
      <c r="O6" s="1118"/>
      <c r="P6" s="1118"/>
      <c r="Q6" s="1118"/>
      <c r="R6" s="1210">
        <v>5</v>
      </c>
      <c r="S6" s="3354">
        <f>ROUND(SUMPRODUCT((B106:B110=R6)*(C105:N105=G2)*(C106:N110)),4)</f>
        <v>0.84799999999999998</v>
      </c>
      <c r="T6" s="3354">
        <f t="shared" si="0"/>
        <v>11697</v>
      </c>
      <c r="U6" s="1211"/>
      <c r="V6" s="3354">
        <f t="shared" si="1"/>
        <v>0</v>
      </c>
      <c r="W6" s="1214"/>
      <c r="X6" s="1214"/>
      <c r="Y6" s="1214"/>
      <c r="Z6" s="1214"/>
      <c r="AA6" s="1214"/>
      <c r="AB6" s="1214"/>
      <c r="AC6" s="2007"/>
      <c r="AD6" s="2008"/>
      <c r="AE6" s="2008"/>
      <c r="AF6" s="2008"/>
      <c r="AG6" s="2008"/>
      <c r="AH6" s="2008"/>
      <c r="AI6" s="2008"/>
      <c r="AJ6" s="2009"/>
    </row>
    <row r="7" spans="1:36" ht="24.6" thickBot="1">
      <c r="A7" s="3297" t="s">
        <v>3228</v>
      </c>
      <c r="B7" s="2017" t="s">
        <v>1949</v>
      </c>
      <c r="C7" s="754">
        <f>IF(C8="不临65条商业街",1,ROUND(1+(1.6*E8+1.2*E9+0.8*E10+0.4*E11)*C9,4))</f>
        <v>1</v>
      </c>
      <c r="D7" s="2018" t="s">
        <v>1950</v>
      </c>
      <c r="E7" s="775"/>
      <c r="F7" s="2019"/>
      <c r="G7" s="2020"/>
      <c r="H7" s="2020"/>
      <c r="I7" s="2020"/>
      <c r="J7" s="2021"/>
      <c r="K7" s="1382"/>
      <c r="L7" s="1999" t="s">
        <v>1951</v>
      </c>
      <c r="M7" s="863">
        <f>SUMPRODUCT((区片价!B190:B233=I2)*(区片价!C3:G3=E2)*(区片价!C190:G233))</f>
        <v>0</v>
      </c>
      <c r="N7" s="865">
        <f>SUMPRODUCT((因素修正幅度!B190:B233=I2)*(因素修正幅度!C3:G3=E2)*(因素修正幅度!C190:G233))</f>
        <v>0</v>
      </c>
      <c r="O7" s="1118"/>
      <c r="P7" s="1118"/>
      <c r="Q7" s="1118"/>
      <c r="R7" s="1210">
        <v>6</v>
      </c>
      <c r="S7" s="3412"/>
      <c r="T7" s="3354">
        <f t="shared" si="0"/>
        <v>0</v>
      </c>
      <c r="U7" s="1211"/>
      <c r="V7" s="3354">
        <f t="shared" si="1"/>
        <v>0</v>
      </c>
      <c r="W7" s="1356" t="s">
        <v>1952</v>
      </c>
      <c r="X7" s="1212" t="str">
        <f>G2</f>
        <v>四级</v>
      </c>
      <c r="Y7" s="1212" t="s">
        <v>1953</v>
      </c>
      <c r="Z7" s="1213">
        <f>G3</f>
        <v>4.5</v>
      </c>
      <c r="AA7" s="1214"/>
      <c r="AB7" s="1214"/>
      <c r="AC7" s="1215"/>
      <c r="AD7" s="1216"/>
      <c r="AE7" s="1216"/>
      <c r="AF7" s="1216"/>
      <c r="AG7" s="1216"/>
      <c r="AH7" s="1216"/>
      <c r="AI7" s="1216"/>
      <c r="AJ7" s="1217"/>
    </row>
    <row r="8" spans="1:36" ht="26.4">
      <c r="A8" s="3292"/>
      <c r="B8" s="170" t="s">
        <v>1954</v>
      </c>
      <c r="C8" s="2022" t="s">
        <v>3493</v>
      </c>
      <c r="D8" s="755" t="s">
        <v>112</v>
      </c>
      <c r="E8" s="756" t="e">
        <f>ROUND(C11/E7,4)</f>
        <v>#DIV/0!</v>
      </c>
      <c r="F8" s="2023" t="s">
        <v>1955</v>
      </c>
      <c r="G8" s="2024"/>
      <c r="H8" s="2024"/>
      <c r="I8" s="2024"/>
      <c r="J8" s="2025"/>
      <c r="K8" s="1118"/>
      <c r="L8" s="1999" t="s">
        <v>1956</v>
      </c>
      <c r="M8" s="863">
        <f>SUMPRODUCT((区片价!B234:B276=I2)*(区片价!C3:G3=E2)*(区片价!C234:G276))</f>
        <v>0</v>
      </c>
      <c r="N8" s="865">
        <f>SUMPRODUCT((因素修正幅度!B234:B276=I2)*(因素修正幅度!C3:G3=E2)*(因素修正幅度!C234:G276))</f>
        <v>0</v>
      </c>
      <c r="O8" s="1118"/>
      <c r="P8" s="1118"/>
      <c r="Q8" s="1118"/>
      <c r="R8" s="1210">
        <v>7</v>
      </c>
      <c r="S8" s="1211"/>
      <c r="T8" s="3354">
        <f t="shared" si="0"/>
        <v>0</v>
      </c>
      <c r="U8" s="1211"/>
      <c r="V8" s="3354">
        <f t="shared" si="1"/>
        <v>0</v>
      </c>
      <c r="W8" s="3724" t="s">
        <v>1957</v>
      </c>
      <c r="X8" s="3725"/>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2"/>
      <c r="B9" s="170" t="s">
        <v>1970</v>
      </c>
      <c r="C9" s="757">
        <f>SUMIF(修正!C71:C138,C8,修正!E71:E138)</f>
        <v>0</v>
      </c>
      <c r="D9" s="171" t="s">
        <v>113</v>
      </c>
      <c r="E9" s="171" t="e">
        <f>ROUND(C11/E7,4)</f>
        <v>#DIV/0!</v>
      </c>
      <c r="F9" s="2023" t="s">
        <v>1971</v>
      </c>
      <c r="G9" s="2024"/>
      <c r="H9" s="2024"/>
      <c r="I9" s="2024"/>
      <c r="J9" s="2025"/>
      <c r="K9" s="1118"/>
      <c r="L9" s="1999" t="s">
        <v>1972</v>
      </c>
      <c r="M9" s="863">
        <f>SUMPRODUCT((区片价!B277:B326=I2)*(区片价!C3:G3=E2)*(区片价!C277:G326))</f>
        <v>0</v>
      </c>
      <c r="N9" s="865">
        <f>SUMPRODUCT((因素修正幅度!B277:B326=I2)*(因素修正幅度!C3:G3=E2)*(因素修正幅度!C277:G326))</f>
        <v>0</v>
      </c>
      <c r="O9" s="1118"/>
      <c r="P9" s="1118"/>
      <c r="Q9" s="1118"/>
      <c r="R9" s="1210">
        <v>8</v>
      </c>
      <c r="S9" s="1211"/>
      <c r="T9" s="3354">
        <f t="shared" si="0"/>
        <v>0</v>
      </c>
      <c r="U9" s="1211"/>
      <c r="V9" s="3354">
        <f t="shared" si="1"/>
        <v>0</v>
      </c>
      <c r="W9" s="3726"/>
      <c r="X9" s="3355" t="s">
        <v>3258</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1973</v>
      </c>
      <c r="C10" s="171">
        <f>SUMIF(修正!C71:C138,C8,修正!F71:F138)</f>
        <v>0</v>
      </c>
      <c r="D10" s="171" t="s">
        <v>114</v>
      </c>
      <c r="E10" s="171" t="e">
        <f>ROUND(C11/E7,4)</f>
        <v>#DIV/0!</v>
      </c>
      <c r="F10" s="2023" t="s">
        <v>1974</v>
      </c>
      <c r="G10" s="2024"/>
      <c r="H10" s="2024"/>
      <c r="I10" s="2024"/>
      <c r="J10" s="2025"/>
      <c r="K10" s="1118"/>
      <c r="L10" s="1999"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4">
        <f t="shared" si="0"/>
        <v>0</v>
      </c>
      <c r="U10" s="1211"/>
      <c r="V10" s="3354">
        <f t="shared" si="1"/>
        <v>0</v>
      </c>
      <c r="W10" s="372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6" thickBot="1">
      <c r="A11" s="3296"/>
      <c r="B11" s="2026" t="s">
        <v>1976</v>
      </c>
      <c r="C11" s="758">
        <f>C10/4</f>
        <v>0</v>
      </c>
      <c r="D11" s="758" t="s">
        <v>115</v>
      </c>
      <c r="E11" s="758" t="e">
        <f>ROUND(C11/E7,4)</f>
        <v>#DIV/0!</v>
      </c>
      <c r="F11" s="2027" t="s">
        <v>1977</v>
      </c>
      <c r="G11" s="2028"/>
      <c r="H11" s="2028"/>
      <c r="I11" s="2028"/>
      <c r="J11" s="2029"/>
      <c r="K11" s="1118"/>
      <c r="L11" s="1999"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4">
        <f t="shared" si="0"/>
        <v>0</v>
      </c>
      <c r="U11" s="1211"/>
      <c r="V11" s="3354">
        <f t="shared" si="1"/>
        <v>0</v>
      </c>
      <c r="W11" s="1214"/>
      <c r="X11" s="1214"/>
      <c r="Y11" s="1214"/>
      <c r="Z11" s="1214"/>
      <c r="AA11" s="1214"/>
      <c r="AB11" s="1214"/>
      <c r="AC11" s="1215"/>
      <c r="AD11" s="2782"/>
      <c r="AE11" s="2782"/>
      <c r="AF11" s="2782"/>
      <c r="AG11" s="2782"/>
      <c r="AH11" s="2782"/>
      <c r="AI11" s="2782"/>
      <c r="AJ11" s="2783"/>
    </row>
    <row r="12" spans="1:36" ht="25.8" thickBot="1">
      <c r="A12" s="3297" t="s">
        <v>3229</v>
      </c>
      <c r="B12" s="3298" t="s">
        <v>3230</v>
      </c>
      <c r="C12" s="3299">
        <v>1</v>
      </c>
      <c r="D12" s="3300" t="s">
        <v>3231</v>
      </c>
      <c r="E12" s="3301" t="s">
        <v>3232</v>
      </c>
      <c r="F12" s="3302"/>
      <c r="G12" s="3303"/>
      <c r="H12" s="3303"/>
      <c r="I12" s="3303"/>
      <c r="J12" s="3304"/>
      <c r="K12" s="1118"/>
      <c r="L12" s="2035"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4">
        <f t="shared" si="0"/>
        <v>0</v>
      </c>
      <c r="U12" s="1211"/>
      <c r="V12" s="3354">
        <f t="shared" si="1"/>
        <v>0</v>
      </c>
      <c r="W12" s="1214"/>
      <c r="X12" s="1214"/>
      <c r="Y12" s="1214"/>
      <c r="Z12" s="1214"/>
      <c r="AA12" s="1214"/>
      <c r="AB12" s="1214"/>
      <c r="AC12" s="1215"/>
      <c r="AD12" s="2782"/>
      <c r="AE12" s="2782"/>
      <c r="AF12" s="2782"/>
      <c r="AG12" s="2782"/>
      <c r="AH12" s="2782"/>
      <c r="AI12" s="2782"/>
      <c r="AJ12" s="2783"/>
    </row>
    <row r="13" spans="1:36" ht="24.6" thickBot="1">
      <c r="A13" s="3297" t="s">
        <v>3233</v>
      </c>
      <c r="B13" s="2030" t="s">
        <v>1979</v>
      </c>
      <c r="C13" s="754">
        <f>ROUND(C16*D16*E16*F16*G16*H16*I16*J16,4)</f>
        <v>0</v>
      </c>
      <c r="D13" s="2031" t="s">
        <v>1980</v>
      </c>
      <c r="E13" s="2032"/>
      <c r="F13" s="2032"/>
      <c r="G13" s="2033"/>
      <c r="H13" s="2033"/>
      <c r="I13" s="2033"/>
      <c r="J13" s="2034"/>
      <c r="K13" s="1118"/>
      <c r="L13" s="3293"/>
      <c r="M13" s="3294"/>
      <c r="N13" s="3295"/>
      <c r="O13" s="1118"/>
      <c r="P13" s="1118"/>
      <c r="Q13" s="1118"/>
      <c r="R13" s="1210">
        <v>12</v>
      </c>
      <c r="S13" s="1211"/>
      <c r="T13" s="3354">
        <f t="shared" si="0"/>
        <v>0</v>
      </c>
      <c r="U13" s="1211"/>
      <c r="V13" s="3354">
        <f t="shared" si="1"/>
        <v>0</v>
      </c>
      <c r="W13" s="1214"/>
      <c r="X13" s="1214"/>
      <c r="Y13" s="1214"/>
      <c r="Z13" s="1214"/>
      <c r="AA13" s="1214"/>
      <c r="AB13" s="1214"/>
      <c r="AC13" s="1215"/>
      <c r="AD13" s="2782"/>
      <c r="AE13" s="2782"/>
      <c r="AF13" s="2782"/>
      <c r="AG13" s="2782"/>
      <c r="AH13" s="2782"/>
      <c r="AI13" s="2782"/>
      <c r="AJ13" s="2783"/>
    </row>
    <row r="14" spans="1:36" ht="24">
      <c r="A14" s="3291"/>
      <c r="B14" s="2036" t="s">
        <v>1982</v>
      </c>
      <c r="C14" s="2037" t="s">
        <v>1983</v>
      </c>
      <c r="D14" s="1348" t="s">
        <v>1984</v>
      </c>
      <c r="E14" s="27" t="s">
        <v>1985</v>
      </c>
      <c r="F14" s="3305" t="s">
        <v>3234</v>
      </c>
      <c r="G14" s="3305" t="s">
        <v>3234</v>
      </c>
      <c r="H14" s="3305" t="s">
        <v>3234</v>
      </c>
      <c r="I14" s="3305" t="s">
        <v>3234</v>
      </c>
      <c r="J14" s="3305" t="s">
        <v>3234</v>
      </c>
      <c r="K14" s="1118"/>
      <c r="L14" s="1118"/>
      <c r="M14" s="1118"/>
      <c r="N14" s="1118"/>
      <c r="O14" s="1118"/>
      <c r="P14" s="1118"/>
      <c r="Q14" s="1118"/>
      <c r="R14" s="1210">
        <v>13</v>
      </c>
      <c r="S14" s="1211"/>
      <c r="T14" s="3354">
        <f t="shared" si="0"/>
        <v>0</v>
      </c>
      <c r="U14" s="1211"/>
      <c r="V14" s="3354">
        <f t="shared" si="1"/>
        <v>0</v>
      </c>
      <c r="W14" s="1214"/>
      <c r="X14" s="1214"/>
      <c r="Y14" s="1214"/>
      <c r="Z14" s="1214"/>
      <c r="AA14" s="1214"/>
      <c r="AB14" s="1214"/>
      <c r="AC14" s="1215"/>
      <c r="AD14" s="2782"/>
      <c r="AE14" s="2782"/>
      <c r="AF14" s="2782"/>
      <c r="AG14" s="2782"/>
      <c r="AH14" s="2782"/>
      <c r="AI14" s="2782"/>
      <c r="AJ14" s="2783"/>
    </row>
    <row r="15" spans="1:36" ht="15">
      <c r="A15" s="3291"/>
      <c r="B15" s="2038"/>
      <c r="C15" s="2039"/>
      <c r="D15" s="2040"/>
      <c r="E15" s="2041"/>
      <c r="F15" s="3306" t="s">
        <v>3235</v>
      </c>
      <c r="G15" s="3307"/>
      <c r="H15" s="3308"/>
      <c r="I15" s="3309"/>
      <c r="J15" s="3310"/>
      <c r="K15" s="1118"/>
      <c r="L15" s="1118"/>
      <c r="M15" s="1118"/>
      <c r="N15" s="1118"/>
      <c r="O15" s="1118"/>
      <c r="P15" s="1118"/>
      <c r="Q15" s="1118"/>
      <c r="R15" s="1210">
        <v>14</v>
      </c>
      <c r="S15" s="1211"/>
      <c r="T15" s="3354">
        <f t="shared" si="0"/>
        <v>0</v>
      </c>
      <c r="U15" s="1211"/>
      <c r="V15" s="3354">
        <f t="shared" si="1"/>
        <v>0</v>
      </c>
      <c r="W15" s="1214"/>
      <c r="X15" s="1214"/>
      <c r="Y15" s="1214"/>
      <c r="Z15" s="1214"/>
      <c r="AA15" s="1214"/>
      <c r="AB15" s="1214"/>
      <c r="AC15" s="1215"/>
      <c r="AD15" s="2782"/>
      <c r="AE15" s="2782"/>
      <c r="AF15" s="2782"/>
      <c r="AG15" s="2782"/>
      <c r="AH15" s="2782"/>
      <c r="AI15" s="2782"/>
      <c r="AJ15" s="2783"/>
    </row>
    <row r="16" spans="1:36" ht="15.6" thickBot="1">
      <c r="A16" s="3291"/>
      <c r="B16" s="3313" t="s">
        <v>1986</v>
      </c>
      <c r="C16" s="3311"/>
      <c r="D16" s="3311"/>
      <c r="E16" s="3311"/>
      <c r="F16" s="3311">
        <v>1</v>
      </c>
      <c r="G16" s="3311">
        <v>1</v>
      </c>
      <c r="H16" s="3311">
        <v>1</v>
      </c>
      <c r="I16" s="3311">
        <v>1</v>
      </c>
      <c r="J16" s="3312">
        <v>1</v>
      </c>
      <c r="K16" s="1118"/>
      <c r="L16" s="1993"/>
      <c r="M16" s="1993"/>
      <c r="N16" s="1993"/>
      <c r="O16" s="1993"/>
      <c r="P16" s="1993"/>
      <c r="Q16" s="1118"/>
      <c r="R16" s="1210">
        <v>15</v>
      </c>
      <c r="S16" s="1211"/>
      <c r="T16" s="3354">
        <f t="shared" si="0"/>
        <v>0</v>
      </c>
      <c r="U16" s="1211"/>
      <c r="V16" s="3354">
        <f t="shared" si="1"/>
        <v>0</v>
      </c>
      <c r="W16" s="1214"/>
      <c r="X16" s="1214"/>
      <c r="Y16" s="1214"/>
      <c r="Z16" s="1214"/>
      <c r="AA16" s="1214"/>
      <c r="AB16" s="1214"/>
      <c r="AC16" s="1215"/>
      <c r="AD16" s="2782"/>
      <c r="AE16" s="2782"/>
      <c r="AF16" s="2782"/>
      <c r="AG16" s="2782"/>
      <c r="AH16" s="2782"/>
      <c r="AI16" s="2782"/>
      <c r="AJ16" s="2783"/>
    </row>
    <row r="17" spans="1:37" ht="24">
      <c r="A17" s="3323" t="s">
        <v>3236</v>
      </c>
      <c r="B17" s="3314" t="s">
        <v>3237</v>
      </c>
      <c r="C17" s="3324">
        <f>ROUND(IF(OR(E2="工业",E2="公共服务"),1,IF(AND(E18=0,E19=0),1,IF(AND(E18=J24,E19=G19),0.8,IF(E19=0,1+E17*(-0.2),1+E17*G17*(-0.2))))),4)</f>
        <v>1</v>
      </c>
      <c r="D17" s="3315" t="s">
        <v>3238</v>
      </c>
      <c r="E17" s="3324">
        <f>ROUND(G18/I18,2)</f>
        <v>0</v>
      </c>
      <c r="F17" s="3315" t="s">
        <v>3241</v>
      </c>
      <c r="G17" s="3324" t="e">
        <f>ROUND(E19/G19,2)</f>
        <v>#DIV/0!</v>
      </c>
      <c r="H17" s="3324"/>
      <c r="I17" s="3324"/>
      <c r="J17" s="3325"/>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3.8">
      <c r="A18" s="3326"/>
      <c r="B18" s="3003"/>
      <c r="C18" s="3321"/>
      <c r="D18" s="3316" t="s">
        <v>3239</v>
      </c>
      <c r="E18" s="3322"/>
      <c r="F18" s="3317" t="s">
        <v>3242</v>
      </c>
      <c r="G18" s="3321">
        <f>ROUND(1-(1/(POWER(1+G24,E18))),4)</f>
        <v>0</v>
      </c>
      <c r="H18" s="3317" t="s">
        <v>3244</v>
      </c>
      <c r="I18" s="3321">
        <f>ROUND(1-(1/(POWER(1+G24,J24))),4)</f>
        <v>0.88249999999999995</v>
      </c>
      <c r="J18" s="3327"/>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1"/>
    </row>
    <row r="19" spans="1:37" s="2010" customFormat="1" ht="14.4" thickBot="1">
      <c r="A19" s="3328"/>
      <c r="B19" s="3329"/>
      <c r="C19" s="3330"/>
      <c r="D19" s="3330" t="s">
        <v>3240</v>
      </c>
      <c r="E19" s="3331"/>
      <c r="F19" s="3332" t="s">
        <v>3243</v>
      </c>
      <c r="G19" s="3331"/>
      <c r="H19" s="3330"/>
      <c r="I19" s="3330"/>
      <c r="J19" s="3333"/>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4"/>
      <c r="AH19" s="2137"/>
      <c r="AI19" s="2785"/>
      <c r="AJ19" s="2785"/>
      <c r="AK19" s="2053"/>
    </row>
    <row r="20" spans="1:37" s="2010" customFormat="1" ht="13.8">
      <c r="A20" s="3731" t="s">
        <v>3245</v>
      </c>
      <c r="B20" s="167" t="s">
        <v>1991</v>
      </c>
      <c r="C20" s="3318">
        <f>ROUND(IF(F21="与级别开发程度一致",0,(G21-E21)/C21),0)</f>
        <v>-36</v>
      </c>
      <c r="D20" s="3334" t="s">
        <v>1995</v>
      </c>
      <c r="E20" s="3335"/>
      <c r="F20" s="3737" t="s">
        <v>1992</v>
      </c>
      <c r="G20" s="3738"/>
      <c r="H20" s="3319" t="s">
        <v>3375</v>
      </c>
      <c r="I20" s="3319" t="s">
        <v>3376</v>
      </c>
      <c r="J20" s="3320" t="s">
        <v>3377</v>
      </c>
      <c r="K20" s="2043" t="s">
        <v>3378</v>
      </c>
      <c r="L20" s="2043" t="s">
        <v>3379</v>
      </c>
      <c r="M20" s="2043" t="s">
        <v>3380</v>
      </c>
      <c r="N20" s="2043"/>
      <c r="O20" s="2044"/>
      <c r="P20" s="1993"/>
      <c r="Q20" s="1123"/>
      <c r="R20" s="1123"/>
      <c r="S20" s="1123"/>
      <c r="T20" s="1119"/>
      <c r="U20" s="1119"/>
      <c r="V20" s="1119"/>
      <c r="W20" s="1118"/>
      <c r="X20" s="1118"/>
      <c r="Y20" s="1118"/>
      <c r="Z20" s="1124"/>
      <c r="AA20" s="1124"/>
      <c r="AB20" s="1124"/>
      <c r="AC20" s="1124"/>
      <c r="AD20" s="1124"/>
      <c r="AE20" s="1124"/>
      <c r="AF20" s="1124"/>
      <c r="AG20" s="2781"/>
      <c r="AH20" s="2781"/>
      <c r="AI20" s="2781"/>
      <c r="AJ20" s="2781"/>
    </row>
    <row r="21" spans="1:37" s="2010" customFormat="1" ht="27" thickBot="1">
      <c r="A21" s="3732"/>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3589</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1"/>
      <c r="R21" s="1123"/>
      <c r="S21" s="1123"/>
      <c r="T21" s="1119"/>
      <c r="U21" s="1119"/>
      <c r="V21" s="1119"/>
      <c r="W21" s="1118"/>
      <c r="X21" s="1118"/>
      <c r="Y21" s="1118"/>
      <c r="Z21" s="1124"/>
      <c r="AA21" s="1124"/>
      <c r="AB21" s="1124"/>
      <c r="AC21" s="1124"/>
      <c r="AD21" s="1124"/>
      <c r="AE21" s="1124"/>
      <c r="AF21" s="1124"/>
      <c r="AG21" s="2781"/>
      <c r="AH21" s="2781"/>
      <c r="AI21" s="2781"/>
      <c r="AJ21" s="2781"/>
    </row>
    <row r="22" spans="1:37" s="2010" customFormat="1" ht="15" thickBot="1">
      <c r="A22" s="2154" t="s">
        <v>363</v>
      </c>
      <c r="B22" s="2155" t="s">
        <v>1997</v>
      </c>
      <c r="C22" s="2156">
        <f>SUMIF(修正!C20:C51,E3,修正!E20:E51)</f>
        <v>0.9</v>
      </c>
      <c r="D22" s="2157"/>
      <c r="E22" s="2158"/>
      <c r="F22" s="2158"/>
      <c r="G22" s="2158"/>
      <c r="H22" s="2158"/>
      <c r="I22" s="2158"/>
      <c r="J22" s="2159"/>
      <c r="K22" s="1124"/>
      <c r="L22" s="2781"/>
      <c r="M22" s="2781"/>
      <c r="N22" s="2781"/>
      <c r="O22" s="1122"/>
      <c r="P22" s="1122"/>
      <c r="Q22" s="2781"/>
      <c r="R22" s="1123"/>
      <c r="S22" s="1123"/>
      <c r="T22" s="1119"/>
      <c r="U22" s="1119"/>
      <c r="V22" s="1119"/>
      <c r="W22" s="1118"/>
      <c r="X22" s="1118"/>
      <c r="Y22" s="1118"/>
      <c r="Z22" s="1124"/>
      <c r="AA22" s="1124"/>
      <c r="AB22" s="1124"/>
      <c r="AC22" s="1124"/>
      <c r="AD22" s="1124"/>
      <c r="AE22" s="1124"/>
      <c r="AF22" s="1124"/>
      <c r="AG22" s="2781"/>
      <c r="AH22" s="2781"/>
      <c r="AI22" s="2781"/>
      <c r="AJ22" s="2781"/>
    </row>
    <row r="23" spans="1:37" ht="27" thickBot="1">
      <c r="A23" s="2046" t="s">
        <v>364</v>
      </c>
      <c r="B23" s="2047"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1999</v>
      </c>
      <c r="E23" s="760">
        <v>44197</v>
      </c>
      <c r="F23" s="2050" t="s">
        <v>2000</v>
      </c>
      <c r="G23" s="761">
        <f>'数据-取费表'!B2</f>
        <v>45146</v>
      </c>
      <c r="H23" s="3336" t="s">
        <v>3246</v>
      </c>
      <c r="I23" s="3337" t="str">
        <f>IF(H23="季度增幅（自定义）",SUMIF(N25:N28,E2,O25:O28),"")</f>
        <v/>
      </c>
      <c r="J23" s="3439" t="s">
        <v>3590</v>
      </c>
      <c r="K23" s="1124"/>
      <c r="L23" s="2051" t="s">
        <v>2001</v>
      </c>
      <c r="M23" s="1326">
        <f>ROUND(SUMIF(地价!B2:G2,E2,地价!B16:G16),0)</f>
        <v>350</v>
      </c>
      <c r="N23" s="2052" t="s">
        <v>2002</v>
      </c>
      <c r="O23" s="762">
        <f>ROUNDDOWN(DATEDIF(E23,G23,"M")/3,0)</f>
        <v>10</v>
      </c>
      <c r="P23" s="1121"/>
      <c r="Q23" s="2781"/>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6" thickBot="1">
      <c r="A24" s="2054" t="s">
        <v>365</v>
      </c>
      <c r="B24" s="2055" t="s">
        <v>2003</v>
      </c>
      <c r="C24" s="763">
        <f>ROUND(POWER(1+G24,J24-I24)*(POWER(1+G24,I24)-1)/(POWER(1+G24,J24)-1),4)</f>
        <v>0.85699999999999998</v>
      </c>
      <c r="D24" s="2056" t="s">
        <v>2004</v>
      </c>
      <c r="E24" s="1333">
        <f>存贷款利率!E23/100</f>
        <v>4.3499999999999997E-2</v>
      </c>
      <c r="F24" s="2056" t="s">
        <v>1996</v>
      </c>
      <c r="G24" s="767">
        <f>SUMIF(M30:Q30,E2,M33:Q33)</f>
        <v>5.5E-2</v>
      </c>
      <c r="H24" s="2056" t="s">
        <v>2005</v>
      </c>
      <c r="I24" s="768">
        <f>SUMIF('数据-取费表'!C6:C15,E2,'数据-取费表'!F6:F15)/COUNTIF('数据-取费表'!C6:C15,E2)</f>
        <v>26.37</v>
      </c>
      <c r="J24" s="769">
        <f>IF(E2="住宅",70,IF(E2="商业",40,50))</f>
        <v>40</v>
      </c>
      <c r="K24" s="1124"/>
      <c r="L24" s="2057" t="s">
        <v>2006</v>
      </c>
      <c r="M24" s="1327">
        <f>ROUND(SUMPRODUCT((地价!A4:A16=YEAR(G23)&amp;"-"&amp;ROUNDUP(MONTH(G23)/3,0))*(地价!B2:G2=E2)*(地价!B4:G16)),0)</f>
        <v>0</v>
      </c>
      <c r="N24" s="2058" t="s">
        <v>2007</v>
      </c>
      <c r="O24" s="2059" t="s">
        <v>2008</v>
      </c>
      <c r="P24" s="2060" t="s">
        <v>2009</v>
      </c>
      <c r="Q24" s="1993"/>
      <c r="R24" s="1123"/>
      <c r="S24" s="1123"/>
      <c r="T24" s="1119"/>
      <c r="U24" s="1119"/>
      <c r="V24" s="1119"/>
      <c r="W24" s="1118"/>
      <c r="X24" s="1118"/>
      <c r="Y24" s="1118"/>
      <c r="Z24" s="1124"/>
      <c r="AA24" s="1124"/>
      <c r="AB24" s="1124"/>
      <c r="AC24" s="1124"/>
      <c r="AD24" s="1124"/>
      <c r="AE24" s="1124"/>
      <c r="AF24" s="1124"/>
      <c r="AG24" s="2781"/>
      <c r="AH24" s="2781"/>
      <c r="AI24" s="2781"/>
      <c r="AJ24" s="2781"/>
    </row>
    <row r="25" spans="1:37" ht="14.4">
      <c r="A25" s="2061" t="s">
        <v>366</v>
      </c>
      <c r="B25" s="2062" t="s">
        <v>3325</v>
      </c>
      <c r="C25" s="770">
        <f>IF(B25="容积率修正",IF(G3&lt;10,D26,J26),C27)</f>
        <v>0.92130000000000001</v>
      </c>
      <c r="D25" s="2063"/>
      <c r="E25" s="2063"/>
      <c r="F25" s="2063"/>
      <c r="G25" s="2063"/>
      <c r="H25" s="2063"/>
      <c r="I25" s="2063"/>
      <c r="J25" s="2064"/>
      <c r="K25" s="1124"/>
      <c r="L25" s="2781"/>
      <c r="M25" s="2781"/>
      <c r="N25" s="2065" t="s">
        <v>2010</v>
      </c>
      <c r="O25" s="1172"/>
      <c r="P25" s="1173">
        <f>SUMPRODUCT((地价!A3:A40=YEAR(G23)&amp;"-"&amp;ROUNDUP(MONTH(G23)/3,0))*(地价!AD2:AH2=N25)*(地价!AD3:AH40))</f>
        <v>0</v>
      </c>
      <c r="Q25" s="2781"/>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4">
      <c r="A26" s="1951" t="s">
        <v>2011</v>
      </c>
      <c r="B26" s="2066" t="s">
        <v>2012</v>
      </c>
      <c r="C26" s="3338" t="s">
        <v>3247</v>
      </c>
      <c r="D26" s="1350">
        <f>IF(E26=G26,F26,IF(G3&lt;10,ROUND(F26+(H26-F26)*(G3-E26)/(G26-E26),4),"——"))</f>
        <v>0.92130000000000001</v>
      </c>
      <c r="E26" s="751">
        <f>ROUNDDOWN(G3,1)</f>
        <v>4.5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1">
        <f>ROUNDUP(G3,1)</f>
        <v>4.5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8" t="s">
        <v>3248</v>
      </c>
      <c r="J26" s="771" t="str">
        <f>IF(G3&gt;=10,D115,"——")</f>
        <v>——</v>
      </c>
      <c r="K26" s="1124"/>
      <c r="L26" s="2781"/>
      <c r="M26" s="2781"/>
      <c r="N26" s="2065" t="s">
        <v>2013</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 thickBot="1">
      <c r="A27" s="1951" t="s">
        <v>2014</v>
      </c>
      <c r="B27" s="2067" t="s">
        <v>2015</v>
      </c>
      <c r="C27" s="840">
        <f>ROUND(IF(I3&lt;6,SUMPRODUCT((B106:B110=I3)*(C105:N105=G2)*(C106:N110)),SUMIF(C105:N105,G2,C112:N112)),4)</f>
        <v>0</v>
      </c>
      <c r="D27" s="2042"/>
      <c r="E27" s="2042"/>
      <c r="F27" s="2068"/>
      <c r="G27" s="2069"/>
      <c r="H27" s="2070"/>
      <c r="I27" s="2071"/>
      <c r="J27" s="2072"/>
      <c r="K27" s="1118"/>
      <c r="L27" s="1993"/>
      <c r="M27" s="1993"/>
      <c r="N27" s="2065" t="s">
        <v>2016</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 thickBot="1">
      <c r="A28" s="2054" t="s">
        <v>367</v>
      </c>
      <c r="B28" s="2047" t="s">
        <v>2017</v>
      </c>
      <c r="C28" s="759">
        <f>SUMIF(A47:A101,E2,B47:B101)</f>
        <v>1.0379</v>
      </c>
      <c r="D28" s="2048"/>
      <c r="E28" s="2073"/>
      <c r="F28" s="2073"/>
      <c r="G28" s="2073"/>
      <c r="H28" s="2073"/>
      <c r="I28" s="2073"/>
      <c r="J28" s="2074"/>
      <c r="K28" s="1124"/>
      <c r="L28" s="2781"/>
      <c r="M28" s="2781"/>
      <c r="N28" s="2075"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 thickBot="1">
      <c r="A29" s="2054" t="s">
        <v>368</v>
      </c>
      <c r="B29" s="2076" t="s">
        <v>2019</v>
      </c>
      <c r="C29" s="764"/>
      <c r="D29" s="2020"/>
      <c r="E29" s="2020"/>
      <c r="F29" s="2077"/>
      <c r="G29" s="2020"/>
      <c r="H29" s="2020"/>
      <c r="I29" s="2020"/>
      <c r="J29" s="2021"/>
      <c r="K29" s="1118"/>
      <c r="L29" s="1993"/>
      <c r="M29" s="1993"/>
      <c r="N29" s="2778" t="s">
        <v>2020</v>
      </c>
      <c r="O29" s="2779"/>
      <c r="P29" s="2780">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4.4">
      <c r="A30" s="2078"/>
      <c r="B30" s="2066" t="s">
        <v>2021</v>
      </c>
      <c r="C30" s="2317">
        <f>IF(B25="容积率修正",E33+SUM(E37:E42),SUM(V2:V16)+SUM(E37:E42))</f>
        <v>48292</v>
      </c>
      <c r="D30" s="2079"/>
      <c r="E30" s="2042"/>
      <c r="F30" s="2080"/>
      <c r="G30" s="2042"/>
      <c r="H30" s="2042"/>
      <c r="I30" s="2042"/>
      <c r="J30" s="2081"/>
      <c r="K30" s="1118"/>
      <c r="L30" s="3344" t="s">
        <v>1933</v>
      </c>
      <c r="M30" s="3345" t="s">
        <v>1987</v>
      </c>
      <c r="N30" s="3345" t="s">
        <v>1988</v>
      </c>
      <c r="O30" s="3345" t="s">
        <v>1989</v>
      </c>
      <c r="P30" s="3345" t="s">
        <v>1990</v>
      </c>
      <c r="Q30" s="3348" t="s">
        <v>3252</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 thickBot="1">
      <c r="A31" s="2078"/>
      <c r="B31" s="2082" t="s">
        <v>2022</v>
      </c>
      <c r="C31" s="765">
        <f>E34+SUM(I37:I42)</f>
        <v>1582</v>
      </c>
      <c r="D31" s="2083"/>
      <c r="E31" s="2084"/>
      <c r="F31" s="2085"/>
      <c r="G31" s="2084"/>
      <c r="H31" s="2084"/>
      <c r="I31" s="2084"/>
      <c r="J31" s="2086"/>
      <c r="K31" s="1118"/>
      <c r="L31" s="3346" t="s">
        <v>1993</v>
      </c>
      <c r="M31" s="1996">
        <v>0.25</v>
      </c>
      <c r="N31" s="1996">
        <v>0.2</v>
      </c>
      <c r="O31" s="1996">
        <v>0.15</v>
      </c>
      <c r="P31" s="1996">
        <v>0.1</v>
      </c>
      <c r="Q31" s="3341">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 thickBot="1">
      <c r="A32" s="2087"/>
      <c r="B32" s="2088" t="s">
        <v>2023</v>
      </c>
      <c r="C32" s="2089" t="s">
        <v>2024</v>
      </c>
      <c r="D32" s="2089" t="s">
        <v>2025</v>
      </c>
      <c r="E32" s="2090" t="s">
        <v>2026</v>
      </c>
      <c r="F32" s="2091"/>
      <c r="G32" s="2033"/>
      <c r="H32" s="2033"/>
      <c r="I32" s="2033"/>
      <c r="J32" s="2034"/>
      <c r="K32" s="1118"/>
      <c r="L32" s="3347" t="s">
        <v>1996</v>
      </c>
      <c r="M32" s="2563">
        <f>ROUND($E$24*(1+M31),3)</f>
        <v>5.3999999999999999E-2</v>
      </c>
      <c r="N32" s="2563">
        <f>ROUND($E$24*(1+N31),3)</f>
        <v>5.1999999999999998E-2</v>
      </c>
      <c r="O32" s="2563">
        <f>ROUND($E$24*(1+O31),3)</f>
        <v>0.05</v>
      </c>
      <c r="P32" s="2563">
        <f>ROUND($E$24*(1+P31),3)</f>
        <v>4.8000000000000001E-2</v>
      </c>
      <c r="Q32" s="3349">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3.8">
      <c r="A33" s="2092"/>
      <c r="B33" s="2093" t="s">
        <v>2027</v>
      </c>
      <c r="C33" s="175">
        <f>ROUND(C5*C22*C23*C24*C25*C28,0)</f>
        <v>12708</v>
      </c>
      <c r="D33" s="2094">
        <f>'数据-汇总表'!F27</f>
        <v>33021.620000000003</v>
      </c>
      <c r="E33" s="772">
        <f>ROUND(C33*D33/10000,0)</f>
        <v>41964</v>
      </c>
      <c r="F33" s="3339" t="s">
        <v>3250</v>
      </c>
      <c r="G33" s="2095"/>
      <c r="H33" s="2095"/>
      <c r="I33" s="2095"/>
      <c r="J33" s="2096"/>
      <c r="K33" s="1118"/>
      <c r="L33" s="3342" t="s">
        <v>3253</v>
      </c>
      <c r="M33" s="3343">
        <v>5.5E-2</v>
      </c>
      <c r="N33" s="3343">
        <v>5.5E-2</v>
      </c>
      <c r="O33" s="3343">
        <v>0.05</v>
      </c>
      <c r="P33" s="3343">
        <v>0.05</v>
      </c>
      <c r="Q33" s="3343">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8" thickBot="1">
      <c r="A34" s="2097"/>
      <c r="B34" s="2098" t="s">
        <v>2028</v>
      </c>
      <c r="C34" s="187">
        <f>ROUND(IF(E2="工业",C33*M42,IF(B25="楼层修正",SUM(V2:V16)*M41*10000/D34,C33*M41)),0)</f>
        <v>3177</v>
      </c>
      <c r="D34" s="2099"/>
      <c r="E34" s="772">
        <f>ROUND(IF(B25="楼层修正",SUM(V2:V16)*M40,C34*D34/10000),0)</f>
        <v>0</v>
      </c>
      <c r="F34" s="2100" t="s">
        <v>2029</v>
      </c>
      <c r="G34" s="2101"/>
      <c r="H34" s="2101"/>
      <c r="I34" s="2101"/>
      <c r="J34" s="2102"/>
      <c r="K34" s="1118"/>
      <c r="L34" s="3342" t="s">
        <v>3254</v>
      </c>
      <c r="M34" s="3343">
        <v>6.5000000000000002E-2</v>
      </c>
      <c r="N34" s="3343">
        <v>6.5000000000000002E-2</v>
      </c>
      <c r="O34" s="3343">
        <v>0.06</v>
      </c>
      <c r="P34" s="3343">
        <v>0.06</v>
      </c>
      <c r="Q34" s="3343">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2030</v>
      </c>
      <c r="C35" s="3340" t="s">
        <v>3251</v>
      </c>
      <c r="D35" s="2033"/>
      <c r="E35" s="2105"/>
      <c r="F35" s="2105"/>
      <c r="G35" s="2031" t="s">
        <v>2031</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36.6" thickBot="1">
      <c r="A36" s="2092"/>
      <c r="B36" s="2107"/>
      <c r="C36" s="450" t="s">
        <v>2024</v>
      </c>
      <c r="D36" s="447" t="s">
        <v>2025</v>
      </c>
      <c r="E36" s="447" t="s">
        <v>2026</v>
      </c>
      <c r="F36" s="342" t="s">
        <v>2032</v>
      </c>
      <c r="G36" s="2108" t="s">
        <v>2024</v>
      </c>
      <c r="H36" s="2108" t="s">
        <v>2025</v>
      </c>
      <c r="I36" s="2108" t="s">
        <v>2026</v>
      </c>
      <c r="J36" s="243"/>
      <c r="K36" s="3350" t="s">
        <v>3255</v>
      </c>
      <c r="L36" s="3440">
        <f ca="1">'数据-取费表'!B40</f>
        <v>3.5499999999999997E-2</v>
      </c>
      <c r="M36" s="3351">
        <f ca="1">ROUND($L$36*(1+M31),3)</f>
        <v>4.3999999999999997E-2</v>
      </c>
      <c r="N36" s="3351">
        <f ca="1">ROUND($L$36*(1+N31),3)</f>
        <v>4.2999999999999997E-2</v>
      </c>
      <c r="O36" s="3351">
        <f ca="1">ROUND($L$36*(1+O31),3)</f>
        <v>4.1000000000000002E-2</v>
      </c>
      <c r="P36" s="3351">
        <f ca="1">ROUND($L$36*(1+P31),3)</f>
        <v>3.9E-2</v>
      </c>
      <c r="Q36" s="3351">
        <f ca="1">ROUND($L$36*(1+Q31),3)</f>
        <v>4.1000000000000002E-2</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6" thickBot="1">
      <c r="A37" s="3735"/>
      <c r="B37" s="2109" t="s">
        <v>2033</v>
      </c>
      <c r="C37" s="175">
        <f>ROUND(D5*C22*C23*C24*C28*F37,0)</f>
        <v>8276</v>
      </c>
      <c r="D37" s="2094">
        <f>'2020年企业提供面积'!G3</f>
        <v>5308</v>
      </c>
      <c r="E37" s="171">
        <f>ROUND(C37*D37/10000,0)</f>
        <v>4393</v>
      </c>
      <c r="F37" s="171">
        <f>SUMIF(修正!A57:A68,G2,修正!B57:B68)</f>
        <v>0.6</v>
      </c>
      <c r="G37" s="171">
        <f>ROUND(IF(E2="工业",C37*$M$42,C37*$M$41),0)</f>
        <v>2069</v>
      </c>
      <c r="H37" s="171">
        <f>D37</f>
        <v>5308</v>
      </c>
      <c r="I37" s="171">
        <f>ROUND(G37*H37/10000,0)</f>
        <v>1098</v>
      </c>
      <c r="J37" s="3005"/>
      <c r="K37" s="3352" t="s">
        <v>3256</v>
      </c>
      <c r="L37" s="3350">
        <f ca="1">L36+K38</f>
        <v>4.0499999999999994E-2</v>
      </c>
      <c r="M37" s="3351">
        <f ca="1">ROUND($L$37*(1+M31),3)</f>
        <v>5.0999999999999997E-2</v>
      </c>
      <c r="N37" s="3351">
        <f t="shared" ref="N37:Q37" ca="1" si="3">ROUND($L$37*(1+N31),3)</f>
        <v>4.9000000000000002E-2</v>
      </c>
      <c r="O37" s="3351">
        <f t="shared" ca="1" si="3"/>
        <v>4.7E-2</v>
      </c>
      <c r="P37" s="3351">
        <f t="shared" ca="1" si="3"/>
        <v>4.4999999999999998E-2</v>
      </c>
      <c r="Q37" s="3351">
        <f t="shared" ca="1" si="3"/>
        <v>4.7E-2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36"/>
      <c r="B38" s="2037" t="s">
        <v>2034</v>
      </c>
      <c r="C38" s="175">
        <f>ROUND(D5*C22*C23*C24*C28*F38,0)</f>
        <v>4138</v>
      </c>
      <c r="D38" s="2094">
        <f>'2020年企业提供面积'!G4+'2020年企业提供面积'!G5</f>
        <v>4677</v>
      </c>
      <c r="E38" s="171">
        <f t="shared" ref="E38:E42" si="4">ROUND(C38*D38/10000,0)</f>
        <v>1935</v>
      </c>
      <c r="F38" s="171">
        <f>SUMIF(修正!A57:A68,G2,修正!C57:C68)</f>
        <v>0.3</v>
      </c>
      <c r="G38" s="171">
        <f>ROUND(IF(E2="工业",C38*$M$42,C38*$M$41),0)</f>
        <v>1035</v>
      </c>
      <c r="H38" s="171">
        <f t="shared" ref="H38:H42" si="5">D38</f>
        <v>4677</v>
      </c>
      <c r="I38" s="171">
        <f t="shared" ref="I38:I42" si="6">ROUND(G38*H38/10000,0)</f>
        <v>484</v>
      </c>
      <c r="J38" s="3004"/>
      <c r="K38" s="3350">
        <v>5.0000000000000001E-3</v>
      </c>
      <c r="L38" s="3350"/>
      <c r="M38" s="3350"/>
      <c r="N38" s="3350"/>
      <c r="O38" s="3350"/>
      <c r="P38" s="3350"/>
      <c r="Q38" s="3350"/>
      <c r="R38" s="1118"/>
      <c r="S38" s="1118"/>
      <c r="T38" s="1118"/>
      <c r="U38" s="1118"/>
      <c r="V38" s="1118"/>
      <c r="W38" s="1118"/>
      <c r="X38" s="1118"/>
      <c r="Y38" s="1118"/>
      <c r="Z38" s="1119"/>
      <c r="AA38" s="1119"/>
      <c r="AB38" s="1119"/>
      <c r="AC38" s="1119"/>
      <c r="AD38" s="1119"/>
    </row>
    <row r="39" spans="1:37" ht="13.8" thickBot="1">
      <c r="A39" s="3736"/>
      <c r="B39" s="2037" t="s">
        <v>3249</v>
      </c>
      <c r="C39" s="175">
        <f>ROUND(D5*C22*C23*C24*C28*F39,0)</f>
        <v>3448</v>
      </c>
      <c r="D39" s="2094"/>
      <c r="E39" s="171">
        <f t="shared" si="4"/>
        <v>0</v>
      </c>
      <c r="F39" s="171">
        <f>SUMIF(修正!A57:A68,G2,修正!D57:D68)</f>
        <v>0.25</v>
      </c>
      <c r="G39" s="171">
        <f>ROUND(IF(E2="工业",C39*$M$42,C39*$M$41),0)</f>
        <v>862</v>
      </c>
      <c r="H39" s="171">
        <f t="shared" si="5"/>
        <v>0</v>
      </c>
      <c r="I39" s="171">
        <f t="shared" si="6"/>
        <v>0</v>
      </c>
      <c r="J39" s="300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2035</v>
      </c>
      <c r="C40" s="171">
        <f>ROUND(D5*C22*C23*C24*C28*F40,0)</f>
        <v>3448</v>
      </c>
      <c r="D40" s="2094"/>
      <c r="E40" s="171">
        <f t="shared" si="4"/>
        <v>0</v>
      </c>
      <c r="F40" s="175">
        <f>SUMIF(修正!A57:A68,G2,修正!E57:E68)</f>
        <v>0.25</v>
      </c>
      <c r="G40" s="171">
        <f>ROUND(IF(E2="工业",C40*$M$42,C40*$M$41),0)</f>
        <v>862</v>
      </c>
      <c r="H40" s="171">
        <f t="shared" si="5"/>
        <v>0</v>
      </c>
      <c r="I40" s="171">
        <f t="shared" si="6"/>
        <v>0</v>
      </c>
      <c r="J40" s="2110"/>
      <c r="L40" s="2112" t="s">
        <v>2036</v>
      </c>
      <c r="M40" s="2113"/>
      <c r="Z40" s="1119"/>
      <c r="AA40" s="1119"/>
      <c r="AB40" s="1119"/>
      <c r="AC40" s="1119"/>
      <c r="AD40" s="1119"/>
      <c r="AE40" s="1119"/>
      <c r="AF40" s="1119"/>
      <c r="AG40" s="1119"/>
      <c r="AH40" s="1119"/>
      <c r="AI40" s="1119"/>
      <c r="AJ40" s="1119"/>
    </row>
    <row r="41" spans="1:37" s="1118" customFormat="1">
      <c r="A41" s="2111"/>
      <c r="B41" s="2037" t="s">
        <v>2037</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3257</v>
      </c>
      <c r="M41" s="2114">
        <v>0.25</v>
      </c>
      <c r="Z41" s="1119"/>
      <c r="AA41" s="1119"/>
      <c r="AB41" s="1119"/>
      <c r="AC41" s="1119"/>
      <c r="AD41" s="1119"/>
      <c r="AE41" s="1119"/>
      <c r="AF41" s="1119"/>
      <c r="AG41" s="1119"/>
      <c r="AH41" s="1119"/>
      <c r="AI41" s="1119"/>
      <c r="AJ41" s="1119"/>
    </row>
    <row r="42" spans="1:37" s="1118" customFormat="1" ht="13.8" thickBot="1">
      <c r="A42" s="2097"/>
      <c r="B42" s="2115" t="s">
        <v>2038</v>
      </c>
      <c r="C42" s="187">
        <f>ROUND(D5*C22*C23*C44*C28*F42,0)</f>
        <v>0</v>
      </c>
      <c r="D42" s="2099"/>
      <c r="E42" s="187">
        <f t="shared" si="4"/>
        <v>0</v>
      </c>
      <c r="F42" s="766">
        <f>SUMIF(修正!A57:A68,G2,修正!G57:G68)</f>
        <v>0.15</v>
      </c>
      <c r="G42" s="187">
        <f>ROUND(IF(E2="工业",C42*$M$42,C42*$M$41),0)</f>
        <v>0</v>
      </c>
      <c r="H42" s="187">
        <f t="shared" si="5"/>
        <v>0</v>
      </c>
      <c r="I42" s="187">
        <f t="shared" si="6"/>
        <v>0</v>
      </c>
      <c r="J42" s="2116"/>
      <c r="L42" s="2117" t="s">
        <v>1990</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0" t="s">
        <v>2119</v>
      </c>
      <c r="C44" s="342">
        <f>ROUND(POWER(1+E44,H44-G44)*(POWER(1+E44,G44)-1)/(POWER(1+E44,H44)-1),4)</f>
        <v>0</v>
      </c>
      <c r="D44" s="171" t="s">
        <v>1996</v>
      </c>
      <c r="E44" s="2149">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 thickBot="1">
      <c r="A47" s="2120" t="s">
        <v>2039</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2" t="s">
        <v>2040</v>
      </c>
      <c r="B48" s="2123">
        <f>1+E50</f>
        <v>1.0379</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6" t="s">
        <v>2041</v>
      </c>
      <c r="B49" s="1349" t="s">
        <v>2042</v>
      </c>
      <c r="C49" s="1349" t="s">
        <v>2043</v>
      </c>
      <c r="D49" s="1349" t="s">
        <v>2044</v>
      </c>
      <c r="E49" s="742" t="s">
        <v>2045</v>
      </c>
      <c r="F49" s="2127" t="s">
        <v>2046</v>
      </c>
      <c r="G49" s="1349" t="s">
        <v>310</v>
      </c>
      <c r="H49" s="2128" t="s">
        <v>2047</v>
      </c>
      <c r="I49" s="1349"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5.2">
      <c r="A50" s="2126" t="s">
        <v>2049</v>
      </c>
      <c r="B50" s="2129" t="str">
        <f>估价对象房地状况!C4</f>
        <v>较好</v>
      </c>
      <c r="C50" s="2040" t="s">
        <v>3389</v>
      </c>
      <c r="D50" s="1064">
        <f t="shared" ref="D50:D58" si="7">SUMIF($J$49:$N$49,C50,J50:N50)</f>
        <v>1.47E-2</v>
      </c>
      <c r="E50" s="743">
        <f>ROUND(SUM(D50:D58),4)</f>
        <v>3.7900000000000003E-2</v>
      </c>
      <c r="F50" s="1812">
        <f>IF(E2="商业",SUMIF(L1:L12,G2,N1:N12),"——")</f>
        <v>9.8000000000000004E-2</v>
      </c>
      <c r="G50" s="1062">
        <f t="shared" ref="G50:G58" si="8">H50</f>
        <v>1.47E-2</v>
      </c>
      <c r="H50" s="1065">
        <f t="shared" ref="H50:H58" si="9">IFERROR(ROUNDDOWN($F$50*I50/2,4),"——")</f>
        <v>1.47E-2</v>
      </c>
      <c r="I50" s="3360">
        <v>0.3</v>
      </c>
      <c r="J50" s="1063">
        <f t="shared" ref="J50:J58" si="10">K50+$G50</f>
        <v>2.9399999999999999E-2</v>
      </c>
      <c r="K50" s="1063">
        <f t="shared" ref="K50:K58" si="11">$L50+$G50</f>
        <v>1.47E-2</v>
      </c>
      <c r="L50" s="1063">
        <v>0</v>
      </c>
      <c r="M50" s="1063">
        <f t="shared" ref="M50:N58" si="12">L50-$G50</f>
        <v>-1.47E-2</v>
      </c>
      <c r="N50" s="1063">
        <f t="shared" si="12"/>
        <v>-2.9399999999999999E-2</v>
      </c>
      <c r="AA50" s="1119"/>
      <c r="AB50" s="1119"/>
      <c r="AC50" s="1119"/>
      <c r="AD50" s="1119"/>
      <c r="AE50" s="1119"/>
      <c r="AF50" s="1119"/>
      <c r="AG50" s="1119"/>
      <c r="AH50" s="1119"/>
      <c r="AI50" s="1119"/>
      <c r="AJ50" s="1119"/>
      <c r="AK50" s="1119"/>
    </row>
    <row r="51" spans="1:37" s="1118" customFormat="1" ht="24">
      <c r="A51" s="2126" t="s">
        <v>2050</v>
      </c>
      <c r="B51" s="2130" t="str">
        <f>估价对象房地状况!C18</f>
        <v>一般</v>
      </c>
      <c r="C51" s="2040" t="s">
        <v>3494</v>
      </c>
      <c r="D51" s="1064">
        <f t="shared" si="7"/>
        <v>0</v>
      </c>
      <c r="E51" s="744"/>
      <c r="F51" s="1812"/>
      <c r="G51" s="1062">
        <f t="shared" si="8"/>
        <v>1.0699999999999999E-2</v>
      </c>
      <c r="H51" s="1065">
        <f t="shared" si="9"/>
        <v>1.0699999999999999E-2</v>
      </c>
      <c r="I51" s="3360">
        <v>0.22</v>
      </c>
      <c r="J51" s="1063">
        <f t="shared" si="10"/>
        <v>2.1399999999999999E-2</v>
      </c>
      <c r="K51" s="1063">
        <f t="shared" si="11"/>
        <v>1.0699999999999999E-2</v>
      </c>
      <c r="L51" s="1063">
        <v>0</v>
      </c>
      <c r="M51" s="1063">
        <f t="shared" si="12"/>
        <v>-1.0699999999999999E-2</v>
      </c>
      <c r="N51" s="1063">
        <f t="shared" si="12"/>
        <v>-2.1399999999999999E-2</v>
      </c>
      <c r="AA51" s="1119"/>
      <c r="AB51" s="1119"/>
      <c r="AC51" s="1119"/>
      <c r="AD51" s="1119"/>
      <c r="AE51" s="1119"/>
      <c r="AF51" s="1119"/>
      <c r="AG51" s="1119"/>
      <c r="AH51" s="1119"/>
      <c r="AI51" s="1119"/>
      <c r="AJ51" s="1119"/>
      <c r="AK51" s="1119"/>
    </row>
    <row r="52" spans="1:37" s="1118" customFormat="1" ht="48">
      <c r="A52" s="3362" t="s">
        <v>3259</v>
      </c>
      <c r="B52" s="2130" t="str">
        <f>估价对象房地状况!C19</f>
        <v>较好</v>
      </c>
      <c r="C52" s="2040" t="s">
        <v>3389</v>
      </c>
      <c r="D52" s="1064">
        <f t="shared" si="7"/>
        <v>5.7999999999999996E-3</v>
      </c>
      <c r="E52" s="744"/>
      <c r="F52" s="1812"/>
      <c r="G52" s="1062">
        <f t="shared" si="8"/>
        <v>5.7999999999999996E-3</v>
      </c>
      <c r="H52" s="1065">
        <f t="shared" si="9"/>
        <v>5.7999999999999996E-3</v>
      </c>
      <c r="I52" s="3360">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7.200000000000003">
      <c r="A53" s="2126" t="s">
        <v>2051</v>
      </c>
      <c r="B53" s="2131" t="s">
        <v>2052</v>
      </c>
      <c r="C53" s="2040" t="s">
        <v>3389</v>
      </c>
      <c r="D53" s="1064">
        <f t="shared" si="7"/>
        <v>2.3999999999999998E-3</v>
      </c>
      <c r="E53" s="744"/>
      <c r="F53" s="1812"/>
      <c r="G53" s="1062">
        <f t="shared" si="8"/>
        <v>2.3999999999999998E-3</v>
      </c>
      <c r="H53" s="1065">
        <f t="shared" si="9"/>
        <v>2.3999999999999998E-3</v>
      </c>
      <c r="I53" s="3360">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6" t="s">
        <v>2053</v>
      </c>
      <c r="B54" s="2130">
        <f>估价对象房地状况!C24</f>
        <v>0</v>
      </c>
      <c r="C54" s="2040" t="s">
        <v>3494</v>
      </c>
      <c r="D54" s="1064">
        <f t="shared" si="7"/>
        <v>0</v>
      </c>
      <c r="E54" s="744"/>
      <c r="F54" s="1812"/>
      <c r="G54" s="1062">
        <f t="shared" si="8"/>
        <v>3.8999999999999998E-3</v>
      </c>
      <c r="H54" s="1065">
        <f t="shared" si="9"/>
        <v>3.8999999999999998E-3</v>
      </c>
      <c r="I54" s="3360">
        <v>0.08</v>
      </c>
      <c r="J54" s="1063">
        <f t="shared" si="10"/>
        <v>7.7999999999999996E-3</v>
      </c>
      <c r="K54" s="1063">
        <f t="shared" si="11"/>
        <v>3.8999999999999998E-3</v>
      </c>
      <c r="L54" s="1063">
        <v>0</v>
      </c>
      <c r="M54" s="1063">
        <f t="shared" si="12"/>
        <v>-3.8999999999999998E-3</v>
      </c>
      <c r="N54" s="1063">
        <f t="shared" si="12"/>
        <v>-7.7999999999999996E-3</v>
      </c>
      <c r="AA54" s="1119"/>
      <c r="AB54" s="1119"/>
      <c r="AC54" s="1119"/>
      <c r="AD54" s="1119"/>
      <c r="AE54" s="1119"/>
      <c r="AF54" s="1119"/>
      <c r="AG54" s="1119"/>
      <c r="AH54" s="1119"/>
      <c r="AI54" s="1119"/>
      <c r="AJ54" s="1119"/>
      <c r="AK54" s="1119"/>
    </row>
    <row r="55" spans="1:37" s="1118" customFormat="1" ht="36">
      <c r="A55" s="2126" t="s">
        <v>2054</v>
      </c>
      <c r="B55" s="2132" t="s">
        <v>2055</v>
      </c>
      <c r="C55" s="2040" t="s">
        <v>3389</v>
      </c>
      <c r="D55" s="1064">
        <f t="shared" si="7"/>
        <v>2.3999999999999998E-3</v>
      </c>
      <c r="E55" s="744"/>
      <c r="F55" s="1812"/>
      <c r="G55" s="1062">
        <f t="shared" si="8"/>
        <v>2.3999999999999998E-3</v>
      </c>
      <c r="H55" s="1065">
        <f t="shared" si="9"/>
        <v>2.3999999999999998E-3</v>
      </c>
      <c r="I55" s="3360">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4">
      <c r="A56" s="2133" t="s">
        <v>2056</v>
      </c>
      <c r="B56" s="1324" t="str">
        <f>估价对象房地状况!C21</f>
        <v>较好</v>
      </c>
      <c r="C56" s="2040" t="s">
        <v>3389</v>
      </c>
      <c r="D56" s="1064">
        <f t="shared" si="7"/>
        <v>2.3999999999999998E-3</v>
      </c>
      <c r="E56" s="744"/>
      <c r="F56" s="1812"/>
      <c r="G56" s="1062">
        <f t="shared" si="8"/>
        <v>2.3999999999999998E-3</v>
      </c>
      <c r="H56" s="1065">
        <f t="shared" si="9"/>
        <v>2.3999999999999998E-3</v>
      </c>
      <c r="I56" s="3360">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4">
      <c r="A57" s="2133" t="s">
        <v>2057</v>
      </c>
      <c r="B57" s="2130" t="str">
        <f>估价对象房地状况!C22</f>
        <v>七通</v>
      </c>
      <c r="C57" s="2040" t="s">
        <v>3495</v>
      </c>
      <c r="D57" s="1064">
        <f t="shared" si="7"/>
        <v>7.7999999999999996E-3</v>
      </c>
      <c r="E57" s="744"/>
      <c r="F57" s="1812"/>
      <c r="G57" s="1062">
        <f t="shared" si="8"/>
        <v>3.8999999999999998E-3</v>
      </c>
      <c r="H57" s="1065">
        <f t="shared" si="9"/>
        <v>3.8999999999999998E-3</v>
      </c>
      <c r="I57" s="3360">
        <v>0.08</v>
      </c>
      <c r="J57" s="1063">
        <f t="shared" si="10"/>
        <v>7.7999999999999996E-3</v>
      </c>
      <c r="K57" s="1063">
        <f t="shared" si="11"/>
        <v>3.8999999999999998E-3</v>
      </c>
      <c r="L57" s="1063">
        <v>0</v>
      </c>
      <c r="M57" s="1063">
        <f t="shared" si="12"/>
        <v>-3.8999999999999998E-3</v>
      </c>
      <c r="N57" s="1063">
        <f t="shared" si="12"/>
        <v>-7.7999999999999996E-3</v>
      </c>
      <c r="AA57" s="1119"/>
      <c r="AB57" s="1119"/>
      <c r="AC57" s="1119"/>
      <c r="AD57" s="1119"/>
      <c r="AE57" s="1119"/>
      <c r="AF57" s="1119"/>
      <c r="AG57" s="1119"/>
      <c r="AH57" s="1119"/>
      <c r="AI57" s="1119"/>
      <c r="AJ57" s="1119"/>
      <c r="AK57" s="1119"/>
    </row>
    <row r="58" spans="1:37" s="1118" customFormat="1" ht="36.6" thickBot="1">
      <c r="A58" s="2134" t="s">
        <v>2058</v>
      </c>
      <c r="B58" s="2135" t="str">
        <f>估价对象房地状况!C20</f>
        <v>较好</v>
      </c>
      <c r="C58" s="2040" t="s">
        <v>3389</v>
      </c>
      <c r="D58" s="1064">
        <f t="shared" si="7"/>
        <v>2.3999999999999998E-3</v>
      </c>
      <c r="E58" s="745"/>
      <c r="F58" s="1812"/>
      <c r="G58" s="1062">
        <f t="shared" si="8"/>
        <v>2.3999999999999998E-3</v>
      </c>
      <c r="H58" s="1065">
        <f t="shared" si="9"/>
        <v>2.3999999999999998E-3</v>
      </c>
      <c r="I58" s="3361">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4.4">
      <c r="A59" s="2122" t="s">
        <v>2059</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6" t="s">
        <v>2041</v>
      </c>
      <c r="B60" s="1349"/>
      <c r="C60" s="1349" t="s">
        <v>2043</v>
      </c>
      <c r="D60" s="1349" t="s">
        <v>2044</v>
      </c>
      <c r="E60" s="742" t="s">
        <v>2045</v>
      </c>
      <c r="F60" s="2127" t="s">
        <v>2060</v>
      </c>
      <c r="G60" s="1349" t="s">
        <v>310</v>
      </c>
      <c r="H60" s="2128" t="s">
        <v>2047</v>
      </c>
      <c r="I60" s="1349"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2061</v>
      </c>
      <c r="B61" s="2129" t="str">
        <f>估价对象房地状况!C17</f>
        <v>一般</v>
      </c>
      <c r="C61" s="2040" t="s">
        <v>3389</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60">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24">
      <c r="A62" s="2126" t="s">
        <v>2050</v>
      </c>
      <c r="B62" s="2130" t="str">
        <f>估价对象房地状况!C18</f>
        <v>一般</v>
      </c>
      <c r="C62" s="2040" t="s">
        <v>3389</v>
      </c>
      <c r="D62" s="1064" t="e">
        <f t="shared" si="13"/>
        <v>#VALUE!</v>
      </c>
      <c r="E62" s="744"/>
      <c r="F62" s="1812"/>
      <c r="G62" s="1062" t="str">
        <f t="shared" si="14"/>
        <v>——</v>
      </c>
      <c r="H62" s="1065" t="str">
        <f t="shared" si="15"/>
        <v>——</v>
      </c>
      <c r="I62" s="3360">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48">
      <c r="A63" s="3362" t="s">
        <v>3259</v>
      </c>
      <c r="B63" s="2130" t="str">
        <f>估价对象房地状况!C19</f>
        <v>较好</v>
      </c>
      <c r="C63" s="2040" t="s">
        <v>3389</v>
      </c>
      <c r="D63" s="1064" t="e">
        <f t="shared" si="13"/>
        <v>#VALUE!</v>
      </c>
      <c r="E63" s="744"/>
      <c r="F63" s="1812"/>
      <c r="G63" s="1062" t="str">
        <f t="shared" si="14"/>
        <v>——</v>
      </c>
      <c r="H63" s="1065" t="str">
        <f t="shared" si="15"/>
        <v>——</v>
      </c>
      <c r="I63" s="3360">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7.200000000000003">
      <c r="A64" s="2126" t="s">
        <v>2051</v>
      </c>
      <c r="B64" s="2131" t="s">
        <v>2052</v>
      </c>
      <c r="C64" s="2040" t="s">
        <v>3389</v>
      </c>
      <c r="D64" s="1064" t="e">
        <f t="shared" si="13"/>
        <v>#VALUE!</v>
      </c>
      <c r="E64" s="744"/>
      <c r="F64" s="1812"/>
      <c r="G64" s="1062" t="str">
        <f t="shared" si="14"/>
        <v>——</v>
      </c>
      <c r="H64" s="1065" t="str">
        <f t="shared" si="15"/>
        <v>——</v>
      </c>
      <c r="I64" s="3360">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2053</v>
      </c>
      <c r="B65" s="2130">
        <f>估价对象房地状况!C24</f>
        <v>0</v>
      </c>
      <c r="C65" s="2040" t="s">
        <v>3494</v>
      </c>
      <c r="D65" s="1064">
        <f t="shared" si="13"/>
        <v>0</v>
      </c>
      <c r="E65" s="744"/>
      <c r="F65" s="1812"/>
      <c r="G65" s="1062" t="str">
        <f t="shared" si="14"/>
        <v>——</v>
      </c>
      <c r="H65" s="1065" t="str">
        <f t="shared" si="15"/>
        <v>——</v>
      </c>
      <c r="I65" s="3360">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36">
      <c r="A66" s="2126" t="s">
        <v>2054</v>
      </c>
      <c r="B66" s="2132" t="s">
        <v>2055</v>
      </c>
      <c r="C66" s="2040" t="s">
        <v>3389</v>
      </c>
      <c r="D66" s="1064" t="e">
        <f t="shared" si="13"/>
        <v>#VALUE!</v>
      </c>
      <c r="E66" s="744"/>
      <c r="F66" s="1812"/>
      <c r="G66" s="1062" t="str">
        <f t="shared" si="14"/>
        <v>——</v>
      </c>
      <c r="H66" s="1065" t="str">
        <f t="shared" si="15"/>
        <v>——</v>
      </c>
      <c r="I66" s="3360">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2056</v>
      </c>
      <c r="B67" s="1324" t="str">
        <f>估价对象房地状况!C21</f>
        <v>较好</v>
      </c>
      <c r="C67" s="2040" t="s">
        <v>3389</v>
      </c>
      <c r="D67" s="1064" t="e">
        <f t="shared" si="13"/>
        <v>#VALUE!</v>
      </c>
      <c r="E67" s="744"/>
      <c r="F67" s="1812"/>
      <c r="G67" s="1062" t="str">
        <f t="shared" si="14"/>
        <v>——</v>
      </c>
      <c r="H67" s="1065" t="str">
        <f t="shared" si="15"/>
        <v>——</v>
      </c>
      <c r="I67" s="3360">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2057</v>
      </c>
      <c r="B68" s="1324" t="str">
        <f>估价对象房地状况!C22</f>
        <v>七通</v>
      </c>
      <c r="C68" s="2040" t="s">
        <v>3495</v>
      </c>
      <c r="D68" s="1064" t="e">
        <f t="shared" si="13"/>
        <v>#VALUE!</v>
      </c>
      <c r="E68" s="744"/>
      <c r="F68" s="1812"/>
      <c r="G68" s="1062" t="str">
        <f t="shared" si="14"/>
        <v>——</v>
      </c>
      <c r="H68" s="1065" t="str">
        <f t="shared" si="15"/>
        <v>——</v>
      </c>
      <c r="I68" s="3360">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36.6" thickBot="1">
      <c r="A69" s="2134" t="s">
        <v>2058</v>
      </c>
      <c r="B69" s="2136" t="str">
        <f>估价对象房地状况!C20</f>
        <v>较好</v>
      </c>
      <c r="C69" s="2040" t="s">
        <v>3389</v>
      </c>
      <c r="D69" s="1064" t="e">
        <f t="shared" si="13"/>
        <v>#VALUE!</v>
      </c>
      <c r="E69" s="745"/>
      <c r="F69" s="1812"/>
      <c r="G69" s="1062" t="str">
        <f t="shared" si="14"/>
        <v>——</v>
      </c>
      <c r="H69" s="1065" t="str">
        <f t="shared" si="15"/>
        <v>——</v>
      </c>
      <c r="I69" s="3361">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4.4">
      <c r="A70" s="2122" t="s">
        <v>2062</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6" t="s">
        <v>2041</v>
      </c>
      <c r="B71" s="1349"/>
      <c r="C71" s="1349" t="s">
        <v>2043</v>
      </c>
      <c r="D71" s="1349" t="s">
        <v>2044</v>
      </c>
      <c r="E71" s="742" t="s">
        <v>2045</v>
      </c>
      <c r="F71" s="2127" t="s">
        <v>2060</v>
      </c>
      <c r="G71" s="1349" t="s">
        <v>310</v>
      </c>
      <c r="H71" s="2128" t="s">
        <v>2047</v>
      </c>
      <c r="I71" s="1349"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2063</v>
      </c>
      <c r="B72" s="2129" t="str">
        <f>估价对象房地状况!C15</f>
        <v>较好</v>
      </c>
      <c r="C72" s="2040" t="s">
        <v>3389</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0">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24">
      <c r="A73" s="2126" t="s">
        <v>2050</v>
      </c>
      <c r="B73" s="2130" t="str">
        <f>估价对象房地状况!C18</f>
        <v>一般</v>
      </c>
      <c r="C73" s="2040" t="s">
        <v>3389</v>
      </c>
      <c r="D73" s="1064" t="e">
        <f t="shared" si="19"/>
        <v>#VALUE!</v>
      </c>
      <c r="E73" s="746"/>
      <c r="F73" s="1812"/>
      <c r="G73" s="1062" t="str">
        <f t="shared" si="20"/>
        <v>——</v>
      </c>
      <c r="H73" s="1065" t="str">
        <f t="shared" si="21"/>
        <v>——</v>
      </c>
      <c r="I73" s="3360">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48">
      <c r="A74" s="3362" t="s">
        <v>3259</v>
      </c>
      <c r="B74" s="2130" t="str">
        <f>估价对象房地状况!C19</f>
        <v>较好</v>
      </c>
      <c r="C74" s="2040" t="s">
        <v>3389</v>
      </c>
      <c r="D74" s="1064" t="e">
        <f t="shared" si="19"/>
        <v>#VALUE!</v>
      </c>
      <c r="E74" s="746"/>
      <c r="F74" s="1812"/>
      <c r="G74" s="1062" t="str">
        <f t="shared" si="20"/>
        <v>——</v>
      </c>
      <c r="H74" s="1065" t="str">
        <f t="shared" si="21"/>
        <v>——</v>
      </c>
      <c r="I74" s="3360">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3.8">
      <c r="A75" s="2126" t="s">
        <v>2064</v>
      </c>
      <c r="B75" s="2130">
        <f>估价对象房地状况!C24</f>
        <v>0</v>
      </c>
      <c r="C75" s="2040" t="s">
        <v>3494</v>
      </c>
      <c r="D75" s="1064">
        <f t="shared" si="19"/>
        <v>0</v>
      </c>
      <c r="E75" s="746"/>
      <c r="F75" s="1812"/>
      <c r="G75" s="1062" t="str">
        <f t="shared" si="20"/>
        <v>——</v>
      </c>
      <c r="H75" s="1065" t="str">
        <f t="shared" si="21"/>
        <v>——</v>
      </c>
      <c r="I75" s="3360">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2056</v>
      </c>
      <c r="B76" s="1324" t="str">
        <f>估价对象房地状况!C21</f>
        <v>较好</v>
      </c>
      <c r="C76" s="2040" t="s">
        <v>3389</v>
      </c>
      <c r="D76" s="1064" t="e">
        <f t="shared" si="19"/>
        <v>#VALUE!</v>
      </c>
      <c r="E76" s="746"/>
      <c r="F76" s="1812"/>
      <c r="G76" s="1062" t="str">
        <f t="shared" si="20"/>
        <v>——</v>
      </c>
      <c r="H76" s="1065" t="str">
        <f t="shared" si="21"/>
        <v>——</v>
      </c>
      <c r="I76" s="3360">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2057</v>
      </c>
      <c r="B77" s="1324" t="str">
        <f>估价对象房地状况!C22</f>
        <v>七通</v>
      </c>
      <c r="C77" s="2040" t="s">
        <v>3495</v>
      </c>
      <c r="D77" s="1064" t="e">
        <f t="shared" si="19"/>
        <v>#VALUE!</v>
      </c>
      <c r="E77" s="746"/>
      <c r="F77" s="1812"/>
      <c r="G77" s="1062" t="str">
        <f t="shared" si="20"/>
        <v>——</v>
      </c>
      <c r="H77" s="1065" t="str">
        <f t="shared" si="21"/>
        <v>——</v>
      </c>
      <c r="I77" s="3360">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36">
      <c r="A78" s="2126" t="s">
        <v>2054</v>
      </c>
      <c r="B78" s="2132" t="s">
        <v>2055</v>
      </c>
      <c r="C78" s="2040" t="s">
        <v>3389</v>
      </c>
      <c r="D78" s="1064" t="e">
        <f t="shared" si="19"/>
        <v>#VALUE!</v>
      </c>
      <c r="E78" s="746"/>
      <c r="F78" s="1812"/>
      <c r="G78" s="1062" t="str">
        <f t="shared" si="20"/>
        <v>——</v>
      </c>
      <c r="H78" s="1065" t="str">
        <f t="shared" si="21"/>
        <v>——</v>
      </c>
      <c r="I78" s="3360">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36">
      <c r="A79" s="2126" t="s">
        <v>2058</v>
      </c>
      <c r="B79" s="2129" t="str">
        <f>估价对象房地状况!C20</f>
        <v>较好</v>
      </c>
      <c r="C79" s="2040" t="s">
        <v>3389</v>
      </c>
      <c r="D79" s="1064" t="e">
        <f t="shared" si="19"/>
        <v>#VALUE!</v>
      </c>
      <c r="E79" s="746"/>
      <c r="F79" s="1812"/>
      <c r="G79" s="1062" t="str">
        <f t="shared" si="20"/>
        <v>——</v>
      </c>
      <c r="H79" s="1065" t="str">
        <f t="shared" si="21"/>
        <v>——</v>
      </c>
      <c r="I79" s="3360">
        <v>0.12</v>
      </c>
      <c r="J79" s="1063" t="e">
        <f t="shared" si="22"/>
        <v>#VALUE!</v>
      </c>
      <c r="K79" s="1063" t="e">
        <f t="shared" si="23"/>
        <v>#VALUE!</v>
      </c>
      <c r="L79" s="1063">
        <v>0</v>
      </c>
      <c r="M79" s="1063" t="e">
        <f t="shared" si="24"/>
        <v>#VALUE!</v>
      </c>
      <c r="N79" s="1063" t="e">
        <f t="shared" si="24"/>
        <v>#VALUE!</v>
      </c>
      <c r="Z79" s="1994"/>
      <c r="AA79" s="2049"/>
      <c r="AG79" s="1120"/>
      <c r="AK79" s="2049"/>
    </row>
    <row r="80" spans="1:37" ht="36.6" thickBot="1">
      <c r="A80" s="2134" t="s">
        <v>2065</v>
      </c>
      <c r="B80" s="2138"/>
      <c r="C80" s="2040" t="s">
        <v>3494</v>
      </c>
      <c r="D80" s="1064">
        <f t="shared" si="19"/>
        <v>0</v>
      </c>
      <c r="E80" s="747"/>
      <c r="F80" s="1812"/>
      <c r="G80" s="1062" t="str">
        <f t="shared" si="20"/>
        <v>——</v>
      </c>
      <c r="H80" s="1065" t="str">
        <f t="shared" si="21"/>
        <v>——</v>
      </c>
      <c r="I80" s="3361">
        <v>0.05</v>
      </c>
      <c r="J80" s="1063" t="e">
        <f t="shared" si="22"/>
        <v>#VALUE!</v>
      </c>
      <c r="K80" s="1063" t="e">
        <f t="shared" si="23"/>
        <v>#VALUE!</v>
      </c>
      <c r="L80" s="1063">
        <v>0</v>
      </c>
      <c r="M80" s="1063" t="e">
        <f t="shared" si="24"/>
        <v>#VALUE!</v>
      </c>
      <c r="N80" s="1063" t="e">
        <f t="shared" si="24"/>
        <v>#VALUE!</v>
      </c>
      <c r="Z80" s="1994"/>
      <c r="AA80" s="2049"/>
      <c r="AG80" s="1120"/>
      <c r="AK80" s="2049"/>
    </row>
    <row r="81" spans="1:37" ht="14.4">
      <c r="A81" s="2122" t="s">
        <v>2066</v>
      </c>
      <c r="B81" s="2123" t="e">
        <f>1+E83</f>
        <v>#VALUE!</v>
      </c>
      <c r="C81" s="740"/>
      <c r="D81" s="740"/>
      <c r="E81" s="741"/>
      <c r="F81" s="2125"/>
      <c r="G81" s="3"/>
      <c r="H81" s="3"/>
      <c r="I81" s="3"/>
      <c r="J81" s="4"/>
      <c r="K81" s="4"/>
      <c r="L81" s="4"/>
      <c r="M81" s="4"/>
      <c r="N81" s="4"/>
      <c r="Z81" s="1994"/>
      <c r="AA81" s="2049"/>
      <c r="AG81" s="1120"/>
      <c r="AK81" s="2049"/>
    </row>
    <row r="82" spans="1:37" ht="25.2">
      <c r="A82" s="2126" t="s">
        <v>2041</v>
      </c>
      <c r="B82" s="1349"/>
      <c r="C82" s="1349" t="s">
        <v>2043</v>
      </c>
      <c r="D82" s="1349" t="s">
        <v>2044</v>
      </c>
      <c r="E82" s="742" t="s">
        <v>2045</v>
      </c>
      <c r="F82" s="2127" t="s">
        <v>2060</v>
      </c>
      <c r="G82" s="1349" t="s">
        <v>310</v>
      </c>
      <c r="H82" s="2128" t="s">
        <v>2047</v>
      </c>
      <c r="I82" s="1349" t="s">
        <v>2048</v>
      </c>
      <c r="J82" s="552" t="s">
        <v>1719</v>
      </c>
      <c r="K82" s="552" t="s">
        <v>1720</v>
      </c>
      <c r="L82" s="552" t="s">
        <v>1721</v>
      </c>
      <c r="M82" s="552" t="s">
        <v>1722</v>
      </c>
      <c r="N82" s="552" t="s">
        <v>1723</v>
      </c>
      <c r="Z82" s="1994"/>
      <c r="AA82" s="2049"/>
      <c r="AG82" s="1120"/>
      <c r="AK82" s="2049"/>
    </row>
    <row r="83" spans="1:37" ht="24">
      <c r="A83" s="2126" t="s">
        <v>2067</v>
      </c>
      <c r="B83" s="2130" t="str">
        <f>估价对象房地状况!G15</f>
        <v>较好</v>
      </c>
      <c r="C83" s="2040" t="s">
        <v>3389</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0">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24">
      <c r="A84" s="2126" t="s">
        <v>2050</v>
      </c>
      <c r="B84" s="2130" t="str">
        <f>估价对象房地状况!G16</f>
        <v>较好</v>
      </c>
      <c r="C84" s="2040" t="s">
        <v>3389</v>
      </c>
      <c r="D84" s="1064" t="e">
        <f t="shared" si="25"/>
        <v>#VALUE!</v>
      </c>
      <c r="E84" s="746"/>
      <c r="F84" s="1812"/>
      <c r="G84" s="1062" t="str">
        <f t="shared" si="26"/>
        <v>——</v>
      </c>
      <c r="H84" s="1065" t="str">
        <f t="shared" si="27"/>
        <v>——</v>
      </c>
      <c r="I84" s="3360">
        <v>0.3</v>
      </c>
      <c r="J84" s="1063" t="e">
        <f t="shared" si="28"/>
        <v>#VALUE!</v>
      </c>
      <c r="K84" s="1063" t="e">
        <f t="shared" si="29"/>
        <v>#VALUE!</v>
      </c>
      <c r="L84" s="1063">
        <v>0</v>
      </c>
      <c r="M84" s="1063" t="e">
        <f t="shared" si="30"/>
        <v>#VALUE!</v>
      </c>
      <c r="N84" s="1063" t="e">
        <f t="shared" si="30"/>
        <v>#VALUE!</v>
      </c>
      <c r="Z84" s="1994"/>
      <c r="AA84" s="2049"/>
      <c r="AG84" s="1120"/>
      <c r="AK84" s="2049"/>
    </row>
    <row r="85" spans="1:37" ht="48">
      <c r="A85" s="3362" t="s">
        <v>3260</v>
      </c>
      <c r="B85" s="2130" t="str">
        <f>估价对象房地状况!G17</f>
        <v>较好</v>
      </c>
      <c r="C85" s="2040" t="s">
        <v>3389</v>
      </c>
      <c r="D85" s="1064" t="e">
        <f t="shared" si="25"/>
        <v>#VALUE!</v>
      </c>
      <c r="E85" s="746"/>
      <c r="F85" s="1812"/>
      <c r="G85" s="1062" t="str">
        <f t="shared" si="26"/>
        <v>——</v>
      </c>
      <c r="H85" s="1065" t="str">
        <f t="shared" si="27"/>
        <v>——</v>
      </c>
      <c r="I85" s="3360">
        <v>0.1</v>
      </c>
      <c r="J85" s="1063" t="e">
        <f t="shared" si="28"/>
        <v>#VALUE!</v>
      </c>
      <c r="K85" s="1063" t="e">
        <f t="shared" si="29"/>
        <v>#VALUE!</v>
      </c>
      <c r="L85" s="1063">
        <v>0</v>
      </c>
      <c r="M85" s="1063" t="e">
        <f t="shared" si="30"/>
        <v>#VALUE!</v>
      </c>
      <c r="N85" s="1063" t="e">
        <f t="shared" si="30"/>
        <v>#VALUE!</v>
      </c>
      <c r="Z85" s="1994"/>
      <c r="AA85" s="2049"/>
      <c r="AG85" s="1120"/>
      <c r="AK85" s="2049"/>
    </row>
    <row r="86" spans="1:37" ht="13.8">
      <c r="A86" s="2126" t="s">
        <v>2064</v>
      </c>
      <c r="B86" s="2130">
        <f>估价对象房地状况!G22</f>
        <v>0</v>
      </c>
      <c r="C86" s="2040" t="s">
        <v>3494</v>
      </c>
      <c r="D86" s="1064">
        <f t="shared" si="25"/>
        <v>0</v>
      </c>
      <c r="E86" s="746"/>
      <c r="F86" s="1812"/>
      <c r="G86" s="1062" t="str">
        <f t="shared" si="26"/>
        <v>——</v>
      </c>
      <c r="H86" s="1065" t="str">
        <f t="shared" si="27"/>
        <v>——</v>
      </c>
      <c r="I86" s="3360">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2056</v>
      </c>
      <c r="B87" s="1324" t="str">
        <f>估价对象房地状况!G19</f>
        <v>较好</v>
      </c>
      <c r="C87" s="2040" t="s">
        <v>3389</v>
      </c>
      <c r="D87" s="1064" t="e">
        <f t="shared" si="25"/>
        <v>#VALUE!</v>
      </c>
      <c r="E87" s="746"/>
      <c r="F87" s="1812"/>
      <c r="G87" s="1062" t="str">
        <f t="shared" si="26"/>
        <v>——</v>
      </c>
      <c r="H87" s="1065" t="str">
        <f t="shared" si="27"/>
        <v>——</v>
      </c>
      <c r="I87" s="3360">
        <v>0.06</v>
      </c>
      <c r="J87" s="1063" t="e">
        <f t="shared" si="28"/>
        <v>#VALUE!</v>
      </c>
      <c r="K87" s="1063" t="e">
        <f t="shared" si="29"/>
        <v>#VALUE!</v>
      </c>
      <c r="L87" s="1063">
        <v>0</v>
      </c>
      <c r="M87" s="1063" t="e">
        <f t="shared" si="30"/>
        <v>#VALUE!</v>
      </c>
      <c r="N87" s="1063" t="e">
        <f t="shared" si="30"/>
        <v>#VALUE!</v>
      </c>
    </row>
    <row r="88" spans="1:37" ht="24">
      <c r="A88" s="2126" t="s">
        <v>2057</v>
      </c>
      <c r="B88" s="1324" t="str">
        <f>估价对象房地状况!G20</f>
        <v>七通</v>
      </c>
      <c r="C88" s="2040" t="s">
        <v>3495</v>
      </c>
      <c r="D88" s="1064" t="e">
        <f t="shared" si="25"/>
        <v>#VALUE!</v>
      </c>
      <c r="E88" s="746"/>
      <c r="F88" s="1812"/>
      <c r="G88" s="1062" t="str">
        <f t="shared" si="26"/>
        <v>——</v>
      </c>
      <c r="H88" s="1065" t="str">
        <f t="shared" si="27"/>
        <v>——</v>
      </c>
      <c r="I88" s="3360">
        <v>0.12</v>
      </c>
      <c r="J88" s="1063" t="e">
        <f t="shared" si="28"/>
        <v>#VALUE!</v>
      </c>
      <c r="K88" s="1063" t="e">
        <f t="shared" si="29"/>
        <v>#VALUE!</v>
      </c>
      <c r="L88" s="1063">
        <v>0</v>
      </c>
      <c r="M88" s="1063" t="e">
        <f t="shared" si="30"/>
        <v>#VALUE!</v>
      </c>
      <c r="N88" s="1063" t="e">
        <f t="shared" si="30"/>
        <v>#VALUE!</v>
      </c>
    </row>
    <row r="89" spans="1:37" ht="36">
      <c r="A89" s="2126" t="s">
        <v>2054</v>
      </c>
      <c r="B89" s="2132" t="s">
        <v>2068</v>
      </c>
      <c r="C89" s="2040" t="s">
        <v>3389</v>
      </c>
      <c r="D89" s="1064" t="e">
        <f t="shared" si="25"/>
        <v>#VALUE!</v>
      </c>
      <c r="E89" s="746"/>
      <c r="F89" s="1812"/>
      <c r="G89" s="1062" t="str">
        <f t="shared" si="26"/>
        <v>——</v>
      </c>
      <c r="H89" s="1065" t="str">
        <f t="shared" si="27"/>
        <v>——</v>
      </c>
      <c r="I89" s="3360">
        <v>0.06</v>
      </c>
      <c r="J89" s="1063" t="e">
        <f t="shared" si="28"/>
        <v>#VALUE!</v>
      </c>
      <c r="K89" s="1063" t="e">
        <f t="shared" si="29"/>
        <v>#VALUE!</v>
      </c>
      <c r="L89" s="1063">
        <v>0</v>
      </c>
      <c r="M89" s="1063" t="e">
        <f t="shared" si="30"/>
        <v>#VALUE!</v>
      </c>
      <c r="N89" s="1063" t="e">
        <f t="shared" si="30"/>
        <v>#VALUE!</v>
      </c>
    </row>
    <row r="90" spans="1:37" ht="14.4" thickBot="1">
      <c r="A90" s="2134" t="s">
        <v>2069</v>
      </c>
      <c r="B90" s="2139" t="str">
        <f>估价对象房地状况!G18</f>
        <v>较好</v>
      </c>
      <c r="C90" s="2040" t="s">
        <v>3389</v>
      </c>
      <c r="D90" s="1064" t="e">
        <f t="shared" si="25"/>
        <v>#VALUE!</v>
      </c>
      <c r="E90" s="747"/>
      <c r="F90" s="1812"/>
      <c r="G90" s="1062" t="str">
        <f t="shared" si="26"/>
        <v>——</v>
      </c>
      <c r="H90" s="1065" t="str">
        <f t="shared" si="27"/>
        <v>——</v>
      </c>
      <c r="I90" s="3361">
        <v>0.05</v>
      </c>
      <c r="J90" s="1063" t="e">
        <f t="shared" si="28"/>
        <v>#VALUE!</v>
      </c>
      <c r="K90" s="1063" t="e">
        <f t="shared" si="29"/>
        <v>#VALUE!</v>
      </c>
      <c r="L90" s="1063">
        <v>0</v>
      </c>
      <c r="M90" s="1063" t="e">
        <f t="shared" si="30"/>
        <v>#VALUE!</v>
      </c>
      <c r="N90" s="1063" t="e">
        <f t="shared" si="30"/>
        <v>#VALUE!</v>
      </c>
    </row>
    <row r="91" spans="1:37" ht="13.8">
      <c r="A91" s="3370" t="s">
        <v>2601</v>
      </c>
      <c r="B91" s="3371" t="e">
        <f>1+E93</f>
        <v>#VALUE!</v>
      </c>
      <c r="C91" s="3364"/>
      <c r="D91" s="3365"/>
      <c r="E91" s="1812"/>
      <c r="F91" s="1812"/>
      <c r="G91" s="3366"/>
      <c r="H91" s="3367"/>
      <c r="I91" s="3368"/>
      <c r="J91" s="3369"/>
      <c r="K91" s="3369"/>
      <c r="L91" s="3369"/>
      <c r="M91" s="3369"/>
      <c r="N91" s="3369"/>
    </row>
    <row r="92" spans="1:37" ht="25.2">
      <c r="A92" s="3372" t="s">
        <v>3261</v>
      </c>
      <c r="B92" s="3359"/>
      <c r="C92" s="3359" t="s">
        <v>3270</v>
      </c>
      <c r="D92" s="3359" t="s">
        <v>3271</v>
      </c>
      <c r="E92" s="3341" t="s">
        <v>3272</v>
      </c>
      <c r="F92" s="3374" t="s">
        <v>3273</v>
      </c>
      <c r="G92" s="3359" t="s">
        <v>3274</v>
      </c>
      <c r="H92" s="3381" t="s">
        <v>3277</v>
      </c>
      <c r="I92" s="3359" t="s">
        <v>3278</v>
      </c>
      <c r="J92" s="3382" t="s">
        <v>3279</v>
      </c>
      <c r="K92" s="3382" t="s">
        <v>3280</v>
      </c>
      <c r="L92" s="3382" t="s">
        <v>3281</v>
      </c>
      <c r="M92" s="3382" t="s">
        <v>3282</v>
      </c>
      <c r="N92" s="3382" t="s">
        <v>3283</v>
      </c>
    </row>
    <row r="93" spans="1:37" ht="24">
      <c r="A93" s="3362" t="s">
        <v>3262</v>
      </c>
      <c r="B93" s="1304"/>
      <c r="C93" s="2040" t="s">
        <v>3389</v>
      </c>
      <c r="D93" s="3359" t="e">
        <f>SUMIF($J$92:$N$92,C93,J93:N93)</f>
        <v>#VALUE!</v>
      </c>
      <c r="E93" s="3375" t="e">
        <f>ROUND(SUM(D93:D101),4)</f>
        <v>#VALUE!</v>
      </c>
      <c r="F93" s="1812" t="str">
        <f>IF(E2="公共服务",SUMIF(L1:L12,G2,N1:N12),"——")</f>
        <v>——</v>
      </c>
      <c r="G93" s="1062" t="str">
        <f t="shared" ref="G93:G101" si="31">H93</f>
        <v>——</v>
      </c>
      <c r="H93" s="3414" t="str">
        <f>IFERROR(ROUNDDOWN($F$93*I93/2,4),"——")</f>
        <v>——</v>
      </c>
      <c r="I93" s="3360">
        <v>0.25</v>
      </c>
      <c r="J93" s="3338" t="e">
        <f t="shared" ref="J93:J101" si="32">K93+$G93</f>
        <v>#VALUE!</v>
      </c>
      <c r="K93" s="3338" t="e">
        <f t="shared" ref="K93:K101" si="33">$L93+$G93</f>
        <v>#VALUE!</v>
      </c>
      <c r="L93" s="3338">
        <v>0</v>
      </c>
      <c r="M93" s="3338" t="e">
        <f t="shared" ref="M93:N101" si="34">L93-$G93</f>
        <v>#VALUE!</v>
      </c>
      <c r="N93" s="3338" t="e">
        <f t="shared" si="34"/>
        <v>#VALUE!</v>
      </c>
    </row>
    <row r="94" spans="1:37" ht="24">
      <c r="A94" s="3372" t="s">
        <v>3263</v>
      </c>
      <c r="B94" s="3363" t="str">
        <f>估价对象房地状况!C18</f>
        <v>一般</v>
      </c>
      <c r="C94" s="2040" t="s">
        <v>3389</v>
      </c>
      <c r="D94" s="3359" t="e">
        <f t="shared" ref="D94:D101" si="35">SUMIF($J$60:$N$60,C94,J94:N94)</f>
        <v>#VALUE!</v>
      </c>
      <c r="E94" s="3376"/>
      <c r="F94" s="1812"/>
      <c r="G94" s="1062" t="str">
        <f t="shared" si="31"/>
        <v>——</v>
      </c>
      <c r="H94" s="3414" t="str">
        <f>IFERROR(ROUNDDOWN($F$93*I94/2,4),"——")</f>
        <v>——</v>
      </c>
      <c r="I94" s="3360">
        <v>0.26</v>
      </c>
      <c r="J94" s="3338" t="e">
        <f t="shared" si="32"/>
        <v>#VALUE!</v>
      </c>
      <c r="K94" s="3338" t="e">
        <f t="shared" si="33"/>
        <v>#VALUE!</v>
      </c>
      <c r="L94" s="3338">
        <v>0</v>
      </c>
      <c r="M94" s="3338" t="e">
        <f t="shared" si="34"/>
        <v>#VALUE!</v>
      </c>
      <c r="N94" s="3338" t="e">
        <f t="shared" si="34"/>
        <v>#VALUE!</v>
      </c>
    </row>
    <row r="95" spans="1:37" ht="48">
      <c r="A95" s="3362" t="s">
        <v>3259</v>
      </c>
      <c r="B95" s="3363" t="str">
        <f>估价对象房地状况!C19</f>
        <v>较好</v>
      </c>
      <c r="C95" s="2040" t="s">
        <v>3389</v>
      </c>
      <c r="D95" s="3359" t="e">
        <f t="shared" si="35"/>
        <v>#VALUE!</v>
      </c>
      <c r="E95" s="3376"/>
      <c r="F95" s="1812"/>
      <c r="G95" s="1062" t="str">
        <f t="shared" si="31"/>
        <v>——</v>
      </c>
      <c r="H95" s="3414" t="str">
        <f t="shared" ref="H95:H101" si="36">IFERROR(ROUNDDOWN($F$93*I95/2,4),"——")</f>
        <v>——</v>
      </c>
      <c r="I95" s="3360">
        <v>0.11</v>
      </c>
      <c r="J95" s="3338" t="e">
        <f t="shared" si="32"/>
        <v>#VALUE!</v>
      </c>
      <c r="K95" s="3338" t="e">
        <f t="shared" si="33"/>
        <v>#VALUE!</v>
      </c>
      <c r="L95" s="3338">
        <v>0</v>
      </c>
      <c r="M95" s="3338" t="e">
        <f t="shared" si="34"/>
        <v>#VALUE!</v>
      </c>
      <c r="N95" s="3338" t="e">
        <f t="shared" si="34"/>
        <v>#VALUE!</v>
      </c>
    </row>
    <row r="96" spans="1:37" ht="37.200000000000003">
      <c r="A96" s="3372" t="s">
        <v>3264</v>
      </c>
      <c r="B96" s="3378" t="s">
        <v>3275</v>
      </c>
      <c r="C96" s="2040" t="s">
        <v>3389</v>
      </c>
      <c r="D96" s="3359" t="e">
        <f t="shared" si="35"/>
        <v>#VALUE!</v>
      </c>
      <c r="E96" s="3376"/>
      <c r="F96" s="1812"/>
      <c r="G96" s="1062" t="str">
        <f t="shared" si="31"/>
        <v>——</v>
      </c>
      <c r="H96" s="3414" t="str">
        <f t="shared" si="36"/>
        <v>——</v>
      </c>
      <c r="I96" s="3360">
        <v>0.05</v>
      </c>
      <c r="J96" s="3338" t="e">
        <f t="shared" si="32"/>
        <v>#VALUE!</v>
      </c>
      <c r="K96" s="3338" t="e">
        <f t="shared" si="33"/>
        <v>#VALUE!</v>
      </c>
      <c r="L96" s="3338">
        <v>0</v>
      </c>
      <c r="M96" s="3338" t="e">
        <f t="shared" si="34"/>
        <v>#VALUE!</v>
      </c>
      <c r="N96" s="3338" t="e">
        <f t="shared" si="34"/>
        <v>#VALUE!</v>
      </c>
    </row>
    <row r="97" spans="1:14" ht="24">
      <c r="A97" s="3372" t="s">
        <v>3265</v>
      </c>
      <c r="B97" s="3363">
        <f>估价对象房地状况!C24</f>
        <v>0</v>
      </c>
      <c r="C97" s="2040" t="s">
        <v>3494</v>
      </c>
      <c r="D97" s="3359">
        <f t="shared" si="35"/>
        <v>0</v>
      </c>
      <c r="E97" s="3376"/>
      <c r="F97" s="1812"/>
      <c r="G97" s="1062" t="str">
        <f t="shared" si="31"/>
        <v>——</v>
      </c>
      <c r="H97" s="3414" t="str">
        <f t="shared" si="36"/>
        <v>——</v>
      </c>
      <c r="I97" s="3360">
        <v>0.05</v>
      </c>
      <c r="J97" s="3338" t="e">
        <f t="shared" si="32"/>
        <v>#VALUE!</v>
      </c>
      <c r="K97" s="3338" t="e">
        <f t="shared" si="33"/>
        <v>#VALUE!</v>
      </c>
      <c r="L97" s="3338">
        <v>0</v>
      </c>
      <c r="M97" s="3338" t="e">
        <f t="shared" si="34"/>
        <v>#VALUE!</v>
      </c>
      <c r="N97" s="3338" t="e">
        <f t="shared" si="34"/>
        <v>#VALUE!</v>
      </c>
    </row>
    <row r="98" spans="1:14" ht="36">
      <c r="A98" s="3372" t="s">
        <v>3266</v>
      </c>
      <c r="B98" s="3379" t="s">
        <v>3276</v>
      </c>
      <c r="C98" s="2040" t="s">
        <v>3389</v>
      </c>
      <c r="D98" s="3359" t="e">
        <f t="shared" si="35"/>
        <v>#VALUE!</v>
      </c>
      <c r="E98" s="3376"/>
      <c r="F98" s="1812"/>
      <c r="G98" s="1062" t="str">
        <f t="shared" si="31"/>
        <v>——</v>
      </c>
      <c r="H98" s="3414" t="str">
        <f t="shared" si="36"/>
        <v>——</v>
      </c>
      <c r="I98" s="3360">
        <v>0.06</v>
      </c>
      <c r="J98" s="3338" t="e">
        <f t="shared" si="32"/>
        <v>#VALUE!</v>
      </c>
      <c r="K98" s="3338" t="e">
        <f t="shared" si="33"/>
        <v>#VALUE!</v>
      </c>
      <c r="L98" s="3338">
        <v>0</v>
      </c>
      <c r="M98" s="3338" t="e">
        <f t="shared" si="34"/>
        <v>#VALUE!</v>
      </c>
      <c r="N98" s="3338" t="e">
        <f t="shared" si="34"/>
        <v>#VALUE!</v>
      </c>
    </row>
    <row r="99" spans="1:14" ht="24">
      <c r="A99" s="3372" t="s">
        <v>3267</v>
      </c>
      <c r="B99" s="3363" t="str">
        <f>估价对象房地状况!C21</f>
        <v>较好</v>
      </c>
      <c r="C99" s="2040" t="s">
        <v>3389</v>
      </c>
      <c r="D99" s="3359" t="e">
        <f t="shared" si="35"/>
        <v>#VALUE!</v>
      </c>
      <c r="E99" s="3376"/>
      <c r="F99" s="1812"/>
      <c r="G99" s="1062" t="str">
        <f t="shared" si="31"/>
        <v>——</v>
      </c>
      <c r="H99" s="3414" t="str">
        <f t="shared" si="36"/>
        <v>——</v>
      </c>
      <c r="I99" s="3360">
        <v>0.06</v>
      </c>
      <c r="J99" s="3338" t="e">
        <f t="shared" si="32"/>
        <v>#VALUE!</v>
      </c>
      <c r="K99" s="3338" t="e">
        <f t="shared" si="33"/>
        <v>#VALUE!</v>
      </c>
      <c r="L99" s="3338">
        <v>0</v>
      </c>
      <c r="M99" s="3338" t="e">
        <f t="shared" si="34"/>
        <v>#VALUE!</v>
      </c>
      <c r="N99" s="3338" t="e">
        <f t="shared" si="34"/>
        <v>#VALUE!</v>
      </c>
    </row>
    <row r="100" spans="1:14" ht="24">
      <c r="A100" s="3372" t="s">
        <v>3268</v>
      </c>
      <c r="B100" s="3363" t="str">
        <f>估价对象房地状况!C22</f>
        <v>七通</v>
      </c>
      <c r="C100" s="2040" t="s">
        <v>3495</v>
      </c>
      <c r="D100" s="3359" t="e">
        <f t="shared" si="35"/>
        <v>#VALUE!</v>
      </c>
      <c r="E100" s="3376"/>
      <c r="F100" s="1812"/>
      <c r="G100" s="1062" t="str">
        <f t="shared" si="31"/>
        <v>——</v>
      </c>
      <c r="H100" s="3414" t="str">
        <f t="shared" si="36"/>
        <v>——</v>
      </c>
      <c r="I100" s="3360">
        <v>0.09</v>
      </c>
      <c r="J100" s="3338" t="e">
        <f t="shared" si="32"/>
        <v>#VALUE!</v>
      </c>
      <c r="K100" s="3338" t="e">
        <f t="shared" si="33"/>
        <v>#VALUE!</v>
      </c>
      <c r="L100" s="3338">
        <v>0</v>
      </c>
      <c r="M100" s="3338" t="e">
        <f t="shared" si="34"/>
        <v>#VALUE!</v>
      </c>
      <c r="N100" s="3338" t="e">
        <f t="shared" si="34"/>
        <v>#VALUE!</v>
      </c>
    </row>
    <row r="101" spans="1:14" ht="36.6" thickBot="1">
      <c r="A101" s="3373" t="s">
        <v>3269</v>
      </c>
      <c r="B101" s="3380" t="str">
        <f>估价对象房地状况!C20</f>
        <v>较好</v>
      </c>
      <c r="C101" s="2040" t="s">
        <v>3389</v>
      </c>
      <c r="D101" s="3359" t="e">
        <f t="shared" si="35"/>
        <v>#VALUE!</v>
      </c>
      <c r="E101" s="3377"/>
      <c r="F101" s="1812"/>
      <c r="G101" s="1062" t="str">
        <f t="shared" si="31"/>
        <v>——</v>
      </c>
      <c r="H101" s="3414" t="str">
        <f t="shared" si="36"/>
        <v>——</v>
      </c>
      <c r="I101" s="3361">
        <v>7.0000000000000007E-2</v>
      </c>
      <c r="J101" s="3338" t="e">
        <f t="shared" si="32"/>
        <v>#VALUE!</v>
      </c>
      <c r="K101" s="3338" t="e">
        <f t="shared" si="33"/>
        <v>#VALUE!</v>
      </c>
      <c r="L101" s="3338">
        <v>0</v>
      </c>
      <c r="M101" s="3338" t="e">
        <f t="shared" si="34"/>
        <v>#VALUE!</v>
      </c>
      <c r="N101" s="3338" t="e">
        <f t="shared" si="34"/>
        <v>#VALUE!</v>
      </c>
    </row>
    <row r="103" spans="1:14">
      <c r="A103" s="3733" t="s">
        <v>3284</v>
      </c>
      <c r="B103" s="3733"/>
      <c r="C103" s="3733"/>
      <c r="D103" s="3733"/>
      <c r="E103" s="3733"/>
      <c r="F103" s="3733"/>
      <c r="G103" s="3733"/>
      <c r="H103" s="3733"/>
      <c r="I103" s="3733"/>
      <c r="J103" s="3733"/>
      <c r="K103" s="3383"/>
      <c r="L103" s="3383"/>
      <c r="M103" s="3383"/>
      <c r="N103" s="3383"/>
    </row>
    <row r="104" spans="1:14">
      <c r="A104" s="3734" t="s">
        <v>3285</v>
      </c>
      <c r="B104" s="3734" t="s">
        <v>3286</v>
      </c>
      <c r="C104" s="3384" t="s">
        <v>3287</v>
      </c>
      <c r="D104" s="3385"/>
      <c r="E104" s="3385"/>
      <c r="F104" s="3385"/>
      <c r="G104" s="3385"/>
      <c r="H104" s="3385"/>
      <c r="I104" s="3385"/>
      <c r="J104" s="3386"/>
      <c r="K104" s="3387"/>
      <c r="L104" s="3387"/>
      <c r="M104" s="3387"/>
      <c r="N104" s="3387"/>
    </row>
    <row r="105" spans="1:14">
      <c r="A105" s="3734"/>
      <c r="B105" s="3734"/>
      <c r="C105" s="3388" t="s">
        <v>3288</v>
      </c>
      <c r="D105" s="3388" t="s">
        <v>3289</v>
      </c>
      <c r="E105" s="3388" t="s">
        <v>3290</v>
      </c>
      <c r="F105" s="3388" t="s">
        <v>3291</v>
      </c>
      <c r="G105" s="3388" t="s">
        <v>3292</v>
      </c>
      <c r="H105" s="3388" t="s">
        <v>3293</v>
      </c>
      <c r="I105" s="3388" t="s">
        <v>3294</v>
      </c>
      <c r="J105" s="3388" t="s">
        <v>3295</v>
      </c>
      <c r="K105" s="3388" t="s">
        <v>3296</v>
      </c>
      <c r="L105" s="3388" t="s">
        <v>3297</v>
      </c>
      <c r="M105" s="3388" t="s">
        <v>3298</v>
      </c>
      <c r="N105" s="3388" t="s">
        <v>3299</v>
      </c>
    </row>
    <row r="106" spans="1:14">
      <c r="A106" s="3720" t="s">
        <v>3300</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2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2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2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2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21"/>
      <c r="B111" s="3388" t="s">
        <v>3258</v>
      </c>
      <c r="C111" s="3389">
        <f>$I$3</f>
        <v>0</v>
      </c>
      <c r="D111" s="3389">
        <f t="shared" ref="D111:M111" si="37">$I$3</f>
        <v>0</v>
      </c>
      <c r="E111" s="3389">
        <f t="shared" si="37"/>
        <v>0</v>
      </c>
      <c r="F111" s="3389">
        <f t="shared" si="37"/>
        <v>0</v>
      </c>
      <c r="G111" s="3389">
        <f t="shared" si="37"/>
        <v>0</v>
      </c>
      <c r="H111" s="3389">
        <f t="shared" si="37"/>
        <v>0</v>
      </c>
      <c r="I111" s="3389">
        <f t="shared" si="37"/>
        <v>0</v>
      </c>
      <c r="J111" s="3389">
        <f t="shared" si="37"/>
        <v>0</v>
      </c>
      <c r="K111" s="3389">
        <f t="shared" si="37"/>
        <v>0</v>
      </c>
      <c r="L111" s="3389">
        <f t="shared" si="37"/>
        <v>0</v>
      </c>
      <c r="M111" s="3389">
        <f t="shared" si="37"/>
        <v>0</v>
      </c>
      <c r="N111" s="3389">
        <f>$I$3</f>
        <v>0</v>
      </c>
    </row>
    <row r="112" spans="1:14">
      <c r="A112" s="3722"/>
      <c r="B112" s="3388">
        <v>6</v>
      </c>
      <c r="C112" s="3381">
        <f>(-0.5556*(C111^2)-0.2719*C111+8944)*(10^(-4))</f>
        <v>0.89440000000000008</v>
      </c>
      <c r="D112" s="3381">
        <f>(-0.5556*(D111^2)-0.2719*D111+8944)*(10^(-4))</f>
        <v>0.89440000000000008</v>
      </c>
      <c r="E112" s="3381">
        <f>(-0.7912*(E111^2)-11.3794*E111+8482)*(10^(-4))</f>
        <v>0.84820000000000007</v>
      </c>
      <c r="F112" s="3381">
        <f t="shared" ref="F112:I112" si="38">(-0.7912*(F111^2)-11.3794*F111+8482)*(10^(-4))</f>
        <v>0.84820000000000007</v>
      </c>
      <c r="G112" s="3381">
        <f t="shared" si="38"/>
        <v>0.84820000000000007</v>
      </c>
      <c r="H112" s="3381">
        <f t="shared" si="38"/>
        <v>0.84820000000000007</v>
      </c>
      <c r="I112" s="3381">
        <f t="shared" si="38"/>
        <v>0.84820000000000007</v>
      </c>
      <c r="J112" s="3381">
        <f>(-0.989*(J111^2)-63.78*J111+7771)*(10^(-4))</f>
        <v>0.77710000000000001</v>
      </c>
      <c r="K112" s="3381">
        <f t="shared" ref="K112:N112" si="39">(-0.989*(K111^2)-63.78*K111+7771)*(10^(-4))</f>
        <v>0.77710000000000001</v>
      </c>
      <c r="L112" s="3381">
        <f t="shared" si="39"/>
        <v>0.77710000000000001</v>
      </c>
      <c r="M112" s="3381">
        <f t="shared" si="39"/>
        <v>0.77710000000000001</v>
      </c>
      <c r="N112" s="3381">
        <f t="shared" si="39"/>
        <v>0.77710000000000001</v>
      </c>
    </row>
    <row r="113" spans="1:14">
      <c r="A113" s="3723" t="s">
        <v>3301</v>
      </c>
      <c r="B113" s="3723"/>
      <c r="C113" s="3723"/>
      <c r="D113" s="3723"/>
      <c r="E113" s="3723"/>
      <c r="F113" s="3723"/>
      <c r="G113" s="3723"/>
      <c r="H113" s="3723"/>
      <c r="I113" s="3723"/>
      <c r="J113" s="372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8" thickBot="1">
      <c r="A115" s="3391"/>
      <c r="B115" s="3391"/>
      <c r="C115" s="3391"/>
      <c r="D115" s="3391"/>
      <c r="E115" s="3391"/>
      <c r="F115" s="3391"/>
      <c r="G115" s="3391"/>
      <c r="H115" s="3391"/>
      <c r="I115" s="3391"/>
      <c r="J115" s="3391"/>
      <c r="K115" s="3350"/>
      <c r="L115" s="3391"/>
      <c r="M115" s="3391"/>
      <c r="N115" s="3391"/>
    </row>
    <row r="116" spans="1:14" ht="25.8" thickBot="1">
      <c r="A116" s="3392" t="s">
        <v>3302</v>
      </c>
      <c r="B116" s="3409">
        <f>G3</f>
        <v>4.5</v>
      </c>
      <c r="C116" s="3393" t="s">
        <v>3303</v>
      </c>
      <c r="D116" s="3394">
        <f>SUMPRODUCT((A118:A122=F116)*(B117:M117=H116)*B118:M122)</f>
        <v>0.88600000000000001</v>
      </c>
      <c r="E116" s="1996" t="s">
        <v>3304</v>
      </c>
      <c r="F116" s="3395" t="str">
        <f>E2</f>
        <v>商业</v>
      </c>
      <c r="G116" s="1996" t="s">
        <v>3305</v>
      </c>
      <c r="H116" s="3395" t="str">
        <f>G2</f>
        <v>四级</v>
      </c>
      <c r="I116" s="1996"/>
      <c r="J116" s="3396"/>
      <c r="K116" s="3396"/>
      <c r="L116" s="3396"/>
      <c r="M116" s="3396"/>
      <c r="N116" s="3391"/>
    </row>
    <row r="117" spans="1:14">
      <c r="A117" s="3397"/>
      <c r="B117" s="3398" t="s">
        <v>3306</v>
      </c>
      <c r="C117" s="3398" t="s">
        <v>3307</v>
      </c>
      <c r="D117" s="3398" t="s">
        <v>3308</v>
      </c>
      <c r="E117" s="3399" t="s">
        <v>3309</v>
      </c>
      <c r="F117" s="3399" t="s">
        <v>3310</v>
      </c>
      <c r="G117" s="3399" t="s">
        <v>3311</v>
      </c>
      <c r="H117" s="3400" t="s">
        <v>3312</v>
      </c>
      <c r="I117" s="3400" t="s">
        <v>3313</v>
      </c>
      <c r="J117" s="3401" t="s">
        <v>3314</v>
      </c>
      <c r="K117" s="3401" t="s">
        <v>3315</v>
      </c>
      <c r="L117" s="3401" t="s">
        <v>3316</v>
      </c>
      <c r="M117" s="3402" t="s">
        <v>3317</v>
      </c>
      <c r="N117" s="3391"/>
    </row>
    <row r="118" spans="1:14">
      <c r="A118" s="3403" t="s">
        <v>3318</v>
      </c>
      <c r="B118" s="3381">
        <f>ROUND(0.9968-0.011*B116,4)</f>
        <v>0.94730000000000003</v>
      </c>
      <c r="C118" s="3381">
        <f>B118</f>
        <v>0.94730000000000003</v>
      </c>
      <c r="D118" s="3381">
        <f>ROUND(0.949-0.014*B116,4)</f>
        <v>0.88600000000000001</v>
      </c>
      <c r="E118" s="3381">
        <f>D118</f>
        <v>0.88600000000000001</v>
      </c>
      <c r="F118" s="3381">
        <f>E118</f>
        <v>0.88600000000000001</v>
      </c>
      <c r="G118" s="3381">
        <f>F118</f>
        <v>0.88600000000000001</v>
      </c>
      <c r="H118" s="3381">
        <f>G118</f>
        <v>0.88600000000000001</v>
      </c>
      <c r="I118" s="3381">
        <f>ROUND(0.8486-0.018*B116,4)</f>
        <v>0.76759999999999995</v>
      </c>
      <c r="J118" s="3381">
        <f t="shared" ref="J118:M122" si="40">I118</f>
        <v>0.76759999999999995</v>
      </c>
      <c r="K118" s="3381">
        <f t="shared" si="40"/>
        <v>0.76759999999999995</v>
      </c>
      <c r="L118" s="3381">
        <f t="shared" si="40"/>
        <v>0.76759999999999995</v>
      </c>
      <c r="M118" s="3404">
        <f t="shared" si="40"/>
        <v>0.76759999999999995</v>
      </c>
      <c r="N118" s="3391"/>
    </row>
    <row r="119" spans="1:14">
      <c r="A119" s="3403" t="s">
        <v>3319</v>
      </c>
      <c r="B119" s="3381">
        <f>ROUND(0.993-0.0112*B116,4)</f>
        <v>0.94259999999999999</v>
      </c>
      <c r="C119" s="3381">
        <f>B119</f>
        <v>0.94259999999999999</v>
      </c>
      <c r="D119" s="3381">
        <f>ROUND(0.9415-0.0142*B116,4)</f>
        <v>0.87760000000000005</v>
      </c>
      <c r="E119" s="3381">
        <f t="shared" ref="E119:H120" si="41">D119</f>
        <v>0.87760000000000005</v>
      </c>
      <c r="F119" s="3381">
        <f t="shared" si="41"/>
        <v>0.87760000000000005</v>
      </c>
      <c r="G119" s="3381">
        <f t="shared" si="41"/>
        <v>0.87760000000000005</v>
      </c>
      <c r="H119" s="3381">
        <f t="shared" si="41"/>
        <v>0.87760000000000005</v>
      </c>
      <c r="I119" s="3381">
        <f>ROUND(0.838-0.0182*B116,4)</f>
        <v>0.75609999999999999</v>
      </c>
      <c r="J119" s="3381">
        <f t="shared" si="40"/>
        <v>0.75609999999999999</v>
      </c>
      <c r="K119" s="3381">
        <f t="shared" si="40"/>
        <v>0.75609999999999999</v>
      </c>
      <c r="L119" s="3381">
        <f t="shared" si="40"/>
        <v>0.75609999999999999</v>
      </c>
      <c r="M119" s="3404">
        <f t="shared" si="40"/>
        <v>0.75609999999999999</v>
      </c>
      <c r="N119" s="3391"/>
    </row>
    <row r="120" spans="1:14">
      <c r="A120" s="3403" t="s">
        <v>3320</v>
      </c>
      <c r="B120" s="3381">
        <f>ROUND(0.9448-0.0115*B116,4)</f>
        <v>0.8931</v>
      </c>
      <c r="C120" s="3381">
        <f>B120</f>
        <v>0.8931</v>
      </c>
      <c r="D120" s="3381">
        <f>ROUND(0.937-0.0145*B116,4)</f>
        <v>0.87180000000000002</v>
      </c>
      <c r="E120" s="3381">
        <f t="shared" si="41"/>
        <v>0.87180000000000002</v>
      </c>
      <c r="F120" s="3381">
        <f t="shared" si="41"/>
        <v>0.87180000000000002</v>
      </c>
      <c r="G120" s="3381">
        <f t="shared" si="41"/>
        <v>0.87180000000000002</v>
      </c>
      <c r="H120" s="3381">
        <f t="shared" si="41"/>
        <v>0.87180000000000002</v>
      </c>
      <c r="I120" s="3381">
        <f>ROUND(0.7965-0.0185*B116,4)</f>
        <v>0.71330000000000005</v>
      </c>
      <c r="J120" s="3381">
        <f t="shared" si="40"/>
        <v>0.71330000000000005</v>
      </c>
      <c r="K120" s="3381">
        <f t="shared" si="40"/>
        <v>0.71330000000000005</v>
      </c>
      <c r="L120" s="3381">
        <f t="shared" si="40"/>
        <v>0.71330000000000005</v>
      </c>
      <c r="M120" s="3404">
        <f t="shared" si="40"/>
        <v>0.71330000000000005</v>
      </c>
      <c r="N120" s="3391"/>
    </row>
    <row r="121" spans="1:14" ht="13.8" thickBot="1">
      <c r="A121" s="3405" t="s">
        <v>3321</v>
      </c>
      <c r="B121" s="3406">
        <f>ROUND(0.7836-0.012*B116,4)</f>
        <v>0.72960000000000003</v>
      </c>
      <c r="C121" s="3406">
        <f>B121</f>
        <v>0.72960000000000003</v>
      </c>
      <c r="D121" s="3406">
        <f>ROUND(0.753-0.015*B116,4)</f>
        <v>0.6855</v>
      </c>
      <c r="E121" s="3406">
        <f>D121</f>
        <v>0.6855</v>
      </c>
      <c r="F121" s="3406">
        <f>E121</f>
        <v>0.6855</v>
      </c>
      <c r="G121" s="3406">
        <f>ROUND(0.6612-0.018*B116,4)</f>
        <v>0.58020000000000005</v>
      </c>
      <c r="H121" s="3406">
        <f>G121</f>
        <v>0.58020000000000005</v>
      </c>
      <c r="I121" s="3406">
        <f>ROUND(0.5905-0.019*B116,4)</f>
        <v>0.505</v>
      </c>
      <c r="J121" s="3406">
        <f t="shared" si="40"/>
        <v>0.505</v>
      </c>
      <c r="K121" s="3406">
        <f t="shared" si="40"/>
        <v>0.505</v>
      </c>
      <c r="L121" s="3406">
        <f t="shared" si="40"/>
        <v>0.505</v>
      </c>
      <c r="M121" s="3407">
        <f t="shared" si="40"/>
        <v>0.505</v>
      </c>
      <c r="N121" s="3391"/>
    </row>
    <row r="122" spans="1:14">
      <c r="A122" s="3408" t="s">
        <v>2601</v>
      </c>
      <c r="B122" s="3381">
        <f>ROUND(0.9404-0.0106*B116,4)</f>
        <v>0.89270000000000005</v>
      </c>
      <c r="C122" s="3381">
        <f>B122</f>
        <v>0.89270000000000005</v>
      </c>
      <c r="D122" s="3381">
        <f>ROUND(0.8955-0.0135*B116,4)</f>
        <v>0.83479999999999999</v>
      </c>
      <c r="E122" s="3381">
        <f t="shared" ref="E122:H122" si="42">D122</f>
        <v>0.83479999999999999</v>
      </c>
      <c r="F122" s="3381">
        <f t="shared" si="42"/>
        <v>0.83479999999999999</v>
      </c>
      <c r="G122" s="3381">
        <f t="shared" si="42"/>
        <v>0.83479999999999999</v>
      </c>
      <c r="H122" s="3381">
        <f t="shared" si="42"/>
        <v>0.83479999999999999</v>
      </c>
      <c r="I122" s="3381">
        <f>ROUND(0.7632-0.0166*B116,4)</f>
        <v>0.6885</v>
      </c>
      <c r="J122" s="3381">
        <f t="shared" si="40"/>
        <v>0.6885</v>
      </c>
      <c r="K122" s="3381">
        <f t="shared" si="40"/>
        <v>0.6885</v>
      </c>
      <c r="L122" s="3381">
        <f t="shared" si="40"/>
        <v>0.6885</v>
      </c>
      <c r="M122" s="3404">
        <f t="shared" si="40"/>
        <v>0.6885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3" zoomScale="80" zoomScaleNormal="60" zoomScaleSheetLayoutView="80" workbookViewId="0">
      <selection activeCell="A10" sqref="A10:XFD10"/>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7.21875" style="357" customWidth="1"/>
    <col min="6" max="6" width="12.21875" style="357" customWidth="1"/>
    <col min="7" max="7" width="18.21875" style="357" customWidth="1"/>
    <col min="8" max="8" width="12.21875" style="357" customWidth="1"/>
    <col min="9" max="9" width="17.55468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50108</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10333</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4.4">
      <c r="A4" s="355" t="s">
        <v>1767</v>
      </c>
      <c r="B4" s="356"/>
      <c r="C4" s="3757" t="s">
        <v>1768</v>
      </c>
      <c r="D4" s="3758"/>
      <c r="E4" s="3759" t="s">
        <v>1769</v>
      </c>
      <c r="F4" s="3760"/>
      <c r="G4" s="3757" t="s">
        <v>1770</v>
      </c>
      <c r="H4" s="3758"/>
      <c r="I4" s="3757" t="s">
        <v>1771</v>
      </c>
      <c r="J4" s="3758"/>
      <c r="K4" s="559" t="s">
        <v>1772</v>
      </c>
      <c r="L4" s="2708"/>
      <c r="M4" s="2709"/>
      <c r="N4" s="2709"/>
      <c r="O4" s="2709"/>
      <c r="P4" s="3761" t="s">
        <v>1773</v>
      </c>
      <c r="Q4" s="3762"/>
      <c r="R4" s="3744" t="s">
        <v>1769</v>
      </c>
      <c r="S4" s="3745"/>
      <c r="T4" s="3744" t="s">
        <v>1770</v>
      </c>
      <c r="U4" s="3745"/>
      <c r="V4" s="3769" t="s">
        <v>1771</v>
      </c>
      <c r="W4" s="3769"/>
      <c r="X4" s="1353"/>
      <c r="Y4" s="3744" t="s">
        <v>1773</v>
      </c>
      <c r="Z4" s="3745"/>
      <c r="AA4" s="3739" t="s">
        <v>1769</v>
      </c>
      <c r="AB4" s="3740" t="s">
        <v>1770</v>
      </c>
      <c r="AC4" s="3739" t="s">
        <v>1771</v>
      </c>
    </row>
    <row r="5" spans="1:30">
      <c r="A5" s="358"/>
      <c r="B5" s="359"/>
      <c r="C5" s="3750" t="s">
        <v>1671</v>
      </c>
      <c r="D5" s="3751"/>
      <c r="E5" s="3748" t="str">
        <f>土地案例!A2</f>
        <v>北京市通州经济开发区西区南扩区 三、五、六期棚户区改造项目 FZX-1102-6002地块 F3其他类多功能用地</v>
      </c>
      <c r="F5" s="3749"/>
      <c r="G5" s="3750" t="str">
        <f>土地案例!A3</f>
        <v>北京城市副中心1202街区FZX-1202-0001地块 F3其他类多功能用地</v>
      </c>
      <c r="H5" s="3751"/>
      <c r="I5" s="3750" t="str">
        <f>土地案例!A4</f>
        <v>北京市通州区张家湾车辆段综合利用供地项目FZX-1202-0079-02(上盖区)、FZX-1202-0079-03(落地区)、FZX-1202-0079-04(落地区)地块F3其他类多功能用地</v>
      </c>
      <c r="J5" s="3751"/>
      <c r="K5" s="559"/>
      <c r="L5" s="2708"/>
      <c r="M5" s="2709"/>
      <c r="N5" s="2709"/>
      <c r="O5" s="2709"/>
      <c r="P5" s="3763"/>
      <c r="Q5" s="3764"/>
      <c r="R5" s="3746"/>
      <c r="S5" s="3747"/>
      <c r="T5" s="3746"/>
      <c r="U5" s="3747"/>
      <c r="V5" s="3769"/>
      <c r="W5" s="3769"/>
      <c r="X5" s="1353"/>
      <c r="Y5" s="3746"/>
      <c r="Z5" s="3747"/>
      <c r="AA5" s="3740"/>
      <c r="AB5" s="3740"/>
      <c r="AC5" s="3740"/>
    </row>
    <row r="6" spans="1:30" ht="15" thickBot="1">
      <c r="A6" s="360"/>
      <c r="B6" s="361"/>
      <c r="C6" s="3752" t="s">
        <v>1675</v>
      </c>
      <c r="D6" s="3753"/>
      <c r="E6" s="3754" t="s">
        <v>1675</v>
      </c>
      <c r="F6" s="3755"/>
      <c r="G6" s="3752" t="s">
        <v>1675</v>
      </c>
      <c r="H6" s="3753"/>
      <c r="I6" s="3752" t="s">
        <v>1675</v>
      </c>
      <c r="J6" s="3753"/>
      <c r="K6" s="559" t="s">
        <v>1676</v>
      </c>
      <c r="L6" s="2708"/>
      <c r="M6" s="2709"/>
      <c r="N6" s="2709"/>
      <c r="O6" s="2709"/>
      <c r="P6" s="3765"/>
      <c r="Q6" s="3766"/>
      <c r="R6" s="3746"/>
      <c r="S6" s="3747"/>
      <c r="T6" s="3767"/>
      <c r="U6" s="3768"/>
      <c r="V6" s="3769"/>
      <c r="W6" s="3769"/>
      <c r="X6" s="1353"/>
      <c r="Y6" s="3767"/>
      <c r="Z6" s="3768"/>
      <c r="AA6" s="3741"/>
      <c r="AB6" s="3741"/>
      <c r="AC6" s="3741"/>
    </row>
    <row r="7" spans="1:30" s="108" customFormat="1" ht="15" thickBot="1">
      <c r="A7" s="362" t="s">
        <v>1677</v>
      </c>
      <c r="B7" s="363"/>
      <c r="C7" s="364">
        <f>'数据-取费表'!B2</f>
        <v>45146</v>
      </c>
      <c r="D7" s="365">
        <v>100</v>
      </c>
      <c r="E7" s="366">
        <f>土地案例!AC2</f>
        <v>44795.000497685185</v>
      </c>
      <c r="F7" s="367">
        <f>SUMIF(69:69,YEAR(E7)&amp;"-"&amp;INT((MONTH(E7)+2)/3),70:70)</f>
        <v>98</v>
      </c>
      <c r="G7" s="1970">
        <f>土地案例!AC3</f>
        <v>44761.000497685185</v>
      </c>
      <c r="H7" s="365">
        <f>SUMIF(69:69,YEAR(G7)&amp;"-"&amp;INT((MONTH(G7)+2)/3),70:70)</f>
        <v>98</v>
      </c>
      <c r="I7" s="1970">
        <f>土地案例!AC4</f>
        <v>44495.000497685185</v>
      </c>
      <c r="J7" s="365">
        <f>SUMIF(69:69,YEAR(I7)&amp;"-"&amp;INT((MONTH(I7)+2)/3),70:70)</f>
        <v>96.5</v>
      </c>
      <c r="K7" s="560"/>
      <c r="L7" s="2710"/>
      <c r="M7" s="2711"/>
      <c r="N7" s="2711"/>
      <c r="O7" s="2711"/>
      <c r="P7" s="3742" t="s">
        <v>1678</v>
      </c>
      <c r="Q7" s="3770"/>
      <c r="R7" s="700" t="s">
        <v>14</v>
      </c>
      <c r="S7" s="701">
        <f t="shared" ref="S7:S15" si="0">F7</f>
        <v>98</v>
      </c>
      <c r="T7" s="700" t="s">
        <v>14</v>
      </c>
      <c r="U7" s="701">
        <f t="shared" ref="U7:U15" si="1">H7</f>
        <v>98</v>
      </c>
      <c r="V7" s="700" t="s">
        <v>14</v>
      </c>
      <c r="W7" s="701">
        <f t="shared" ref="W7:W15" si="2">J7</f>
        <v>96.5</v>
      </c>
      <c r="X7" s="702"/>
      <c r="Y7" s="3742" t="s">
        <v>1678</v>
      </c>
      <c r="Z7" s="3743"/>
      <c r="AA7" s="703">
        <f>D7/F7</f>
        <v>1.0204081632653061</v>
      </c>
      <c r="AB7" s="703">
        <f>D7/H7</f>
        <v>1.0204081632653061</v>
      </c>
      <c r="AC7" s="703">
        <f>D7/J7</f>
        <v>1.0362694300518134</v>
      </c>
    </row>
    <row r="8" spans="1:30" s="108" customFormat="1" ht="1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42" t="s">
        <v>1681</v>
      </c>
      <c r="Q8" s="3743"/>
      <c r="R8" s="700" t="s">
        <v>14</v>
      </c>
      <c r="S8" s="701">
        <f t="shared" si="0"/>
        <v>100</v>
      </c>
      <c r="T8" s="700" t="s">
        <v>14</v>
      </c>
      <c r="U8" s="701">
        <f t="shared" si="1"/>
        <v>100</v>
      </c>
      <c r="V8" s="700" t="s">
        <v>14</v>
      </c>
      <c r="W8" s="701">
        <f t="shared" si="2"/>
        <v>100</v>
      </c>
      <c r="X8" s="702"/>
      <c r="Y8" s="3742" t="s">
        <v>1681</v>
      </c>
      <c r="Z8" s="3743"/>
      <c r="AA8" s="703">
        <f t="shared" ref="AA8:AA45" si="3">D8/F8</f>
        <v>1</v>
      </c>
      <c r="AB8" s="703">
        <f t="shared" ref="AB8:AB45" si="4">D8/H8</f>
        <v>1</v>
      </c>
      <c r="AC8" s="703">
        <f t="shared" ref="AC8:AC45" si="5">D8/J8</f>
        <v>1</v>
      </c>
    </row>
    <row r="9" spans="1:30" s="108" customFormat="1" ht="14.4">
      <c r="A9" s="369" t="s">
        <v>1682</v>
      </c>
      <c r="B9" s="63" t="s">
        <v>1683</v>
      </c>
      <c r="C9" s="1973" t="s">
        <v>3779</v>
      </c>
      <c r="D9" s="126">
        <v>100</v>
      </c>
      <c r="E9" s="1973" t="s">
        <v>3781</v>
      </c>
      <c r="F9" s="126">
        <f>SUMIF(74:74,E9,75:75)-SUMIF(74:74,C9,75:75)+100</f>
        <v>95</v>
      </c>
      <c r="G9" s="1973" t="s">
        <v>3781</v>
      </c>
      <c r="H9" s="126">
        <f>SUMIF(74:74,G9,75:75)-SUMIF(74:74,C9,75:75)+100</f>
        <v>95</v>
      </c>
      <c r="I9" s="1973" t="s">
        <v>3781</v>
      </c>
      <c r="J9" s="126">
        <f>SUMIF(74:74,I9,75:75)-SUMIF(74:74,C9,75:75)+100</f>
        <v>95</v>
      </c>
      <c r="K9" s="560"/>
      <c r="L9" s="2710"/>
      <c r="M9" s="2711"/>
      <c r="N9" s="2711"/>
      <c r="O9" s="2765"/>
      <c r="P9" s="3756" t="s">
        <v>1684</v>
      </c>
      <c r="Q9" s="1341" t="str">
        <f t="shared" ref="Q9:Q15" si="6">B9</f>
        <v>用途</v>
      </c>
      <c r="R9" s="700" t="s">
        <v>14</v>
      </c>
      <c r="S9" s="701">
        <f t="shared" si="0"/>
        <v>95</v>
      </c>
      <c r="T9" s="700" t="s">
        <v>14</v>
      </c>
      <c r="U9" s="701">
        <f t="shared" si="1"/>
        <v>95</v>
      </c>
      <c r="V9" s="700" t="s">
        <v>14</v>
      </c>
      <c r="W9" s="701">
        <f t="shared" si="2"/>
        <v>95</v>
      </c>
      <c r="X9" s="702"/>
      <c r="Y9" s="3688" t="s">
        <v>1685</v>
      </c>
      <c r="Z9" s="52" t="str">
        <f t="shared" ref="Z9:Z15" si="7">Q9</f>
        <v>用途</v>
      </c>
      <c r="AA9" s="703">
        <f t="shared" si="3"/>
        <v>1.0526315789473684</v>
      </c>
      <c r="AB9" s="703">
        <f t="shared" si="4"/>
        <v>1.0526315789473684</v>
      </c>
      <c r="AC9" s="703">
        <f t="shared" si="5"/>
        <v>1.0526315789473684</v>
      </c>
    </row>
    <row r="10" spans="1:30" s="378" customFormat="1" ht="28.8">
      <c r="A10" s="374"/>
      <c r="B10" s="375" t="s">
        <v>1686</v>
      </c>
      <c r="C10" s="383"/>
      <c r="D10" s="127">
        <v>100</v>
      </c>
      <c r="E10" s="416"/>
      <c r="F10" s="127">
        <f>ROUND(100/'数据-取费表'!G16,0)</f>
        <v>118</v>
      </c>
      <c r="G10" s="414"/>
      <c r="H10" s="127">
        <f>ROUND(100/'数据-取费表'!G16,0)</f>
        <v>118</v>
      </c>
      <c r="I10" s="414"/>
      <c r="J10" s="127">
        <f>ROUND(100/'数据-取费表'!G16,0)</f>
        <v>118</v>
      </c>
      <c r="K10" s="619"/>
      <c r="L10" s="2712"/>
      <c r="M10" s="2713"/>
      <c r="N10" s="2713"/>
      <c r="O10" s="2766"/>
      <c r="P10" s="3756"/>
      <c r="Q10" s="1341" t="str">
        <f t="shared" si="6"/>
        <v>土地使用年限（年）</v>
      </c>
      <c r="R10" s="700" t="s">
        <v>14</v>
      </c>
      <c r="S10" s="701">
        <f t="shared" si="0"/>
        <v>118</v>
      </c>
      <c r="T10" s="700" t="s">
        <v>14</v>
      </c>
      <c r="U10" s="701">
        <f t="shared" si="1"/>
        <v>118</v>
      </c>
      <c r="V10" s="700" t="s">
        <v>14</v>
      </c>
      <c r="W10" s="701">
        <f t="shared" si="2"/>
        <v>118</v>
      </c>
      <c r="X10" s="702"/>
      <c r="Y10" s="3688"/>
      <c r="Z10" s="52" t="str">
        <f t="shared" si="7"/>
        <v>土地使用年限（年）</v>
      </c>
      <c r="AA10" s="703">
        <f t="shared" si="3"/>
        <v>0.84745762711864403</v>
      </c>
      <c r="AB10" s="703">
        <f t="shared" si="4"/>
        <v>0.84745762711864403</v>
      </c>
      <c r="AC10" s="703">
        <f t="shared" si="5"/>
        <v>0.84745762711864403</v>
      </c>
    </row>
    <row r="11" spans="1:30" ht="15">
      <c r="A11" s="379"/>
      <c r="B11" s="375" t="s">
        <v>1687</v>
      </c>
      <c r="C11" s="380">
        <f>'数据-汇总表'!I7</f>
        <v>4.5</v>
      </c>
      <c r="D11" s="127">
        <v>100</v>
      </c>
      <c r="E11" s="380">
        <f>土地案例!K2</f>
        <v>2.2000000000000002</v>
      </c>
      <c r="F11" s="127">
        <f>LOOKUP(E11,79:79,80:80)-LOOKUP(C11,79:79,80:80)+100</f>
        <v>102</v>
      </c>
      <c r="G11" s="381">
        <f>土地案例!K3</f>
        <v>2.8</v>
      </c>
      <c r="H11" s="127">
        <f>LOOKUP(G11,79:79,80:80)-LOOKUP(C11,79:79,80:80)+100</f>
        <v>102</v>
      </c>
      <c r="I11" s="380">
        <f>土地案例!K4</f>
        <v>1.5</v>
      </c>
      <c r="J11" s="127">
        <f>LOOKUP(I11,79:79,80:80)-LOOKUP(C11,79:79,80:80)+100</f>
        <v>103</v>
      </c>
      <c r="K11" s="620">
        <v>1</v>
      </c>
      <c r="L11" s="2714"/>
      <c r="M11" s="2709"/>
      <c r="N11" s="2709"/>
      <c r="O11" s="2767"/>
      <c r="P11" s="3756"/>
      <c r="Q11" s="1341" t="str">
        <f t="shared" si="6"/>
        <v>容积率</v>
      </c>
      <c r="R11" s="700" t="s">
        <v>14</v>
      </c>
      <c r="S11" s="701">
        <f t="shared" si="0"/>
        <v>102</v>
      </c>
      <c r="T11" s="700" t="s">
        <v>14</v>
      </c>
      <c r="U11" s="701">
        <f t="shared" si="1"/>
        <v>102</v>
      </c>
      <c r="V11" s="700" t="s">
        <v>14</v>
      </c>
      <c r="W11" s="701">
        <f t="shared" si="2"/>
        <v>103</v>
      </c>
      <c r="X11" s="702"/>
      <c r="Y11" s="3688"/>
      <c r="Z11" s="52" t="str">
        <f t="shared" si="7"/>
        <v>容积率</v>
      </c>
      <c r="AA11" s="703">
        <f t="shared" si="3"/>
        <v>0.98039215686274506</v>
      </c>
      <c r="AB11" s="703">
        <f t="shared" si="4"/>
        <v>0.98039215686274506</v>
      </c>
      <c r="AC11" s="703">
        <f t="shared" si="5"/>
        <v>0.970873786407767</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56"/>
      <c r="Q12" s="1341" t="str">
        <f t="shared" si="6"/>
        <v>配建</v>
      </c>
      <c r="R12" s="700" t="s">
        <v>14</v>
      </c>
      <c r="S12" s="701">
        <f t="shared" si="0"/>
        <v>100</v>
      </c>
      <c r="T12" s="700" t="s">
        <v>14</v>
      </c>
      <c r="U12" s="701">
        <f t="shared" si="1"/>
        <v>100</v>
      </c>
      <c r="V12" s="700" t="s">
        <v>14</v>
      </c>
      <c r="W12" s="701">
        <f t="shared" si="2"/>
        <v>100</v>
      </c>
      <c r="X12" s="702"/>
      <c r="Y12" s="368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56"/>
      <c r="Q13" s="1341">
        <f t="shared" si="6"/>
        <v>111</v>
      </c>
      <c r="R13" s="700" t="s">
        <v>14</v>
      </c>
      <c r="S13" s="701">
        <f t="shared" si="0"/>
        <v>100</v>
      </c>
      <c r="T13" s="700" t="s">
        <v>14</v>
      </c>
      <c r="U13" s="701">
        <f t="shared" si="1"/>
        <v>100</v>
      </c>
      <c r="V13" s="700" t="s">
        <v>14</v>
      </c>
      <c r="W13" s="701">
        <f t="shared" si="2"/>
        <v>100</v>
      </c>
      <c r="X13" s="702"/>
      <c r="Y13" s="3688"/>
      <c r="Z13" s="52">
        <f t="shared" si="7"/>
        <v>111</v>
      </c>
      <c r="AA13" s="703">
        <f>D13/F13</f>
        <v>1</v>
      </c>
      <c r="AB13" s="703">
        <f>D13/H13</f>
        <v>1</v>
      </c>
      <c r="AC13" s="703">
        <f>D13/J13</f>
        <v>1</v>
      </c>
    </row>
    <row r="14" spans="1:30" ht="15.6"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56"/>
      <c r="Q14" s="1341">
        <f t="shared" si="6"/>
        <v>111</v>
      </c>
      <c r="R14" s="700" t="s">
        <v>14</v>
      </c>
      <c r="S14" s="701">
        <f t="shared" si="0"/>
        <v>100</v>
      </c>
      <c r="T14" s="700" t="s">
        <v>14</v>
      </c>
      <c r="U14" s="701">
        <f t="shared" si="1"/>
        <v>100</v>
      </c>
      <c r="V14" s="700" t="s">
        <v>14</v>
      </c>
      <c r="W14" s="701">
        <f t="shared" si="2"/>
        <v>100</v>
      </c>
      <c r="X14" s="702"/>
      <c r="Y14" s="3688"/>
      <c r="Z14" s="52">
        <f t="shared" si="7"/>
        <v>111</v>
      </c>
      <c r="AA14" s="703">
        <f>D14/F14</f>
        <v>1</v>
      </c>
      <c r="AB14" s="703">
        <f>D14/H14</f>
        <v>1</v>
      </c>
      <c r="AC14" s="703">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71" t="s">
        <v>1689</v>
      </c>
      <c r="Q15" s="1350" t="str">
        <f t="shared" si="6"/>
        <v>居住社区成熟度</v>
      </c>
      <c r="R15" s="704" t="s">
        <v>14</v>
      </c>
      <c r="S15" s="705">
        <f t="shared" si="0"/>
        <v>100</v>
      </c>
      <c r="T15" s="704" t="s">
        <v>14</v>
      </c>
      <c r="U15" s="705">
        <f t="shared" si="1"/>
        <v>100</v>
      </c>
      <c r="V15" s="704" t="s">
        <v>14</v>
      </c>
      <c r="W15" s="705">
        <f t="shared" si="2"/>
        <v>100</v>
      </c>
      <c r="X15" s="1353"/>
      <c r="Y15" s="3771"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5"/>
      <c r="M16" s="2709"/>
      <c r="N16" s="2709"/>
      <c r="O16" s="2767"/>
      <c r="P16" s="3772"/>
      <c r="Q16" s="1350"/>
      <c r="R16" s="704"/>
      <c r="S16" s="705"/>
      <c r="T16" s="704"/>
      <c r="U16" s="705"/>
      <c r="V16" s="704"/>
      <c r="W16" s="705"/>
      <c r="X16" s="1353"/>
      <c r="Y16" s="3772"/>
      <c r="Z16" s="1354"/>
      <c r="AA16" s="1351">
        <v>1</v>
      </c>
      <c r="AB16" s="1351">
        <v>1</v>
      </c>
      <c r="AC16" s="1351">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772"/>
      <c r="Q17" s="1350" t="str">
        <f>B17</f>
        <v>商业繁华度</v>
      </c>
      <c r="R17" s="704" t="s">
        <v>14</v>
      </c>
      <c r="S17" s="705">
        <f>F17</f>
        <v>100</v>
      </c>
      <c r="T17" s="704" t="s">
        <v>14</v>
      </c>
      <c r="U17" s="705">
        <f>H17</f>
        <v>100</v>
      </c>
      <c r="V17" s="704" t="s">
        <v>14</v>
      </c>
      <c r="W17" s="705">
        <f>J17</f>
        <v>100</v>
      </c>
      <c r="X17" s="1353"/>
      <c r="Y17" s="377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5"/>
      <c r="M18" s="2709"/>
      <c r="N18" s="2709"/>
      <c r="O18" s="2767"/>
      <c r="P18" s="3772"/>
      <c r="Q18" s="1350"/>
      <c r="R18" s="704"/>
      <c r="S18" s="705"/>
      <c r="T18" s="704"/>
      <c r="U18" s="705"/>
      <c r="V18" s="704"/>
      <c r="W18" s="705"/>
      <c r="X18" s="1353"/>
      <c r="Y18" s="3772"/>
      <c r="Z18" s="1354"/>
      <c r="AA18" s="1351">
        <v>1</v>
      </c>
      <c r="AB18" s="1351">
        <v>1</v>
      </c>
      <c r="AC18" s="1351">
        <v>1</v>
      </c>
    </row>
    <row r="19" spans="1:29" ht="15">
      <c r="A19" s="379"/>
      <c r="B19" s="402" t="s">
        <v>1809</v>
      </c>
      <c r="C19" s="1951"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772"/>
      <c r="Q19" s="1350" t="str">
        <f>B19</f>
        <v>办公集聚程度</v>
      </c>
      <c r="R19" s="704" t="s">
        <v>14</v>
      </c>
      <c r="S19" s="705">
        <f>F19</f>
        <v>100</v>
      </c>
      <c r="T19" s="704" t="s">
        <v>14</v>
      </c>
      <c r="U19" s="705">
        <f>H19</f>
        <v>100</v>
      </c>
      <c r="V19" s="704" t="s">
        <v>14</v>
      </c>
      <c r="W19" s="705">
        <f>J19</f>
        <v>100</v>
      </c>
      <c r="X19" s="1353"/>
      <c r="Y19" s="377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5"/>
      <c r="M20" s="2709"/>
      <c r="N20" s="2709"/>
      <c r="O20" s="2767"/>
      <c r="P20" s="3772"/>
      <c r="Q20" s="1350"/>
      <c r="R20" s="704"/>
      <c r="S20" s="705"/>
      <c r="T20" s="704"/>
      <c r="U20" s="705"/>
      <c r="V20" s="704"/>
      <c r="W20" s="705"/>
      <c r="X20" s="1353"/>
      <c r="Y20" s="3772"/>
      <c r="Z20" s="1354"/>
      <c r="AA20" s="1351">
        <v>1</v>
      </c>
      <c r="AB20" s="1351">
        <v>1</v>
      </c>
      <c r="AC20" s="1351">
        <v>1</v>
      </c>
    </row>
    <row r="21" spans="1:29" ht="15">
      <c r="A21" s="379"/>
      <c r="B21" s="402" t="s">
        <v>1831</v>
      </c>
      <c r="C21" s="1898"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772"/>
      <c r="Q21" s="1350" t="str">
        <f>B21</f>
        <v>交通便捷度</v>
      </c>
      <c r="R21" s="704" t="s">
        <v>14</v>
      </c>
      <c r="S21" s="705">
        <f>F21</f>
        <v>100</v>
      </c>
      <c r="T21" s="704" t="s">
        <v>14</v>
      </c>
      <c r="U21" s="705">
        <f>H21</f>
        <v>100</v>
      </c>
      <c r="V21" s="704" t="s">
        <v>14</v>
      </c>
      <c r="W21" s="705">
        <f>J21</f>
        <v>100</v>
      </c>
      <c r="X21" s="1353"/>
      <c r="Y21" s="3772"/>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15"/>
      <c r="M22" s="2709"/>
      <c r="N22" s="2709"/>
      <c r="O22" s="2767"/>
      <c r="P22" s="3772"/>
      <c r="Q22" s="1350"/>
      <c r="R22" s="704"/>
      <c r="S22" s="705"/>
      <c r="T22" s="704"/>
      <c r="U22" s="705"/>
      <c r="V22" s="704"/>
      <c r="W22" s="705"/>
      <c r="X22" s="1353"/>
      <c r="Y22" s="3772"/>
      <c r="Z22" s="1354"/>
      <c r="AA22" s="1351">
        <v>1</v>
      </c>
      <c r="AB22" s="1351">
        <v>1</v>
      </c>
      <c r="AC22" s="1351">
        <v>1</v>
      </c>
    </row>
    <row r="23" spans="1:29" ht="28.8">
      <c r="A23" s="358"/>
      <c r="B23" s="402" t="s">
        <v>1869</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772"/>
      <c r="Q23" s="1350" t="str">
        <f t="shared" ref="Q23:Q37" si="8">B23</f>
        <v>区域土地利用方向</v>
      </c>
      <c r="R23" s="704" t="s">
        <v>14</v>
      </c>
      <c r="S23" s="705">
        <f>F23</f>
        <v>100</v>
      </c>
      <c r="T23" s="704" t="s">
        <v>14</v>
      </c>
      <c r="U23" s="705">
        <f>H23</f>
        <v>100</v>
      </c>
      <c r="V23" s="704" t="s">
        <v>14</v>
      </c>
      <c r="W23" s="705">
        <f>J23</f>
        <v>100</v>
      </c>
      <c r="X23" s="1353"/>
      <c r="Y23" s="377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5"/>
      <c r="M24" s="2709"/>
      <c r="N24" s="2709"/>
      <c r="O24" s="2767"/>
      <c r="P24" s="3772"/>
      <c r="Q24" s="1350"/>
      <c r="R24" s="704"/>
      <c r="S24" s="705"/>
      <c r="T24" s="704"/>
      <c r="U24" s="705"/>
      <c r="V24" s="704"/>
      <c r="W24" s="705"/>
      <c r="X24" s="1353"/>
      <c r="Y24" s="3772"/>
      <c r="Z24" s="1354"/>
      <c r="AA24" s="1351"/>
      <c r="AB24" s="1351"/>
      <c r="AC24" s="1351"/>
    </row>
    <row r="25" spans="1:29" ht="28.8">
      <c r="A25" s="358"/>
      <c r="B25" s="1130"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772"/>
      <c r="Q25" s="1350" t="str">
        <f t="shared" si="8"/>
        <v>自然及人文环境状况</v>
      </c>
      <c r="R25" s="704" t="s">
        <v>14</v>
      </c>
      <c r="S25" s="705">
        <f>F25</f>
        <v>100</v>
      </c>
      <c r="T25" s="704" t="s">
        <v>14</v>
      </c>
      <c r="U25" s="705">
        <f>H25</f>
        <v>100</v>
      </c>
      <c r="V25" s="704" t="s">
        <v>14</v>
      </c>
      <c r="W25" s="705">
        <f>J25</f>
        <v>100</v>
      </c>
      <c r="X25" s="1353"/>
      <c r="Y25" s="377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5"/>
      <c r="M26" s="2709"/>
      <c r="N26" s="2709"/>
      <c r="O26" s="2767"/>
      <c r="P26" s="3772"/>
      <c r="Q26" s="1350"/>
      <c r="R26" s="704"/>
      <c r="S26" s="705"/>
      <c r="T26" s="704"/>
      <c r="U26" s="705"/>
      <c r="V26" s="704"/>
      <c r="W26" s="705"/>
      <c r="X26" s="1353"/>
      <c r="Y26" s="3772"/>
      <c r="Z26" s="1354"/>
      <c r="AA26" s="1351">
        <v>1</v>
      </c>
      <c r="AB26" s="1351">
        <v>1</v>
      </c>
      <c r="AC26" s="1351">
        <v>1</v>
      </c>
    </row>
    <row r="27" spans="1:29" s="108" customFormat="1" ht="15">
      <c r="A27" s="596"/>
      <c r="B27" s="1130" t="s">
        <v>1776</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772"/>
      <c r="Q27" s="1341" t="str">
        <f t="shared" si="8"/>
        <v>公共配套设施</v>
      </c>
      <c r="R27" s="700" t="s">
        <v>14</v>
      </c>
      <c r="S27" s="701">
        <f>F27</f>
        <v>100</v>
      </c>
      <c r="T27" s="700" t="s">
        <v>14</v>
      </c>
      <c r="U27" s="701">
        <f>H27</f>
        <v>100</v>
      </c>
      <c r="V27" s="700" t="s">
        <v>14</v>
      </c>
      <c r="W27" s="701">
        <f>J27</f>
        <v>100</v>
      </c>
      <c r="X27" s="702"/>
      <c r="Y27" s="3772"/>
      <c r="Z27" s="52" t="str">
        <f>Q27</f>
        <v>公共配套设施</v>
      </c>
      <c r="AA27" s="1351">
        <f>D27/F27</f>
        <v>1</v>
      </c>
      <c r="AB27" s="1351">
        <f>D27/H27</f>
        <v>1</v>
      </c>
      <c r="AC27" s="1351">
        <f>D27/J27</f>
        <v>1</v>
      </c>
    </row>
    <row r="28" spans="1:29" s="108" customFormat="1" ht="15">
      <c r="A28" s="596"/>
      <c r="B28" s="407"/>
      <c r="C28" s="1974"/>
      <c r="D28" s="399"/>
      <c r="E28" s="1902"/>
      <c r="F28" s="399"/>
      <c r="G28" s="1902"/>
      <c r="H28" s="399"/>
      <c r="I28" s="398"/>
      <c r="J28" s="399"/>
      <c r="K28" s="619"/>
      <c r="L28" s="2710"/>
      <c r="M28" s="2711"/>
      <c r="N28" s="2711"/>
      <c r="O28" s="2765"/>
      <c r="P28" s="3772"/>
      <c r="Q28" s="1341"/>
      <c r="R28" s="700"/>
      <c r="S28" s="701"/>
      <c r="T28" s="700"/>
      <c r="U28" s="701"/>
      <c r="V28" s="700"/>
      <c r="W28" s="701"/>
      <c r="X28" s="702"/>
      <c r="Y28" s="3772"/>
      <c r="Z28" s="52"/>
      <c r="AA28" s="1351">
        <v>1</v>
      </c>
      <c r="AB28" s="1351">
        <v>1</v>
      </c>
      <c r="AC28" s="1351">
        <v>1</v>
      </c>
    </row>
    <row r="29" spans="1:29" s="108" customFormat="1" ht="15">
      <c r="A29" s="596"/>
      <c r="B29" s="1130" t="s">
        <v>1777</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772"/>
      <c r="Q29" s="1341" t="str">
        <f t="shared" ref="Q29" si="9">B29</f>
        <v>基础设施水平</v>
      </c>
      <c r="R29" s="700" t="s">
        <v>14</v>
      </c>
      <c r="S29" s="701">
        <f>F29</f>
        <v>100</v>
      </c>
      <c r="T29" s="700" t="s">
        <v>14</v>
      </c>
      <c r="U29" s="701">
        <f>H29</f>
        <v>100</v>
      </c>
      <c r="V29" s="700" t="s">
        <v>14</v>
      </c>
      <c r="W29" s="701">
        <f>J29</f>
        <v>100</v>
      </c>
      <c r="X29" s="702"/>
      <c r="Y29" s="3772"/>
      <c r="Z29" s="52" t="str">
        <f>Q29</f>
        <v>基础设施水平</v>
      </c>
      <c r="AA29" s="1351">
        <f>D29/F29</f>
        <v>1</v>
      </c>
      <c r="AB29" s="1351">
        <f>D29/H29</f>
        <v>1</v>
      </c>
      <c r="AC29" s="1351">
        <f>D29/J29</f>
        <v>1</v>
      </c>
    </row>
    <row r="30" spans="1:29" s="108" customFormat="1" ht="15">
      <c r="A30" s="596"/>
      <c r="B30" s="407"/>
      <c r="C30" s="1974"/>
      <c r="D30" s="399"/>
      <c r="E30" s="1975"/>
      <c r="F30" s="399"/>
      <c r="G30" s="1975"/>
      <c r="H30" s="399"/>
      <c r="I30" s="1975"/>
      <c r="J30" s="399"/>
      <c r="K30" s="619"/>
      <c r="L30" s="2710"/>
      <c r="M30" s="2711"/>
      <c r="N30" s="2711"/>
      <c r="O30" s="2765"/>
      <c r="P30" s="3772"/>
      <c r="Q30" s="1341"/>
      <c r="R30" s="700"/>
      <c r="S30" s="701"/>
      <c r="T30" s="700"/>
      <c r="U30" s="701"/>
      <c r="V30" s="700"/>
      <c r="W30" s="701"/>
      <c r="X30" s="702"/>
      <c r="Y30" s="3772"/>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77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72"/>
      <c r="Z31" s="1354" t="str">
        <f t="shared" ref="Z31:Z45" si="13">Q31</f>
        <v>临街状况</v>
      </c>
      <c r="AA31" s="1351">
        <f t="shared" si="3"/>
        <v>1</v>
      </c>
      <c r="AB31" s="1351">
        <f t="shared" si="4"/>
        <v>1</v>
      </c>
      <c r="AC31" s="1351">
        <f t="shared" si="5"/>
        <v>1</v>
      </c>
    </row>
    <row r="32" spans="1:29" ht="28.8">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72"/>
      <c r="Q32" s="1350" t="str">
        <f t="shared" si="8"/>
        <v>毗邻道路的类型与等级</v>
      </c>
      <c r="R32" s="704" t="s">
        <v>14</v>
      </c>
      <c r="S32" s="705">
        <f t="shared" si="10"/>
        <v>100</v>
      </c>
      <c r="T32" s="704" t="s">
        <v>14</v>
      </c>
      <c r="U32" s="705">
        <f t="shared" si="11"/>
        <v>100</v>
      </c>
      <c r="V32" s="704" t="s">
        <v>14</v>
      </c>
      <c r="W32" s="705">
        <f t="shared" si="12"/>
        <v>100</v>
      </c>
      <c r="X32" s="1353"/>
      <c r="Y32" s="377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72"/>
      <c r="Q33" s="1350"/>
      <c r="R33" s="704"/>
      <c r="S33" s="705"/>
      <c r="T33" s="704"/>
      <c r="U33" s="705"/>
      <c r="V33" s="704"/>
      <c r="W33" s="705"/>
      <c r="X33" s="1353"/>
      <c r="Y33" s="3772"/>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72"/>
      <c r="Q34" s="1350" t="str">
        <f t="shared" si="8"/>
        <v>土地级别</v>
      </c>
      <c r="R34" s="704" t="s">
        <v>14</v>
      </c>
      <c r="S34" s="705">
        <f t="shared" si="10"/>
        <v>100</v>
      </c>
      <c r="T34" s="704" t="s">
        <v>14</v>
      </c>
      <c r="U34" s="705">
        <f t="shared" si="11"/>
        <v>100</v>
      </c>
      <c r="V34" s="704" t="s">
        <v>14</v>
      </c>
      <c r="W34" s="705">
        <f t="shared" si="12"/>
        <v>100</v>
      </c>
      <c r="X34" s="1353"/>
      <c r="Y34" s="3772"/>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72"/>
      <c r="Q35" s="1350">
        <f t="shared" si="8"/>
        <v>111</v>
      </c>
      <c r="R35" s="704" t="s">
        <v>14</v>
      </c>
      <c r="S35" s="705">
        <f t="shared" si="10"/>
        <v>100</v>
      </c>
      <c r="T35" s="704" t="s">
        <v>14</v>
      </c>
      <c r="U35" s="705">
        <f t="shared" si="11"/>
        <v>100</v>
      </c>
      <c r="V35" s="704" t="s">
        <v>14</v>
      </c>
      <c r="W35" s="705">
        <f t="shared" si="12"/>
        <v>100</v>
      </c>
      <c r="X35" s="1353"/>
      <c r="Y35" s="3772"/>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773" t="s">
        <v>1694</v>
      </c>
      <c r="Q36" s="1350">
        <f t="shared" si="8"/>
        <v>111</v>
      </c>
      <c r="R36" s="704" t="s">
        <v>14</v>
      </c>
      <c r="S36" s="705">
        <f t="shared" si="10"/>
        <v>100</v>
      </c>
      <c r="T36" s="704" t="s">
        <v>14</v>
      </c>
      <c r="U36" s="705">
        <f t="shared" si="11"/>
        <v>100</v>
      </c>
      <c r="V36" s="704" t="s">
        <v>14</v>
      </c>
      <c r="W36" s="705">
        <f t="shared" si="12"/>
        <v>100</v>
      </c>
      <c r="X36" s="1353"/>
      <c r="Y36" s="3774" t="s">
        <v>1694</v>
      </c>
      <c r="Z36" s="1354">
        <f t="shared" si="13"/>
        <v>111</v>
      </c>
      <c r="AA36" s="1351">
        <f t="shared" si="3"/>
        <v>1</v>
      </c>
      <c r="AB36" s="1351">
        <f t="shared" si="4"/>
        <v>1</v>
      </c>
      <c r="AC36" s="1351">
        <f t="shared" si="5"/>
        <v>1</v>
      </c>
    </row>
    <row r="37" spans="1:29" s="422" customFormat="1" ht="15.6"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74"/>
      <c r="Q37" s="1350">
        <f t="shared" si="8"/>
        <v>111</v>
      </c>
      <c r="R37" s="707" t="s">
        <v>14</v>
      </c>
      <c r="S37" s="708">
        <f t="shared" si="10"/>
        <v>100</v>
      </c>
      <c r="T37" s="707" t="s">
        <v>14</v>
      </c>
      <c r="U37" s="708">
        <f t="shared" si="11"/>
        <v>100</v>
      </c>
      <c r="V37" s="707" t="s">
        <v>14</v>
      </c>
      <c r="W37" s="708">
        <f t="shared" si="12"/>
        <v>100</v>
      </c>
      <c r="X37" s="709"/>
      <c r="Y37" s="3774"/>
      <c r="Z37" s="710">
        <f t="shared" si="13"/>
        <v>111</v>
      </c>
      <c r="AA37" s="1351">
        <f t="shared" si="3"/>
        <v>1</v>
      </c>
      <c r="AB37" s="1351">
        <f t="shared" si="4"/>
        <v>1</v>
      </c>
      <c r="AC37" s="1351">
        <f t="shared" si="5"/>
        <v>1</v>
      </c>
    </row>
    <row r="38" spans="1:29" ht="15.6">
      <c r="A38" s="423" t="s">
        <v>1692</v>
      </c>
      <c r="B38" s="407" t="s">
        <v>1872</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106</v>
      </c>
      <c r="K38" s="562"/>
      <c r="L38" s="2715"/>
      <c r="M38" s="2709"/>
      <c r="N38" s="2709"/>
      <c r="O38" s="2767"/>
      <c r="P38" s="3774"/>
      <c r="Q38" s="1350" t="str">
        <f>B38</f>
        <v>宗地面积</v>
      </c>
      <c r="R38" s="704" t="s">
        <v>14</v>
      </c>
      <c r="S38" s="705">
        <f t="shared" si="10"/>
        <v>100</v>
      </c>
      <c r="T38" s="704" t="s">
        <v>14</v>
      </c>
      <c r="U38" s="705">
        <f t="shared" si="11"/>
        <v>100</v>
      </c>
      <c r="V38" s="704" t="s">
        <v>14</v>
      </c>
      <c r="W38" s="705">
        <f t="shared" si="12"/>
        <v>106</v>
      </c>
      <c r="X38" s="1353"/>
      <c r="Y38" s="3774"/>
      <c r="Z38" s="1354" t="str">
        <f t="shared" si="13"/>
        <v>宗地面积</v>
      </c>
      <c r="AA38" s="1351">
        <f t="shared" si="3"/>
        <v>1</v>
      </c>
      <c r="AB38" s="1351">
        <f t="shared" si="4"/>
        <v>1</v>
      </c>
      <c r="AC38" s="1351">
        <f t="shared" si="5"/>
        <v>0.94339622641509435</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74"/>
      <c r="Q39" s="1350" t="str">
        <f t="shared" ref="Q39:Q45" si="14">B39</f>
        <v>宗地形状</v>
      </c>
      <c r="R39" s="704" t="s">
        <v>14</v>
      </c>
      <c r="S39" s="705">
        <f t="shared" si="10"/>
        <v>100</v>
      </c>
      <c r="T39" s="704" t="s">
        <v>14</v>
      </c>
      <c r="U39" s="705">
        <f t="shared" si="11"/>
        <v>100</v>
      </c>
      <c r="V39" s="704" t="s">
        <v>14</v>
      </c>
      <c r="W39" s="705">
        <f t="shared" si="12"/>
        <v>100</v>
      </c>
      <c r="X39" s="1353"/>
      <c r="Y39" s="3774"/>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74"/>
      <c r="Q40" s="1350" t="str">
        <f t="shared" si="14"/>
        <v>临街宽度及深度</v>
      </c>
      <c r="R40" s="704" t="s">
        <v>14</v>
      </c>
      <c r="S40" s="705">
        <f t="shared" si="10"/>
        <v>100</v>
      </c>
      <c r="T40" s="704" t="s">
        <v>14</v>
      </c>
      <c r="U40" s="705">
        <f t="shared" si="11"/>
        <v>100</v>
      </c>
      <c r="V40" s="704" t="s">
        <v>14</v>
      </c>
      <c r="W40" s="705">
        <f t="shared" si="12"/>
        <v>100</v>
      </c>
      <c r="X40" s="1353"/>
      <c r="Y40" s="3774"/>
      <c r="Z40" s="1354" t="str">
        <f t="shared" si="13"/>
        <v>临街宽度及深度</v>
      </c>
      <c r="AA40" s="1351">
        <f t="shared" si="3"/>
        <v>1</v>
      </c>
      <c r="AB40" s="1351">
        <f t="shared" si="4"/>
        <v>1</v>
      </c>
      <c r="AC40" s="1351">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74"/>
      <c r="Q41" s="1350" t="str">
        <f t="shared" si="14"/>
        <v>宗地开发程度</v>
      </c>
      <c r="R41" s="700" t="s">
        <v>14</v>
      </c>
      <c r="S41" s="701">
        <f t="shared" si="10"/>
        <v>100</v>
      </c>
      <c r="T41" s="700" t="s">
        <v>14</v>
      </c>
      <c r="U41" s="701">
        <f t="shared" si="11"/>
        <v>100</v>
      </c>
      <c r="V41" s="700" t="s">
        <v>14</v>
      </c>
      <c r="W41" s="701">
        <f t="shared" si="12"/>
        <v>100</v>
      </c>
      <c r="X41" s="702"/>
      <c r="Y41" s="3774"/>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74" t="s">
        <v>1694</v>
      </c>
      <c r="Q42" s="1350" t="str">
        <f t="shared" si="14"/>
        <v>工程地质条件</v>
      </c>
      <c r="R42" s="704" t="s">
        <v>14</v>
      </c>
      <c r="S42" s="705">
        <f t="shared" si="10"/>
        <v>100</v>
      </c>
      <c r="T42" s="704" t="s">
        <v>14</v>
      </c>
      <c r="U42" s="705">
        <f t="shared" si="11"/>
        <v>100</v>
      </c>
      <c r="V42" s="704" t="s">
        <v>14</v>
      </c>
      <c r="W42" s="705">
        <f t="shared" si="12"/>
        <v>100</v>
      </c>
      <c r="X42" s="1353"/>
      <c r="Y42" s="3774"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74"/>
      <c r="Q43" s="1350">
        <f t="shared" si="14"/>
        <v>111</v>
      </c>
      <c r="R43" s="704" t="s">
        <v>14</v>
      </c>
      <c r="S43" s="705">
        <f t="shared" si="10"/>
        <v>100</v>
      </c>
      <c r="T43" s="704" t="s">
        <v>14</v>
      </c>
      <c r="U43" s="705">
        <f t="shared" si="11"/>
        <v>100</v>
      </c>
      <c r="V43" s="704" t="s">
        <v>14</v>
      </c>
      <c r="W43" s="705">
        <f t="shared" si="12"/>
        <v>100</v>
      </c>
      <c r="X43" s="1353"/>
      <c r="Y43" s="3774"/>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74"/>
      <c r="Q44" s="1350">
        <f t="shared" si="14"/>
        <v>111</v>
      </c>
      <c r="R44" s="704" t="s">
        <v>14</v>
      </c>
      <c r="S44" s="705">
        <f t="shared" si="10"/>
        <v>100</v>
      </c>
      <c r="T44" s="704" t="s">
        <v>14</v>
      </c>
      <c r="U44" s="705">
        <f t="shared" si="11"/>
        <v>100</v>
      </c>
      <c r="V44" s="704" t="s">
        <v>14</v>
      </c>
      <c r="W44" s="705">
        <f t="shared" si="12"/>
        <v>100</v>
      </c>
      <c r="X44" s="1353"/>
      <c r="Y44" s="3774"/>
      <c r="Z44" s="1354">
        <f t="shared" si="13"/>
        <v>111</v>
      </c>
      <c r="AA44" s="1351">
        <f t="shared" si="3"/>
        <v>1</v>
      </c>
      <c r="AB44" s="1351">
        <f t="shared" si="4"/>
        <v>1</v>
      </c>
      <c r="AC44" s="1351">
        <f t="shared" si="5"/>
        <v>1</v>
      </c>
    </row>
    <row r="45" spans="1:29" s="422" customFormat="1" ht="15.6"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74"/>
      <c r="Q45" s="1350">
        <f t="shared" si="14"/>
        <v>111</v>
      </c>
      <c r="R45" s="707" t="s">
        <v>14</v>
      </c>
      <c r="S45" s="708">
        <f t="shared" si="10"/>
        <v>100</v>
      </c>
      <c r="T45" s="707" t="s">
        <v>14</v>
      </c>
      <c r="U45" s="708">
        <f t="shared" si="11"/>
        <v>100</v>
      </c>
      <c r="V45" s="707" t="s">
        <v>14</v>
      </c>
      <c r="W45" s="708">
        <f t="shared" si="12"/>
        <v>100</v>
      </c>
      <c r="X45" s="709"/>
      <c r="Y45" s="3774"/>
      <c r="Z45" s="710">
        <f t="shared" si="13"/>
        <v>111</v>
      </c>
      <c r="AA45" s="1351">
        <f t="shared" si="3"/>
        <v>1</v>
      </c>
      <c r="AB45" s="1351">
        <f t="shared" si="4"/>
        <v>1</v>
      </c>
      <c r="AC45" s="1351">
        <f t="shared" si="5"/>
        <v>1</v>
      </c>
    </row>
    <row r="46" spans="1:29" ht="14.4">
      <c r="A46" s="430" t="s">
        <v>1842</v>
      </c>
      <c r="B46" s="1978" t="s">
        <v>1877</v>
      </c>
      <c r="C46" s="629" t="s">
        <v>0</v>
      </c>
      <c r="D46" s="432"/>
      <c r="E46" s="433">
        <f>土地案例!AP2</f>
        <v>16545</v>
      </c>
      <c r="F46" s="434"/>
      <c r="G46" s="435">
        <f>土地案例!AP3</f>
        <v>16835</v>
      </c>
      <c r="H46" s="436"/>
      <c r="I46" s="433">
        <f>土地案例!AP4</f>
        <v>16778</v>
      </c>
      <c r="J46" s="436"/>
      <c r="K46" s="713"/>
      <c r="L46" s="2717"/>
      <c r="M46" s="2718"/>
      <c r="N46" s="2709"/>
      <c r="O46" s="2718"/>
      <c r="P46" s="3756" t="str">
        <f>A46</f>
        <v>成交单价</v>
      </c>
      <c r="Q46" s="3756"/>
      <c r="R46" s="3769">
        <f>E46</f>
        <v>16545</v>
      </c>
      <c r="S46" s="3769"/>
      <c r="T46" s="3769">
        <f>G46</f>
        <v>16835</v>
      </c>
      <c r="U46" s="3769"/>
      <c r="V46" s="3769">
        <f>I46</f>
        <v>16778</v>
      </c>
      <c r="W46" s="3769"/>
      <c r="X46" s="689"/>
      <c r="Y46" s="711"/>
      <c r="Z46" s="689"/>
      <c r="AA46" s="689"/>
      <c r="AB46" s="689"/>
      <c r="AC46" s="689"/>
    </row>
    <row r="47" spans="1:29" ht="15" thickBot="1">
      <c r="A47" s="437" t="s">
        <v>1791</v>
      </c>
      <c r="B47" s="630"/>
      <c r="C47" s="440">
        <f>R48</f>
        <v>14665</v>
      </c>
      <c r="D47" s="2313" t="s">
        <v>2135</v>
      </c>
      <c r="E47" s="440">
        <f>R47</f>
        <v>14765</v>
      </c>
      <c r="F47" s="2314"/>
      <c r="G47" s="439">
        <f>T47</f>
        <v>15024</v>
      </c>
      <c r="H47" s="2314"/>
      <c r="I47" s="440">
        <f>V47</f>
        <v>14206</v>
      </c>
      <c r="J47" s="2314"/>
      <c r="K47" s="2316">
        <f>F47+H47+J47</f>
        <v>0</v>
      </c>
      <c r="L47" s="2717"/>
      <c r="M47" s="2718"/>
      <c r="N47" s="2718"/>
      <c r="O47" s="2718"/>
      <c r="P47" s="3756" t="str">
        <f>A47</f>
        <v>比较价值（元/平方米）</v>
      </c>
      <c r="Q47" s="3756"/>
      <c r="R47" s="3775">
        <f>ROUND(PRODUCT(R46,AA7:AA45),0)</f>
        <v>14765</v>
      </c>
      <c r="S47" s="3775"/>
      <c r="T47" s="3775">
        <f>ROUND(PRODUCT(T46,AB7:AB45),0)</f>
        <v>15024</v>
      </c>
      <c r="U47" s="3775"/>
      <c r="V47" s="3775">
        <f>ROUND(PRODUCT(V46,AC7:AC45),0)</f>
        <v>14206</v>
      </c>
      <c r="W47" s="3775"/>
      <c r="X47" s="689"/>
      <c r="Y47" s="689"/>
      <c r="Z47" s="689"/>
      <c r="AA47" s="689"/>
      <c r="AB47" s="689"/>
      <c r="AC47" s="689"/>
    </row>
    <row r="48" spans="1:29" ht="15" thickBot="1">
      <c r="A48" s="441" t="s">
        <v>1878</v>
      </c>
      <c r="B48" s="442"/>
      <c r="C48" s="443">
        <f>R48</f>
        <v>14665</v>
      </c>
      <c r="D48" s="443"/>
      <c r="E48" s="443"/>
      <c r="F48" s="443"/>
      <c r="G48" s="443"/>
      <c r="H48" s="443"/>
      <c r="I48" s="443"/>
      <c r="J48" s="443"/>
      <c r="K48" s="714"/>
      <c r="L48" s="2717"/>
      <c r="M48" s="2718"/>
      <c r="N48" s="2718"/>
      <c r="O48" s="2718"/>
      <c r="P48" s="3776" t="str">
        <f>A48</f>
        <v>估价对象XX用房的比较价值（楼面单价，元/平方米）</v>
      </c>
      <c r="Q48" s="3777"/>
      <c r="R48" s="3778">
        <f>ROUND(IF(D47="简单平均",AVERAGE(R47:W47),R47*F47+T47*H47+V47*J47),0)</f>
        <v>14665</v>
      </c>
      <c r="S48" s="3778"/>
      <c r="T48" s="3778"/>
      <c r="U48" s="3778"/>
      <c r="V48" s="3778"/>
      <c r="W48" s="3778"/>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0.1205553674229598</v>
      </c>
      <c r="F51" s="449" t="str">
        <f>IF(OR(E51&gt;=0.3,E51&lt;=-0.3),"超过30%","")</f>
        <v/>
      </c>
      <c r="G51" s="448">
        <f>IF(G46&lt;G47,G47/G46-1,G46/G47-1)</f>
        <v>0.12054046858359957</v>
      </c>
      <c r="H51" s="449" t="str">
        <f>IF(OR(G51&gt;=0.3,G51&lt;=-0.3),"超过30%","")</f>
        <v/>
      </c>
      <c r="I51" s="448">
        <f>IF(I46&lt;I47,I47/I46-1,I46/I47-1)</f>
        <v>0.1810502604533295</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1.7541483237385691E-2</v>
      </c>
      <c r="F52" s="449" t="str">
        <f>IF(OR(E52&gt;=0.2,E52&lt;=-0.2),"超过20%","")</f>
        <v/>
      </c>
      <c r="G52" s="448">
        <f>IF(G47&lt;I47,I47/G47-1,G47/I47-1)</f>
        <v>5.7581303674503648E-2</v>
      </c>
      <c r="H52" s="449" t="str">
        <f>IF(OR(G52&gt;=0.2,G52&lt;=-0.2),"超过20%","")</f>
        <v/>
      </c>
      <c r="I52" s="448">
        <f>IF(I47&lt;E47,E47/I47-1,I47/E47-1)</f>
        <v>3.9349570603970152E-2</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4.4"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79" t="s">
        <v>1881</v>
      </c>
      <c r="D55" s="1980" t="s">
        <v>1882</v>
      </c>
      <c r="E55" s="633" t="s">
        <v>1883</v>
      </c>
      <c r="F55" s="889" t="s">
        <v>1884</v>
      </c>
      <c r="G55" s="3757" t="s">
        <v>1885</v>
      </c>
      <c r="H55" s="3779"/>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f>C48</f>
        <v>14665</v>
      </c>
      <c r="C56" s="637">
        <v>1</v>
      </c>
      <c r="D56" s="943">
        <v>1</v>
      </c>
      <c r="E56" s="637">
        <f>'数据-汇总表'!E8+'数据-汇总表'!E9</f>
        <v>33021.620000000003</v>
      </c>
      <c r="F56" s="885">
        <f t="shared" ref="F56:F64" si="15">ROUND(B56*E56/10000,0)</f>
        <v>48426</v>
      </c>
      <c r="G56" s="3780"/>
      <c r="H56" s="3756"/>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1889</v>
      </c>
      <c r="B57" s="218">
        <f>ROUND($C$48*C57*D57,0)</f>
        <v>2200</v>
      </c>
      <c r="C57" s="171">
        <f t="shared" ref="C57:C64" si="16">IF($C$55="北京市系数",I57,J57)</f>
        <v>0.6</v>
      </c>
      <c r="D57" s="944">
        <v>0.25</v>
      </c>
      <c r="E57" s="641">
        <f>基准地价修正!D37</f>
        <v>5308</v>
      </c>
      <c r="F57" s="885">
        <f t="shared" si="15"/>
        <v>1168</v>
      </c>
      <c r="G57" s="2999" t="s">
        <v>1890</v>
      </c>
      <c r="H57" s="886" t="str">
        <f>项目基本情况!B37</f>
        <v>四级</v>
      </c>
      <c r="I57" s="890">
        <f>SUMIF(修正!A57:A68,H57,修正!B57:B68)</f>
        <v>0.6</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1891</v>
      </c>
      <c r="B58" s="218">
        <f t="shared" ref="B58:B64" si="17">ROUND($C$48*C58*D58,0)</f>
        <v>1100</v>
      </c>
      <c r="C58" s="171">
        <f t="shared" si="16"/>
        <v>0.3</v>
      </c>
      <c r="D58" s="944">
        <v>0.25</v>
      </c>
      <c r="E58" s="641">
        <f>基准地价修正!D38</f>
        <v>4677</v>
      </c>
      <c r="F58" s="885">
        <f t="shared" si="15"/>
        <v>514</v>
      </c>
      <c r="G58" s="3000"/>
      <c r="H58" s="886" t="str">
        <f>项目基本情况!B37</f>
        <v>四级</v>
      </c>
      <c r="I58" s="890">
        <f>SUMIF(修正!A57:A68,H58,修正!C57:C68)</f>
        <v>0.3</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1892</v>
      </c>
      <c r="B59" s="218">
        <f t="shared" si="17"/>
        <v>917</v>
      </c>
      <c r="C59" s="171">
        <f t="shared" si="16"/>
        <v>0.25</v>
      </c>
      <c r="D59" s="944">
        <v>0.25</v>
      </c>
      <c r="E59" s="641"/>
      <c r="F59" s="885">
        <f t="shared" si="15"/>
        <v>0</v>
      </c>
      <c r="G59" s="3000"/>
      <c r="H59" s="886" t="str">
        <f>项目基本情况!B37</f>
        <v>四级</v>
      </c>
      <c r="I59" s="890">
        <f>SUMIF(修正!A57:A68,H59,修正!D57:D68)</f>
        <v>0.25</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1899</v>
      </c>
      <c r="B63" s="218">
        <f t="shared" si="17"/>
        <v>550</v>
      </c>
      <c r="C63" s="171">
        <f t="shared" si="16"/>
        <v>0.15</v>
      </c>
      <c r="D63" s="944">
        <v>0.25</v>
      </c>
      <c r="E63" s="217">
        <f>'数据-汇总表'!E14</f>
        <v>0</v>
      </c>
      <c r="F63" s="885">
        <f t="shared" si="15"/>
        <v>0</v>
      </c>
      <c r="G63" s="1983" t="s">
        <v>1890</v>
      </c>
      <c r="H63" s="886" t="str">
        <f>项目基本情况!B37</f>
        <v>四级</v>
      </c>
      <c r="I63" s="890">
        <f>SUMIF(修正!A57:A68,H63,修正!G57:G68)</f>
        <v>0.15</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4.4"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thickBot="1">
      <c r="A65" s="642" t="s">
        <v>1901</v>
      </c>
      <c r="B65" s="643" t="s">
        <v>22</v>
      </c>
      <c r="C65" s="643" t="s">
        <v>23</v>
      </c>
      <c r="D65" s="643" t="s">
        <v>392</v>
      </c>
      <c r="E65" s="643">
        <f>IF(B46="楼面地价",SUM(E56:E64),'数据-汇总表'!D3)</f>
        <v>43006.62</v>
      </c>
      <c r="F65" s="644">
        <f>IF(B46="楼面地价",SUM(F56:F64),ROUND(C48*E65/10000,0))</f>
        <v>50108</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8"/>
      <c r="Q67" s="2718"/>
      <c r="R67" s="2718"/>
      <c r="S67" s="2718"/>
      <c r="T67" s="2718"/>
      <c r="U67" s="2718"/>
      <c r="V67" s="2718"/>
      <c r="W67" s="2718"/>
      <c r="X67" s="2718"/>
      <c r="Y67" s="2718"/>
      <c r="Z67" s="2718"/>
      <c r="AA67" s="2718"/>
      <c r="AB67" s="2718"/>
      <c r="AC67" s="2718"/>
    </row>
    <row r="68" spans="1:29" ht="22.2" thickBot="1">
      <c r="A68" s="693" t="s">
        <v>1796</v>
      </c>
      <c r="B68" s="689"/>
      <c r="C68" s="694"/>
      <c r="D68" s="694"/>
      <c r="E68" s="694"/>
      <c r="F68" s="695"/>
      <c r="G68" s="695"/>
      <c r="H68" s="694"/>
      <c r="I68" s="694"/>
      <c r="J68" s="939"/>
      <c r="K68" s="940"/>
      <c r="L68" s="941"/>
      <c r="M68" s="939"/>
      <c r="N68" s="2762"/>
      <c r="O68" s="2762"/>
      <c r="P68" s="2762"/>
      <c r="Q68" s="2732"/>
      <c r="R68" s="2718"/>
      <c r="S68" s="2718"/>
      <c r="T68" s="2718"/>
      <c r="U68" s="2718"/>
      <c r="V68" s="2718"/>
      <c r="W68" s="2718"/>
      <c r="X68" s="2718"/>
      <c r="Y68" s="2718"/>
      <c r="Z68" s="2718"/>
      <c r="AA68" s="2718"/>
      <c r="AB68" s="2718"/>
      <c r="AC68" s="2718"/>
    </row>
    <row r="69" spans="1:29" s="457" customFormat="1" ht="14.4">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9"/>
      <c r="Q69" s="2734"/>
      <c r="R69" s="2734"/>
      <c r="S69" s="2734"/>
      <c r="T69" s="2734"/>
      <c r="U69" s="2734"/>
      <c r="V69" s="2734"/>
      <c r="W69" s="2734"/>
      <c r="X69" s="2734"/>
      <c r="Y69" s="2734"/>
      <c r="Z69" s="2734"/>
      <c r="AA69" s="2734"/>
      <c r="AB69" s="2734"/>
      <c r="AC69" s="2734"/>
    </row>
    <row r="70" spans="1:29" s="108" customFormat="1" ht="30" customHeight="1">
      <c r="A70" s="1986"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2"/>
      <c r="Q70" s="2654"/>
      <c r="R70" s="2654"/>
      <c r="S70" s="2654"/>
      <c r="T70" s="2654"/>
      <c r="U70" s="2654"/>
      <c r="V70" s="2654"/>
      <c r="W70" s="2654"/>
      <c r="X70" s="2654"/>
      <c r="Y70" s="2654"/>
      <c r="Z70" s="2654"/>
      <c r="AA70" s="2654"/>
      <c r="AB70" s="2654"/>
      <c r="AC70" s="2654"/>
    </row>
    <row r="71" spans="1:29" s="108" customFormat="1" ht="1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4.4">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4.4"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ht="14.4">
      <c r="A74" s="476" t="s">
        <v>1717</v>
      </c>
      <c r="B74" s="477" t="s">
        <v>1683</v>
      </c>
      <c r="C74" s="3450" t="s">
        <v>3780</v>
      </c>
      <c r="D74" s="479" t="s">
        <v>3782</v>
      </c>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4.4" thickBot="1">
      <c r="A75" s="483"/>
      <c r="B75" s="484"/>
      <c r="C75" s="485">
        <v>100</v>
      </c>
      <c r="D75" s="485">
        <v>95</v>
      </c>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9.4"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4.4"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c r="A79" s="483"/>
      <c r="B79" s="497"/>
      <c r="C79" s="498">
        <v>0</v>
      </c>
      <c r="D79" s="498">
        <v>1</v>
      </c>
      <c r="E79" s="498">
        <v>2</v>
      </c>
      <c r="F79" s="498">
        <v>3</v>
      </c>
      <c r="G79" s="498">
        <v>4</v>
      </c>
      <c r="H79" s="498">
        <v>5</v>
      </c>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4.4"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47"/>
      <c r="O80" s="2747"/>
      <c r="P80" s="2771"/>
      <c r="Q80" s="2732"/>
      <c r="R80" s="2718"/>
      <c r="S80" s="2718"/>
      <c r="T80" s="2718"/>
      <c r="U80" s="2718"/>
      <c r="V80" s="2718"/>
      <c r="W80" s="2718"/>
      <c r="X80" s="2718"/>
      <c r="Y80" s="2718"/>
      <c r="Z80" s="2718"/>
      <c r="AA80" s="2718"/>
      <c r="AB80" s="2718"/>
      <c r="AC80" s="2718"/>
    </row>
    <row r="81" spans="1:29" s="422" customFormat="1" ht="14.4"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4.4"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4.4"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4.4"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4.4"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4.4"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ht="14.4">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 thickTop="1">
      <c r="A89" s="483"/>
      <c r="B89" s="487" t="s">
        <v>1903</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29.4" thickTop="1">
      <c r="A95" s="528"/>
      <c r="B95" s="487" t="s">
        <v>1904</v>
      </c>
      <c r="C95" s="527" t="s">
        <v>1719</v>
      </c>
      <c r="D95" s="527" t="s">
        <v>1720</v>
      </c>
      <c r="E95" s="527" t="s">
        <v>1721</v>
      </c>
      <c r="F95" s="527" t="s">
        <v>1722</v>
      </c>
      <c r="G95" s="527" t="s">
        <v>1723</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9.4" thickTop="1">
      <c r="A97" s="528"/>
      <c r="B97" s="487" t="s">
        <v>1905</v>
      </c>
      <c r="C97" s="522" t="s">
        <v>1719</v>
      </c>
      <c r="D97" s="522" t="s">
        <v>1720</v>
      </c>
      <c r="E97" s="522" t="s">
        <v>1721</v>
      </c>
      <c r="F97" s="522" t="s">
        <v>1722</v>
      </c>
      <c r="G97" s="522" t="s">
        <v>1723</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 thickTop="1">
      <c r="A101" s="502"/>
      <c r="B101" s="495" t="s">
        <v>1777</v>
      </c>
      <c r="C101" s="607" t="s">
        <v>1797</v>
      </c>
      <c r="D101" s="607" t="s">
        <v>1798</v>
      </c>
      <c r="E101" s="607" t="s">
        <v>1799</v>
      </c>
      <c r="F101" s="607" t="s">
        <v>1800</v>
      </c>
      <c r="G101" s="607" t="s">
        <v>1801</v>
      </c>
      <c r="H101" s="549"/>
      <c r="I101" s="549"/>
      <c r="J101" s="549"/>
      <c r="K101" s="549"/>
      <c r="L101" s="549"/>
      <c r="M101" s="1131"/>
      <c r="N101" s="2748"/>
      <c r="O101" s="2748"/>
      <c r="P101" s="2772"/>
      <c r="Q101" s="2739"/>
      <c r="R101" s="2740"/>
      <c r="S101" s="2740"/>
      <c r="T101" s="2740"/>
      <c r="U101" s="2740"/>
      <c r="V101" s="2740"/>
      <c r="W101" s="2740"/>
      <c r="X101" s="2740"/>
      <c r="Y101" s="2740"/>
      <c r="Z101" s="2740"/>
      <c r="AA101" s="2740"/>
      <c r="AB101" s="2740"/>
      <c r="AC101" s="2740"/>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48"/>
      <c r="O102" s="2748"/>
      <c r="P102" s="2772"/>
      <c r="Q102" s="2739"/>
      <c r="R102" s="2740"/>
      <c r="S102" s="2740"/>
      <c r="T102" s="2740"/>
      <c r="U102" s="2740"/>
      <c r="V102" s="2740"/>
      <c r="W102" s="2740"/>
      <c r="X102" s="2740"/>
      <c r="Y102" s="2740"/>
      <c r="Z102" s="2740"/>
      <c r="AA102" s="2740"/>
      <c r="AB102" s="2740"/>
      <c r="AC102" s="2740"/>
    </row>
    <row r="103" spans="1:29" ht="15" thickTop="1">
      <c r="A103" s="483"/>
      <c r="B103" s="487" t="str">
        <f>B31</f>
        <v>临街状况</v>
      </c>
      <c r="C103" s="488" t="s">
        <v>1906</v>
      </c>
      <c r="D103" s="488" t="s">
        <v>1907</v>
      </c>
      <c r="E103" s="488" t="s">
        <v>1908</v>
      </c>
      <c r="F103" s="488" t="s">
        <v>1909</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4.4"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7"/>
      <c r="O104" s="2747"/>
      <c r="P104" s="2771"/>
      <c r="Q104" s="2732"/>
      <c r="R104" s="2718"/>
      <c r="S104" s="2718"/>
      <c r="T104" s="2718"/>
      <c r="U104" s="2718"/>
      <c r="V104" s="2718"/>
      <c r="W104" s="2718"/>
      <c r="X104" s="2718"/>
      <c r="Y104" s="2718"/>
      <c r="Z104" s="2718"/>
      <c r="AA104" s="2718"/>
      <c r="AB104" s="2718"/>
      <c r="AC104" s="2718"/>
    </row>
    <row r="105" spans="1:29" ht="29.4"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4.4"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7"/>
      <c r="O106" s="2747"/>
      <c r="P106" s="2771"/>
      <c r="Q106" s="2732"/>
      <c r="R106" s="2718"/>
      <c r="S106" s="2718"/>
      <c r="T106" s="2718"/>
      <c r="U106" s="2718"/>
      <c r="V106" s="2718"/>
      <c r="W106" s="2718"/>
      <c r="X106" s="2718"/>
      <c r="Y106" s="2718"/>
      <c r="Z106" s="2718"/>
      <c r="AA106" s="2718"/>
      <c r="AB106" s="2718"/>
      <c r="AC106" s="2718"/>
    </row>
    <row r="107" spans="1:29" ht="1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4.4"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7"/>
      <c r="O108" s="2747"/>
      <c r="P108" s="2771"/>
      <c r="Q108" s="2732"/>
      <c r="R108" s="2718"/>
      <c r="S108" s="2718"/>
      <c r="T108" s="2718"/>
      <c r="U108" s="2718"/>
      <c r="V108" s="2718"/>
      <c r="W108" s="2718"/>
      <c r="X108" s="2718"/>
      <c r="Y108" s="2718"/>
      <c r="Z108" s="2718"/>
      <c r="AA108" s="2718"/>
      <c r="AB108" s="2718"/>
      <c r="AC108" s="2718"/>
    </row>
    <row r="109" spans="1:29" ht="14.4"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4.4"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4.4"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4.4"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4.4"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4.4"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ht="27.6">
      <c r="A115" s="476" t="s">
        <v>1692</v>
      </c>
      <c r="B115" s="477" t="s">
        <v>1910</v>
      </c>
      <c r="C115" s="478" t="str">
        <f>C116&amp;"(含)"&amp;"-"&amp;D116</f>
        <v>0(含)-50000</v>
      </c>
      <c r="D115" s="478" t="str">
        <f t="shared" ref="D115:M115" si="26">D116&amp;"(含)"&amp;"-"&amp;E116</f>
        <v>50000(含)-100000</v>
      </c>
      <c r="E115" s="478" t="str">
        <f t="shared" si="26"/>
        <v>100000(含)-200000</v>
      </c>
      <c r="F115" s="478" t="str">
        <f t="shared" si="26"/>
        <v>200000(含)-300000</v>
      </c>
      <c r="G115" s="478" t="str">
        <f t="shared" si="26"/>
        <v>300000(含)-400000</v>
      </c>
      <c r="H115" s="478" t="str">
        <f t="shared" si="26"/>
        <v>400000(含)-</v>
      </c>
      <c r="I115" s="478" t="str">
        <f t="shared" si="26"/>
        <v>(含)-</v>
      </c>
      <c r="J115" s="478" t="str">
        <f t="shared" si="26"/>
        <v>(含)-</v>
      </c>
      <c r="K115" s="478" t="str">
        <f t="shared" si="26"/>
        <v>(含)-</v>
      </c>
      <c r="L115" s="478" t="str">
        <f t="shared" si="26"/>
        <v>(含)-</v>
      </c>
      <c r="M115" s="478" t="str">
        <f t="shared" si="26"/>
        <v>(含)-</v>
      </c>
      <c r="N115" s="2746"/>
      <c r="O115" s="2746"/>
      <c r="P115" s="2771"/>
      <c r="Q115" s="2732"/>
      <c r="R115" s="2718"/>
      <c r="S115" s="2718"/>
      <c r="T115" s="2718"/>
      <c r="U115" s="2718"/>
      <c r="V115" s="2718"/>
      <c r="W115" s="2718"/>
      <c r="X115" s="2718"/>
      <c r="Y115" s="2718"/>
      <c r="Z115" s="2718"/>
      <c r="AA115" s="2718"/>
      <c r="AB115" s="2718"/>
      <c r="AC115" s="2718"/>
    </row>
    <row r="116" spans="1:29">
      <c r="A116" s="483"/>
      <c r="B116" s="495"/>
      <c r="C116" s="544">
        <v>0</v>
      </c>
      <c r="D116" s="544">
        <v>50000</v>
      </c>
      <c r="E116" s="544">
        <v>100000</v>
      </c>
      <c r="F116" s="544">
        <v>200000</v>
      </c>
      <c r="G116" s="544">
        <v>300000</v>
      </c>
      <c r="H116" s="544">
        <v>400000</v>
      </c>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4.4" thickBot="1">
      <c r="A117" s="483"/>
      <c r="B117" s="492"/>
      <c r="C117" s="519">
        <v>100</v>
      </c>
      <c r="D117" s="540">
        <f>C117+2</f>
        <v>102</v>
      </c>
      <c r="E117" s="540">
        <f>D117+2</f>
        <v>104</v>
      </c>
      <c r="F117" s="540">
        <f>E117+2</f>
        <v>106</v>
      </c>
      <c r="G117" s="540">
        <f>F117+2</f>
        <v>108</v>
      </c>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4.4"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4.4"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4.4"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1914</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4.4"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47"/>
      <c r="O125" s="2747"/>
      <c r="P125" s="2771"/>
      <c r="Q125" s="2732"/>
      <c r="R125" s="2718"/>
      <c r="S125" s="2718"/>
      <c r="T125" s="2718"/>
      <c r="U125" s="2718"/>
      <c r="V125" s="2718"/>
      <c r="W125" s="2718"/>
      <c r="X125" s="2718"/>
      <c r="Y125" s="2718"/>
      <c r="Z125" s="2718"/>
      <c r="AA125" s="2718"/>
      <c r="AB125" s="2718"/>
      <c r="AC125" s="2718"/>
    </row>
    <row r="126" spans="1:29" ht="14.4"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4.4"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4.4"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4.4"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4.4"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4.4"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5" priority="18" stopIfTrue="1" operator="containsText" text="超过">
      <formula>NOT(ISERROR(SEARCH("超过",F51)))</formula>
    </cfRule>
  </conditionalFormatting>
  <conditionalFormatting sqref="J53">
    <cfRule type="containsText" dxfId="154" priority="17" stopIfTrue="1" operator="containsText" text="超过">
      <formula>NOT(ISERROR(SEARCH("超过",J53)))</formula>
    </cfRule>
  </conditionalFormatting>
  <conditionalFormatting sqref="H53">
    <cfRule type="containsText" dxfId="153" priority="16" stopIfTrue="1" operator="containsText" text="超过">
      <formula>NOT(ISERROR(SEARCH("超过",H53)))</formula>
    </cfRule>
  </conditionalFormatting>
  <conditionalFormatting sqref="F53">
    <cfRule type="containsText" dxfId="152" priority="15" stopIfTrue="1" operator="containsText" text="超过">
      <formula>NOT(ISERROR(SEARCH("超过",F53)))</formula>
    </cfRule>
  </conditionalFormatting>
  <conditionalFormatting sqref="F52 H52 J52">
    <cfRule type="containsText" dxfId="151" priority="14" stopIfTrue="1" operator="containsText" text="超过">
      <formula>NOT(ISERROR(SEARCH("超过",F52)))</formula>
    </cfRule>
  </conditionalFormatting>
  <conditionalFormatting sqref="E51">
    <cfRule type="expression" dxfId="150" priority="13" stopIfTrue="1">
      <formula>$F$51="超过30%"</formula>
    </cfRule>
  </conditionalFormatting>
  <conditionalFormatting sqref="G53">
    <cfRule type="expression" dxfId="149" priority="12" stopIfTrue="1">
      <formula>$H$53="超过30%"</formula>
    </cfRule>
  </conditionalFormatting>
  <conditionalFormatting sqref="E52">
    <cfRule type="expression" dxfId="148" priority="11" stopIfTrue="1">
      <formula>$F$52="超过20%"</formula>
    </cfRule>
  </conditionalFormatting>
  <conditionalFormatting sqref="E53">
    <cfRule type="expression" dxfId="147" priority="10" stopIfTrue="1">
      <formula>$F$53="超过30%"</formula>
    </cfRule>
  </conditionalFormatting>
  <conditionalFormatting sqref="G51">
    <cfRule type="expression" dxfId="146" priority="9" stopIfTrue="1">
      <formula>$H$53+$H$51="超过30%"</formula>
    </cfRule>
  </conditionalFormatting>
  <conditionalFormatting sqref="G52">
    <cfRule type="expression" dxfId="145" priority="8" stopIfTrue="1">
      <formula>$H$52="超过20%"</formula>
    </cfRule>
  </conditionalFormatting>
  <conditionalFormatting sqref="I51">
    <cfRule type="expression" dxfId="144" priority="7" stopIfTrue="1">
      <formula>$J$51="超过30%"</formula>
    </cfRule>
  </conditionalFormatting>
  <conditionalFormatting sqref="I52">
    <cfRule type="expression" dxfId="143" priority="6" stopIfTrue="1">
      <formula>$J$52="超过20%"</formula>
    </cfRule>
  </conditionalFormatting>
  <conditionalFormatting sqref="I53">
    <cfRule type="expression" dxfId="142" priority="5" stopIfTrue="1">
      <formula>$J$53="超过30%"</formula>
    </cfRule>
  </conditionalFormatting>
  <conditionalFormatting sqref="F47">
    <cfRule type="expression" dxfId="141" priority="4">
      <formula>$D$47="简单平均"</formula>
    </cfRule>
  </conditionalFormatting>
  <conditionalFormatting sqref="H47">
    <cfRule type="expression" dxfId="140" priority="3">
      <formula>$D$47="简单平均"</formula>
    </cfRule>
  </conditionalFormatting>
  <conditionalFormatting sqref="J47">
    <cfRule type="expression" dxfId="139" priority="2">
      <formula>$D$47="简单平均"</formula>
    </cfRule>
  </conditionalFormatting>
  <conditionalFormatting sqref="F7:F45 H7:H45 J7:J45">
    <cfRule type="cellIs" dxfId="13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P27" sqref="AP27"/>
    </sheetView>
  </sheetViews>
  <sheetFormatPr defaultRowHeight="14.4"/>
  <cols>
    <col min="2" max="4" width="0" hidden="1" customWidth="1"/>
    <col min="7" max="7" width="0" hidden="1" customWidth="1"/>
    <col min="12" max="12" width="0" hidden="1" customWidth="1"/>
    <col min="14" max="28" width="0" hidden="1" customWidth="1"/>
    <col min="29" max="29" width="15.88671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78" customFormat="1">
      <c r="A1" s="3478" t="s">
        <v>3596</v>
      </c>
      <c r="B1" s="3478" t="s">
        <v>3597</v>
      </c>
      <c r="C1" s="3478" t="s">
        <v>3598</v>
      </c>
      <c r="D1" s="3478" t="s">
        <v>3599</v>
      </c>
      <c r="E1" s="3478" t="s">
        <v>3600</v>
      </c>
      <c r="F1" s="3478" t="s">
        <v>3601</v>
      </c>
      <c r="G1" s="3478" t="s">
        <v>3602</v>
      </c>
      <c r="H1" s="3478" t="s">
        <v>3603</v>
      </c>
      <c r="I1" s="3478" t="s">
        <v>3604</v>
      </c>
      <c r="J1" s="3478" t="s">
        <v>3605</v>
      </c>
      <c r="K1" s="3478" t="s">
        <v>3606</v>
      </c>
      <c r="L1" s="3478" t="s">
        <v>3607</v>
      </c>
      <c r="M1" s="3478" t="s">
        <v>3608</v>
      </c>
      <c r="N1" s="3478" t="s">
        <v>3609</v>
      </c>
      <c r="O1" s="3478" t="s">
        <v>3610</v>
      </c>
      <c r="P1" s="3478" t="s">
        <v>3611</v>
      </c>
      <c r="Q1" s="3478" t="s">
        <v>3612</v>
      </c>
      <c r="R1" s="3478" t="s">
        <v>3613</v>
      </c>
      <c r="S1" s="3478" t="s">
        <v>3614</v>
      </c>
      <c r="T1" s="3478" t="s">
        <v>3615</v>
      </c>
      <c r="U1" s="3478" t="s">
        <v>3616</v>
      </c>
      <c r="V1" s="3478" t="s">
        <v>3617</v>
      </c>
      <c r="W1" s="3478" t="s">
        <v>3618</v>
      </c>
      <c r="X1" s="3478" t="s">
        <v>3619</v>
      </c>
      <c r="Y1" s="3478" t="s">
        <v>3620</v>
      </c>
      <c r="Z1" s="3478" t="s">
        <v>3621</v>
      </c>
      <c r="AA1" s="3478" t="s">
        <v>3622</v>
      </c>
      <c r="AB1" s="3478" t="s">
        <v>3623</v>
      </c>
      <c r="AC1" s="3478" t="s">
        <v>3624</v>
      </c>
      <c r="AD1" s="3478" t="s">
        <v>3625</v>
      </c>
      <c r="AE1" s="3478" t="s">
        <v>3626</v>
      </c>
      <c r="AF1" s="3478" t="s">
        <v>3627</v>
      </c>
      <c r="AG1" s="3478" t="s">
        <v>3628</v>
      </c>
      <c r="AH1" s="3478" t="s">
        <v>3629</v>
      </c>
      <c r="AI1" s="3478" t="s">
        <v>3630</v>
      </c>
      <c r="AJ1" s="3478" t="s">
        <v>3631</v>
      </c>
      <c r="AK1" s="3478" t="s">
        <v>3632</v>
      </c>
      <c r="AL1" s="3478" t="s">
        <v>3633</v>
      </c>
      <c r="AM1" s="3478" t="s">
        <v>3634</v>
      </c>
      <c r="AN1" s="3478" t="s">
        <v>3635</v>
      </c>
      <c r="AO1" s="3478" t="s">
        <v>3636</v>
      </c>
      <c r="AP1" s="3478" t="s">
        <v>3637</v>
      </c>
      <c r="AQ1" s="3478" t="s">
        <v>3638</v>
      </c>
      <c r="AR1" s="3478" t="s">
        <v>3639</v>
      </c>
      <c r="AS1" s="3478" t="s">
        <v>3640</v>
      </c>
      <c r="AT1" s="3478" t="s">
        <v>3641</v>
      </c>
      <c r="AU1" s="3478" t="s">
        <v>3642</v>
      </c>
      <c r="AV1" s="3478" t="s">
        <v>3643</v>
      </c>
      <c r="AW1" s="3478" t="s">
        <v>3644</v>
      </c>
      <c r="AX1" s="3478" t="s">
        <v>3645</v>
      </c>
      <c r="AY1" s="3478" t="s">
        <v>3646</v>
      </c>
      <c r="AZ1" s="3478" t="s">
        <v>3647</v>
      </c>
    </row>
    <row r="2" spans="1:52" s="3478" customFormat="1">
      <c r="A2" s="3478" t="s">
        <v>3678</v>
      </c>
      <c r="B2" s="3478" t="s">
        <v>3369</v>
      </c>
      <c r="C2" s="3478" t="s">
        <v>3679</v>
      </c>
      <c r="D2" s="3478" t="s">
        <v>3650</v>
      </c>
      <c r="E2" s="3478" t="s">
        <v>3651</v>
      </c>
      <c r="F2" s="3478" t="s">
        <v>3680</v>
      </c>
      <c r="G2" s="3478" t="s">
        <v>3681</v>
      </c>
      <c r="H2" s="3478" t="s">
        <v>3654</v>
      </c>
      <c r="I2" s="3478">
        <v>10000</v>
      </c>
      <c r="J2" s="3478">
        <v>22000</v>
      </c>
      <c r="K2" s="3478">
        <v>2.2000000000000002</v>
      </c>
      <c r="L2" s="3478" t="s">
        <v>3656</v>
      </c>
      <c r="M2" s="3478" t="s">
        <v>3683</v>
      </c>
      <c r="N2" s="3478" t="s">
        <v>3658</v>
      </c>
      <c r="O2" s="3478" t="s">
        <v>3659</v>
      </c>
      <c r="P2" s="3478" t="s">
        <v>3660</v>
      </c>
      <c r="Q2" s="3478" t="s">
        <v>3660</v>
      </c>
      <c r="R2" s="3478" t="s">
        <v>3660</v>
      </c>
      <c r="S2" s="3478" t="s">
        <v>3660</v>
      </c>
      <c r="T2" s="3478" t="s">
        <v>3660</v>
      </c>
      <c r="U2" s="3478" t="s">
        <v>3660</v>
      </c>
      <c r="V2" s="3478" t="s">
        <v>3660</v>
      </c>
      <c r="W2" s="3478" t="s">
        <v>3660</v>
      </c>
      <c r="X2" s="3478">
        <v>0</v>
      </c>
      <c r="Y2" s="3478">
        <v>0</v>
      </c>
      <c r="Z2" s="3479">
        <v>44760.000497685185</v>
      </c>
      <c r="AA2" s="3479">
        <v>44782.000497685185</v>
      </c>
      <c r="AB2" s="3479">
        <v>44795.000497685185</v>
      </c>
      <c r="AC2" s="3479">
        <v>44795.000497685185</v>
      </c>
      <c r="AD2" s="3478" t="s">
        <v>3684</v>
      </c>
      <c r="AE2" s="3478" t="s">
        <v>3663</v>
      </c>
      <c r="AF2" s="3478" t="s">
        <v>3685</v>
      </c>
      <c r="AG2" s="3478" t="s">
        <v>3686</v>
      </c>
      <c r="AH2" s="3478" t="s">
        <v>3660</v>
      </c>
      <c r="AI2" s="3478">
        <v>36400</v>
      </c>
      <c r="AJ2" s="3478">
        <v>7300</v>
      </c>
      <c r="AK2" s="3478" t="s">
        <v>3687</v>
      </c>
      <c r="AL2" s="3478">
        <v>36400</v>
      </c>
      <c r="AM2" s="3478">
        <v>2426.67</v>
      </c>
      <c r="AN2" s="3478">
        <v>2426.67</v>
      </c>
      <c r="AO2" s="3478">
        <v>16545</v>
      </c>
      <c r="AP2" s="3478">
        <v>16545</v>
      </c>
      <c r="AQ2" s="3478" t="s">
        <v>3660</v>
      </c>
      <c r="AR2" s="3478" t="s">
        <v>3660</v>
      </c>
      <c r="AS2" s="3478">
        <v>0</v>
      </c>
      <c r="AT2" s="3478" t="s">
        <v>3688</v>
      </c>
      <c r="AU2" s="3478" t="s">
        <v>3659</v>
      </c>
      <c r="AV2" s="3478" t="s">
        <v>3660</v>
      </c>
      <c r="AW2" s="3478" t="s">
        <v>3659</v>
      </c>
      <c r="AX2" s="3478" t="s">
        <v>3660</v>
      </c>
      <c r="AY2" s="3478" t="s">
        <v>3660</v>
      </c>
      <c r="AZ2" s="3478" t="s">
        <v>3660</v>
      </c>
    </row>
    <row r="3" spans="1:52" s="3478" customFormat="1">
      <c r="A3" s="3478" t="s">
        <v>3693</v>
      </c>
      <c r="B3" s="3478" t="s">
        <v>3369</v>
      </c>
      <c r="C3" s="3478" t="s">
        <v>3694</v>
      </c>
      <c r="D3" s="3478" t="s">
        <v>3650</v>
      </c>
      <c r="E3" s="3478" t="s">
        <v>3651</v>
      </c>
      <c r="F3" s="3478" t="s">
        <v>3695</v>
      </c>
      <c r="G3" s="3478" t="s">
        <v>3696</v>
      </c>
      <c r="H3" s="3478" t="s">
        <v>3654</v>
      </c>
      <c r="I3" s="3478">
        <v>16122.82</v>
      </c>
      <c r="J3" s="3478">
        <v>45143.91</v>
      </c>
      <c r="K3" s="3478">
        <v>2.8</v>
      </c>
      <c r="L3" s="3478" t="s">
        <v>3656</v>
      </c>
      <c r="M3" s="3478" t="s">
        <v>3683</v>
      </c>
      <c r="N3" s="3478" t="s">
        <v>3658</v>
      </c>
      <c r="O3" s="3478" t="s">
        <v>3659</v>
      </c>
      <c r="P3" s="3478" t="s">
        <v>3660</v>
      </c>
      <c r="Q3" s="3478" t="s">
        <v>3660</v>
      </c>
      <c r="R3" s="3478" t="s">
        <v>3660</v>
      </c>
      <c r="S3" s="3478" t="s">
        <v>3660</v>
      </c>
      <c r="T3" s="3478" t="s">
        <v>3660</v>
      </c>
      <c r="U3" s="3478" t="s">
        <v>3660</v>
      </c>
      <c r="V3" s="3478" t="s">
        <v>3660</v>
      </c>
      <c r="W3" s="3478" t="s">
        <v>3660</v>
      </c>
      <c r="X3" s="3478">
        <v>0</v>
      </c>
      <c r="Y3" s="3478">
        <v>0</v>
      </c>
      <c r="Z3" s="3479">
        <v>44725.000497685185</v>
      </c>
      <c r="AA3" s="3479">
        <v>44747.000497685185</v>
      </c>
      <c r="AB3" s="3479">
        <v>44761.000497685185</v>
      </c>
      <c r="AC3" s="3479">
        <v>44761.000497685185</v>
      </c>
      <c r="AD3" s="3478" t="s">
        <v>3697</v>
      </c>
      <c r="AE3" s="3478" t="s">
        <v>3663</v>
      </c>
      <c r="AF3" s="3478" t="s">
        <v>3698</v>
      </c>
      <c r="AG3" s="3478" t="s">
        <v>3699</v>
      </c>
      <c r="AH3" s="3478" t="s">
        <v>3660</v>
      </c>
      <c r="AI3" s="3478">
        <v>76000</v>
      </c>
      <c r="AJ3" s="3478">
        <v>16000</v>
      </c>
      <c r="AK3" s="3478" t="s">
        <v>3700</v>
      </c>
      <c r="AL3" s="3478">
        <v>76000</v>
      </c>
      <c r="AM3" s="3478">
        <v>3142.54</v>
      </c>
      <c r="AN3" s="3478">
        <v>3142.54</v>
      </c>
      <c r="AO3" s="3478">
        <v>16835</v>
      </c>
      <c r="AP3" s="3478">
        <v>16835</v>
      </c>
      <c r="AQ3" s="3478" t="s">
        <v>3660</v>
      </c>
      <c r="AR3" s="3478" t="s">
        <v>3660</v>
      </c>
      <c r="AS3" s="3478">
        <v>0</v>
      </c>
      <c r="AT3" s="3478" t="s">
        <v>3701</v>
      </c>
      <c r="AU3" s="3478" t="s">
        <v>3659</v>
      </c>
      <c r="AV3" s="3478" t="s">
        <v>3660</v>
      </c>
      <c r="AW3" s="3478" t="s">
        <v>3659</v>
      </c>
      <c r="AX3" s="3478" t="s">
        <v>3660</v>
      </c>
      <c r="AY3" s="3478" t="s">
        <v>3660</v>
      </c>
      <c r="AZ3" s="3478" t="s">
        <v>3660</v>
      </c>
    </row>
    <row r="4" spans="1:52" s="3478" customFormat="1">
      <c r="A4" s="3478" t="s">
        <v>3709</v>
      </c>
      <c r="B4" s="3478" t="s">
        <v>3369</v>
      </c>
      <c r="C4" s="3478" t="s">
        <v>3710</v>
      </c>
      <c r="D4" s="3478" t="s">
        <v>3650</v>
      </c>
      <c r="E4" s="3478" t="s">
        <v>3651</v>
      </c>
      <c r="F4" s="3478" t="s">
        <v>3695</v>
      </c>
      <c r="G4" s="3478" t="s">
        <v>3696</v>
      </c>
      <c r="H4" s="3478" t="s">
        <v>3654</v>
      </c>
      <c r="I4" s="3478">
        <v>204418.11</v>
      </c>
      <c r="J4" s="3478">
        <v>302000</v>
      </c>
      <c r="K4" s="3478">
        <v>1.5</v>
      </c>
      <c r="L4" s="3478" t="s">
        <v>3656</v>
      </c>
      <c r="M4" s="3478" t="s">
        <v>3683</v>
      </c>
      <c r="N4" s="3478" t="s">
        <v>3658</v>
      </c>
      <c r="O4" s="3478" t="s">
        <v>3659</v>
      </c>
      <c r="P4" s="3478" t="s">
        <v>3660</v>
      </c>
      <c r="Q4" s="3478">
        <v>36</v>
      </c>
      <c r="R4" s="3478" t="s">
        <v>3660</v>
      </c>
      <c r="S4" s="3478" t="s">
        <v>3660</v>
      </c>
      <c r="T4" s="3478" t="s">
        <v>3660</v>
      </c>
      <c r="U4" s="3478" t="s">
        <v>3660</v>
      </c>
      <c r="V4" s="3478" t="s">
        <v>3660</v>
      </c>
      <c r="W4" s="3478" t="s">
        <v>3660</v>
      </c>
      <c r="X4" s="3478">
        <v>0</v>
      </c>
      <c r="Y4" s="3478">
        <v>0</v>
      </c>
      <c r="Z4" s="3479">
        <v>44457.000497685185</v>
      </c>
      <c r="AA4" s="3479">
        <v>44481.000497685185</v>
      </c>
      <c r="AB4" s="3479">
        <v>44495.000497685185</v>
      </c>
      <c r="AC4" s="3479">
        <v>44495.000497685185</v>
      </c>
      <c r="AD4" s="3478" t="s">
        <v>3711</v>
      </c>
      <c r="AE4" s="3478" t="s">
        <v>3663</v>
      </c>
      <c r="AF4" s="3478" t="s">
        <v>3712</v>
      </c>
      <c r="AG4" s="3478" t="s">
        <v>3713</v>
      </c>
      <c r="AH4" s="3478" t="s">
        <v>3666</v>
      </c>
      <c r="AI4" s="3478">
        <v>506700</v>
      </c>
      <c r="AJ4" s="3478">
        <v>101400</v>
      </c>
      <c r="AK4" s="3478" t="s">
        <v>3714</v>
      </c>
      <c r="AL4" s="3478">
        <v>506700</v>
      </c>
      <c r="AM4" s="3478">
        <v>1652.5</v>
      </c>
      <c r="AN4" s="3478">
        <v>1652.5</v>
      </c>
      <c r="AO4" s="3478">
        <v>16778</v>
      </c>
      <c r="AP4" s="3478">
        <v>16778</v>
      </c>
      <c r="AQ4" s="3478" t="s">
        <v>3660</v>
      </c>
      <c r="AR4" s="3478" t="s">
        <v>3660</v>
      </c>
      <c r="AS4" s="3478">
        <v>0</v>
      </c>
      <c r="AT4" s="3478" t="s">
        <v>3708</v>
      </c>
      <c r="AU4" s="3478" t="s">
        <v>3659</v>
      </c>
      <c r="AV4" s="3478" t="s">
        <v>3660</v>
      </c>
      <c r="AW4" s="3478" t="s">
        <v>3659</v>
      </c>
      <c r="AX4" s="3478" t="s">
        <v>3660</v>
      </c>
      <c r="AY4" s="3478" t="s">
        <v>3660</v>
      </c>
      <c r="AZ4" s="3478" t="s">
        <v>3660</v>
      </c>
    </row>
    <row r="6" spans="1:52" s="3478" customFormat="1">
      <c r="A6" s="3478" t="s">
        <v>3596</v>
      </c>
      <c r="B6" s="3478" t="s">
        <v>3597</v>
      </c>
      <c r="C6" s="3478" t="s">
        <v>3598</v>
      </c>
      <c r="D6" s="3478" t="s">
        <v>3599</v>
      </c>
      <c r="E6" s="3478" t="s">
        <v>3600</v>
      </c>
      <c r="F6" s="3478" t="s">
        <v>3601</v>
      </c>
      <c r="G6" s="3478" t="s">
        <v>3602</v>
      </c>
      <c r="H6" s="3478" t="s">
        <v>3603</v>
      </c>
      <c r="I6" s="3478" t="s">
        <v>3604</v>
      </c>
      <c r="J6" s="3478" t="s">
        <v>3605</v>
      </c>
      <c r="K6" s="3478" t="s">
        <v>3606</v>
      </c>
      <c r="L6" s="3478" t="s">
        <v>3607</v>
      </c>
      <c r="M6" s="3478" t="s">
        <v>3608</v>
      </c>
      <c r="N6" s="3478" t="s">
        <v>3609</v>
      </c>
      <c r="O6" s="3478" t="s">
        <v>3610</v>
      </c>
      <c r="P6" s="3478" t="s">
        <v>3611</v>
      </c>
      <c r="Q6" s="3478" t="s">
        <v>3612</v>
      </c>
      <c r="R6" s="3478" t="s">
        <v>3613</v>
      </c>
      <c r="S6" s="3478" t="s">
        <v>3614</v>
      </c>
      <c r="T6" s="3478" t="s">
        <v>3615</v>
      </c>
      <c r="U6" s="3478" t="s">
        <v>3616</v>
      </c>
      <c r="V6" s="3478" t="s">
        <v>3617</v>
      </c>
      <c r="W6" s="3478" t="s">
        <v>3618</v>
      </c>
      <c r="X6" s="3478" t="s">
        <v>3619</v>
      </c>
      <c r="Y6" s="3478" t="s">
        <v>3620</v>
      </c>
      <c r="Z6" s="3478" t="s">
        <v>3621</v>
      </c>
      <c r="AA6" s="3478" t="s">
        <v>3622</v>
      </c>
      <c r="AB6" s="3478" t="s">
        <v>3623</v>
      </c>
      <c r="AC6" s="3478" t="s">
        <v>3624</v>
      </c>
      <c r="AD6" s="3478" t="s">
        <v>3625</v>
      </c>
      <c r="AE6" s="3478" t="s">
        <v>3626</v>
      </c>
      <c r="AF6" s="3478" t="s">
        <v>3627</v>
      </c>
      <c r="AG6" s="3478" t="s">
        <v>3628</v>
      </c>
      <c r="AH6" s="3478" t="s">
        <v>3629</v>
      </c>
      <c r="AI6" s="3478" t="s">
        <v>3630</v>
      </c>
      <c r="AJ6" s="3478" t="s">
        <v>3631</v>
      </c>
      <c r="AK6" s="3478" t="s">
        <v>3632</v>
      </c>
      <c r="AL6" s="3478" t="s">
        <v>3633</v>
      </c>
      <c r="AM6" s="3478" t="s">
        <v>3634</v>
      </c>
      <c r="AN6" s="3478" t="s">
        <v>3635</v>
      </c>
      <c r="AO6" s="3478" t="s">
        <v>3636</v>
      </c>
      <c r="AP6" s="3478" t="s">
        <v>3637</v>
      </c>
      <c r="AQ6" s="3478" t="s">
        <v>3638</v>
      </c>
      <c r="AR6" s="3478" t="s">
        <v>3639</v>
      </c>
      <c r="AS6" s="3478" t="s">
        <v>3640</v>
      </c>
      <c r="AT6" s="3478" t="s">
        <v>3641</v>
      </c>
      <c r="AU6" s="3478" t="s">
        <v>3642</v>
      </c>
      <c r="AV6" s="3478" t="s">
        <v>3643</v>
      </c>
      <c r="AW6" s="3478" t="s">
        <v>3644</v>
      </c>
      <c r="AX6" s="3478" t="s">
        <v>3645</v>
      </c>
      <c r="AY6" s="3478" t="s">
        <v>3646</v>
      </c>
      <c r="AZ6" s="3478" t="s">
        <v>3647</v>
      </c>
    </row>
    <row r="7" spans="1:52" s="3478" customFormat="1">
      <c r="A7" s="3478" t="s">
        <v>3648</v>
      </c>
      <c r="B7" s="3478" t="s">
        <v>3369</v>
      </c>
      <c r="C7" s="3478" t="s">
        <v>3649</v>
      </c>
      <c r="D7" s="3478" t="s">
        <v>3650</v>
      </c>
      <c r="E7" s="3478" t="s">
        <v>3651</v>
      </c>
      <c r="F7" s="3478" t="s">
        <v>3652</v>
      </c>
      <c r="G7" s="3478" t="s">
        <v>3653</v>
      </c>
      <c r="H7" s="3478" t="s">
        <v>3654</v>
      </c>
      <c r="I7" s="3478">
        <v>15459.22</v>
      </c>
      <c r="J7" s="3478">
        <v>52599.12</v>
      </c>
      <c r="K7" s="3478" t="s">
        <v>3655</v>
      </c>
      <c r="L7" s="3478" t="s">
        <v>3656</v>
      </c>
      <c r="M7" s="3478" t="s">
        <v>3657</v>
      </c>
      <c r="N7" s="3478" t="s">
        <v>3658</v>
      </c>
      <c r="O7" s="3478" t="s">
        <v>3659</v>
      </c>
      <c r="P7" s="3478" t="s">
        <v>3660</v>
      </c>
      <c r="Q7" s="3478" t="s">
        <v>3661</v>
      </c>
      <c r="R7" s="3478" t="s">
        <v>3660</v>
      </c>
      <c r="S7" s="3478" t="s">
        <v>3660</v>
      </c>
      <c r="T7" s="3478" t="s">
        <v>3660</v>
      </c>
      <c r="U7" s="3478" t="s">
        <v>3660</v>
      </c>
      <c r="V7" s="3478" t="s">
        <v>3660</v>
      </c>
      <c r="W7" s="3478" t="s">
        <v>3660</v>
      </c>
      <c r="X7" s="3478">
        <v>0</v>
      </c>
      <c r="Y7" s="3478">
        <v>0</v>
      </c>
      <c r="Z7" s="3479">
        <v>45079.000497685185</v>
      </c>
      <c r="AA7" s="3479">
        <v>45102.000497685185</v>
      </c>
      <c r="AB7" s="3479">
        <v>45114.000497685185</v>
      </c>
      <c r="AC7" s="3479">
        <v>45114.000497685185</v>
      </c>
      <c r="AD7" s="3478" t="s">
        <v>3662</v>
      </c>
      <c r="AE7" s="3478" t="s">
        <v>3663</v>
      </c>
      <c r="AF7" s="3478" t="s">
        <v>3664</v>
      </c>
      <c r="AG7" s="3478" t="s">
        <v>3665</v>
      </c>
      <c r="AH7" s="3478" t="s">
        <v>3666</v>
      </c>
      <c r="AI7" s="3478">
        <v>53100</v>
      </c>
      <c r="AJ7" s="3478">
        <v>11000</v>
      </c>
      <c r="AK7" s="3478" t="s">
        <v>633</v>
      </c>
      <c r="AL7" s="3478">
        <v>53100</v>
      </c>
      <c r="AM7" s="3478">
        <v>2289.9</v>
      </c>
      <c r="AN7" s="3478">
        <v>2289.9</v>
      </c>
      <c r="AO7" s="3478">
        <v>10095</v>
      </c>
      <c r="AP7" s="3478">
        <v>10095</v>
      </c>
      <c r="AQ7" s="3478" t="s">
        <v>3660</v>
      </c>
      <c r="AR7" s="3478" t="s">
        <v>3660</v>
      </c>
      <c r="AS7" s="3478">
        <v>0</v>
      </c>
      <c r="AT7" s="3478" t="s">
        <v>3667</v>
      </c>
      <c r="AU7" s="3478" t="s">
        <v>3659</v>
      </c>
      <c r="AV7" s="3478" t="s">
        <v>3660</v>
      </c>
      <c r="AW7" s="3478" t="s">
        <v>3659</v>
      </c>
      <c r="AX7" s="3478" t="s">
        <v>3660</v>
      </c>
      <c r="AY7" s="3478" t="s">
        <v>3660</v>
      </c>
      <c r="AZ7" s="3478" t="s">
        <v>3660</v>
      </c>
    </row>
    <row r="8" spans="1:52" s="3478" customFormat="1">
      <c r="A8" s="3478" t="s">
        <v>3668</v>
      </c>
      <c r="B8" s="3478" t="s">
        <v>3369</v>
      </c>
      <c r="C8" s="3478" t="s">
        <v>3669</v>
      </c>
      <c r="D8" s="3478" t="s">
        <v>3650</v>
      </c>
      <c r="E8" s="3478" t="s">
        <v>3651</v>
      </c>
      <c r="F8" s="3478" t="s">
        <v>3670</v>
      </c>
      <c r="G8" s="3478" t="s">
        <v>3671</v>
      </c>
      <c r="H8" s="3478" t="s">
        <v>3654</v>
      </c>
      <c r="I8" s="3478">
        <v>5500.65</v>
      </c>
      <c r="J8" s="3478">
        <v>15401.81</v>
      </c>
      <c r="K8" s="3478" t="s">
        <v>3672</v>
      </c>
      <c r="L8" s="3478" t="s">
        <v>3656</v>
      </c>
      <c r="M8" s="3478" t="s">
        <v>3673</v>
      </c>
      <c r="N8" s="3478" t="s">
        <v>3658</v>
      </c>
      <c r="O8" s="3478" t="s">
        <v>3659</v>
      </c>
      <c r="P8" s="3478" t="s">
        <v>3660</v>
      </c>
      <c r="Q8" s="3478">
        <v>60</v>
      </c>
      <c r="R8" s="3478" t="s">
        <v>3660</v>
      </c>
      <c r="S8" s="3478" t="s">
        <v>3660</v>
      </c>
      <c r="T8" s="3478" t="s">
        <v>3660</v>
      </c>
      <c r="U8" s="3478" t="s">
        <v>3660</v>
      </c>
      <c r="V8" s="3478" t="s">
        <v>3660</v>
      </c>
      <c r="W8" s="3478" t="s">
        <v>3660</v>
      </c>
      <c r="X8" s="3478">
        <v>0</v>
      </c>
      <c r="Y8" s="3478">
        <v>0</v>
      </c>
      <c r="Z8" s="3479">
        <v>44995.000497685185</v>
      </c>
      <c r="AA8" s="3479">
        <v>45015.000497685185</v>
      </c>
      <c r="AB8" s="3479">
        <v>45030.000497685185</v>
      </c>
      <c r="AC8" s="3479">
        <v>45030.000497685185</v>
      </c>
      <c r="AD8" s="3478" t="s">
        <v>3674</v>
      </c>
      <c r="AE8" s="3478" t="s">
        <v>3663</v>
      </c>
      <c r="AF8" s="3478" t="s">
        <v>3675</v>
      </c>
      <c r="AG8" s="3478" t="s">
        <v>3676</v>
      </c>
      <c r="AH8" s="3478" t="s">
        <v>3660</v>
      </c>
      <c r="AI8" s="3478">
        <v>17000</v>
      </c>
      <c r="AJ8" s="3478">
        <v>4000</v>
      </c>
      <c r="AK8" s="3478" t="s">
        <v>633</v>
      </c>
      <c r="AL8" s="3478">
        <v>17000</v>
      </c>
      <c r="AM8" s="3478">
        <v>2060.36</v>
      </c>
      <c r="AN8" s="3478">
        <v>2060.36</v>
      </c>
      <c r="AO8" s="3478">
        <v>11038</v>
      </c>
      <c r="AP8" s="3478">
        <v>11038</v>
      </c>
      <c r="AQ8" s="3478" t="s">
        <v>3660</v>
      </c>
      <c r="AR8" s="3478" t="s">
        <v>3660</v>
      </c>
      <c r="AS8" s="3478">
        <v>0</v>
      </c>
      <c r="AT8" s="3478" t="s">
        <v>3677</v>
      </c>
      <c r="AU8" s="3478" t="s">
        <v>3659</v>
      </c>
      <c r="AV8" s="3478" t="s">
        <v>3660</v>
      </c>
      <c r="AW8" s="3478" t="s">
        <v>3659</v>
      </c>
      <c r="AX8" s="3478" t="s">
        <v>3660</v>
      </c>
      <c r="AY8" s="3478" t="s">
        <v>3660</v>
      </c>
      <c r="AZ8" s="3478" t="s">
        <v>3660</v>
      </c>
    </row>
    <row r="9" spans="1:52" s="3478" customFormat="1">
      <c r="A9" s="3478" t="s">
        <v>3678</v>
      </c>
      <c r="B9" s="3478" t="s">
        <v>3369</v>
      </c>
      <c r="C9" s="3478" t="s">
        <v>3679</v>
      </c>
      <c r="D9" s="3478" t="s">
        <v>3650</v>
      </c>
      <c r="E9" s="3478" t="s">
        <v>3651</v>
      </c>
      <c r="F9" s="3478" t="s">
        <v>3680</v>
      </c>
      <c r="G9" s="3478" t="s">
        <v>3681</v>
      </c>
      <c r="H9" s="3478" t="s">
        <v>3654</v>
      </c>
      <c r="I9" s="3478">
        <v>10000</v>
      </c>
      <c r="J9" s="3478">
        <v>22000</v>
      </c>
      <c r="K9" s="3478" t="s">
        <v>3682</v>
      </c>
      <c r="L9" s="3478" t="s">
        <v>3656</v>
      </c>
      <c r="M9" s="3478" t="s">
        <v>3683</v>
      </c>
      <c r="N9" s="3478" t="s">
        <v>3658</v>
      </c>
      <c r="O9" s="3478" t="s">
        <v>3659</v>
      </c>
      <c r="P9" s="3478" t="s">
        <v>3660</v>
      </c>
      <c r="Q9" s="3478" t="s">
        <v>3660</v>
      </c>
      <c r="R9" s="3478" t="s">
        <v>3660</v>
      </c>
      <c r="S9" s="3478" t="s">
        <v>3660</v>
      </c>
      <c r="T9" s="3478" t="s">
        <v>3660</v>
      </c>
      <c r="U9" s="3478" t="s">
        <v>3660</v>
      </c>
      <c r="V9" s="3478" t="s">
        <v>3660</v>
      </c>
      <c r="W9" s="3478" t="s">
        <v>3660</v>
      </c>
      <c r="X9" s="3478">
        <v>0</v>
      </c>
      <c r="Y9" s="3478">
        <v>0</v>
      </c>
      <c r="Z9" s="3479">
        <v>44760.000497685185</v>
      </c>
      <c r="AA9" s="3479">
        <v>44782.000497685185</v>
      </c>
      <c r="AB9" s="3479">
        <v>44795.000497685185</v>
      </c>
      <c r="AC9" s="3479">
        <v>44795.000497685185</v>
      </c>
      <c r="AD9" s="3478" t="s">
        <v>3684</v>
      </c>
      <c r="AE9" s="3478" t="s">
        <v>3663</v>
      </c>
      <c r="AF9" s="3478" t="s">
        <v>3685</v>
      </c>
      <c r="AG9" s="3478" t="s">
        <v>3686</v>
      </c>
      <c r="AH9" s="3478" t="s">
        <v>3660</v>
      </c>
      <c r="AI9" s="3478">
        <v>36400</v>
      </c>
      <c r="AJ9" s="3478">
        <v>7300</v>
      </c>
      <c r="AK9" s="3478" t="s">
        <v>3687</v>
      </c>
      <c r="AL9" s="3478">
        <v>36400</v>
      </c>
      <c r="AM9" s="3478">
        <v>2426.67</v>
      </c>
      <c r="AN9" s="3478">
        <v>2426.67</v>
      </c>
      <c r="AO9" s="3478">
        <v>16545</v>
      </c>
      <c r="AP9" s="3478">
        <v>16545</v>
      </c>
      <c r="AQ9" s="3478" t="s">
        <v>3660</v>
      </c>
      <c r="AR9" s="3478" t="s">
        <v>3660</v>
      </c>
      <c r="AS9" s="3478">
        <v>0</v>
      </c>
      <c r="AT9" s="3478" t="s">
        <v>3688</v>
      </c>
      <c r="AU9" s="3478" t="s">
        <v>3659</v>
      </c>
      <c r="AV9" s="3478" t="s">
        <v>3660</v>
      </c>
      <c r="AW9" s="3478" t="s">
        <v>3659</v>
      </c>
      <c r="AX9" s="3478" t="s">
        <v>3660</v>
      </c>
      <c r="AY9" s="3478" t="s">
        <v>3660</v>
      </c>
      <c r="AZ9" s="3478" t="s">
        <v>3660</v>
      </c>
    </row>
    <row r="10" spans="1:52" s="3478" customFormat="1">
      <c r="A10" s="3478" t="s">
        <v>3689</v>
      </c>
      <c r="B10" s="3478" t="s">
        <v>3369</v>
      </c>
      <c r="C10" s="3478" t="s">
        <v>3690</v>
      </c>
      <c r="D10" s="3478" t="s">
        <v>3650</v>
      </c>
      <c r="E10" s="3478" t="s">
        <v>3651</v>
      </c>
      <c r="F10" s="3478" t="s">
        <v>3680</v>
      </c>
      <c r="G10" s="3478" t="s">
        <v>3681</v>
      </c>
      <c r="H10" s="3478" t="s">
        <v>3654</v>
      </c>
      <c r="I10" s="3478">
        <v>5500</v>
      </c>
      <c r="J10" s="3478">
        <v>12100</v>
      </c>
      <c r="K10" s="3478" t="s">
        <v>3682</v>
      </c>
      <c r="L10" s="3478" t="s">
        <v>3656</v>
      </c>
      <c r="M10" s="3478" t="s">
        <v>3683</v>
      </c>
      <c r="N10" s="3478" t="s">
        <v>3658</v>
      </c>
      <c r="O10" s="3478" t="s">
        <v>3659</v>
      </c>
      <c r="P10" s="3478" t="s">
        <v>3660</v>
      </c>
      <c r="Q10" s="3478" t="s">
        <v>3660</v>
      </c>
      <c r="R10" s="3478" t="s">
        <v>3660</v>
      </c>
      <c r="S10" s="3478" t="s">
        <v>3660</v>
      </c>
      <c r="T10" s="3478" t="s">
        <v>3660</v>
      </c>
      <c r="U10" s="3478" t="s">
        <v>3660</v>
      </c>
      <c r="V10" s="3478" t="s">
        <v>3660</v>
      </c>
      <c r="W10" s="3478" t="s">
        <v>3660</v>
      </c>
      <c r="X10" s="3478">
        <v>0</v>
      </c>
      <c r="Y10" s="3478">
        <v>0</v>
      </c>
      <c r="Z10" s="3479">
        <v>44760.000497685185</v>
      </c>
      <c r="AA10" s="3479">
        <v>44782.000497685185</v>
      </c>
      <c r="AB10" s="3479">
        <v>44796.000497685185</v>
      </c>
      <c r="AC10" s="3479">
        <v>44796.000497685185</v>
      </c>
      <c r="AD10" s="3478" t="s">
        <v>3691</v>
      </c>
      <c r="AE10" s="3478" t="s">
        <v>3663</v>
      </c>
      <c r="AF10" s="3478" t="s">
        <v>3692</v>
      </c>
      <c r="AG10" s="3478" t="s">
        <v>3660</v>
      </c>
      <c r="AH10" s="3478" t="s">
        <v>3660</v>
      </c>
      <c r="AI10" s="3478">
        <v>20000</v>
      </c>
      <c r="AJ10" s="3478">
        <v>4000</v>
      </c>
      <c r="AK10" s="3478" t="s">
        <v>3687</v>
      </c>
      <c r="AL10" s="3478">
        <v>20000</v>
      </c>
      <c r="AM10" s="3478">
        <v>2424.2399999999998</v>
      </c>
      <c r="AN10" s="3478">
        <v>2424.2399999999998</v>
      </c>
      <c r="AO10" s="3478">
        <v>16529</v>
      </c>
      <c r="AP10" s="3478">
        <v>16529</v>
      </c>
      <c r="AQ10" s="3478" t="s">
        <v>3660</v>
      </c>
      <c r="AR10" s="3478" t="s">
        <v>3660</v>
      </c>
      <c r="AS10" s="3478">
        <v>0</v>
      </c>
      <c r="AT10" s="3478" t="s">
        <v>3688</v>
      </c>
      <c r="AU10" s="3478" t="s">
        <v>3659</v>
      </c>
      <c r="AV10" s="3478" t="s">
        <v>3660</v>
      </c>
      <c r="AW10" s="3478" t="s">
        <v>3659</v>
      </c>
      <c r="AX10" s="3478" t="s">
        <v>3660</v>
      </c>
      <c r="AY10" s="3478" t="s">
        <v>3660</v>
      </c>
      <c r="AZ10" s="3478" t="s">
        <v>3660</v>
      </c>
    </row>
    <row r="11" spans="1:52" s="3478" customFormat="1">
      <c r="A11" s="3478" t="s">
        <v>3693</v>
      </c>
      <c r="B11" s="3478" t="s">
        <v>3369</v>
      </c>
      <c r="C11" s="3478" t="s">
        <v>3694</v>
      </c>
      <c r="D11" s="3478" t="s">
        <v>3650</v>
      </c>
      <c r="E11" s="3478" t="s">
        <v>3651</v>
      </c>
      <c r="F11" s="3478" t="s">
        <v>3695</v>
      </c>
      <c r="G11" s="3478" t="s">
        <v>3696</v>
      </c>
      <c r="H11" s="3478" t="s">
        <v>3654</v>
      </c>
      <c r="I11" s="3478">
        <v>16122.82</v>
      </c>
      <c r="J11" s="3478">
        <v>45143.91</v>
      </c>
      <c r="K11" s="3478" t="s">
        <v>3672</v>
      </c>
      <c r="L11" s="3478" t="s">
        <v>3656</v>
      </c>
      <c r="M11" s="3478" t="s">
        <v>3683</v>
      </c>
      <c r="N11" s="3478" t="s">
        <v>3658</v>
      </c>
      <c r="O11" s="3478" t="s">
        <v>3659</v>
      </c>
      <c r="P11" s="3478" t="s">
        <v>3660</v>
      </c>
      <c r="Q11" s="3478" t="s">
        <v>3660</v>
      </c>
      <c r="R11" s="3478" t="s">
        <v>3660</v>
      </c>
      <c r="S11" s="3478" t="s">
        <v>3660</v>
      </c>
      <c r="T11" s="3478" t="s">
        <v>3660</v>
      </c>
      <c r="U11" s="3478" t="s">
        <v>3660</v>
      </c>
      <c r="V11" s="3478" t="s">
        <v>3660</v>
      </c>
      <c r="W11" s="3478" t="s">
        <v>3660</v>
      </c>
      <c r="X11" s="3478">
        <v>0</v>
      </c>
      <c r="Y11" s="3478">
        <v>0</v>
      </c>
      <c r="Z11" s="3479">
        <v>44725.000497685185</v>
      </c>
      <c r="AA11" s="3479">
        <v>44747.000497685185</v>
      </c>
      <c r="AB11" s="3479">
        <v>44761.000497685185</v>
      </c>
      <c r="AC11" s="3479">
        <v>44761.000497685185</v>
      </c>
      <c r="AD11" s="3478" t="s">
        <v>3697</v>
      </c>
      <c r="AE11" s="3478" t="s">
        <v>3663</v>
      </c>
      <c r="AF11" s="3478" t="s">
        <v>3698</v>
      </c>
      <c r="AG11" s="3478" t="s">
        <v>3699</v>
      </c>
      <c r="AH11" s="3478" t="s">
        <v>3660</v>
      </c>
      <c r="AI11" s="3478">
        <v>76000</v>
      </c>
      <c r="AJ11" s="3478">
        <v>16000</v>
      </c>
      <c r="AK11" s="3478" t="s">
        <v>3700</v>
      </c>
      <c r="AL11" s="3478">
        <v>76000</v>
      </c>
      <c r="AM11" s="3478">
        <v>3142.54</v>
      </c>
      <c r="AN11" s="3478">
        <v>3142.54</v>
      </c>
      <c r="AO11" s="3478">
        <v>16835</v>
      </c>
      <c r="AP11" s="3478">
        <v>16835</v>
      </c>
      <c r="AQ11" s="3478" t="s">
        <v>3660</v>
      </c>
      <c r="AR11" s="3478" t="s">
        <v>3660</v>
      </c>
      <c r="AS11" s="3478">
        <v>0</v>
      </c>
      <c r="AT11" s="3478" t="s">
        <v>3701</v>
      </c>
      <c r="AU11" s="3478" t="s">
        <v>3659</v>
      </c>
      <c r="AV11" s="3478" t="s">
        <v>3660</v>
      </c>
      <c r="AW11" s="3478" t="s">
        <v>3659</v>
      </c>
      <c r="AX11" s="3478" t="s">
        <v>3660</v>
      </c>
      <c r="AY11" s="3478" t="s">
        <v>3660</v>
      </c>
      <c r="AZ11" s="3478" t="s">
        <v>3660</v>
      </c>
    </row>
    <row r="12" spans="1:52" s="3478" customFormat="1">
      <c r="A12" s="3478" t="s">
        <v>3702</v>
      </c>
      <c r="B12" s="3478" t="s">
        <v>3369</v>
      </c>
      <c r="C12" s="3478" t="s">
        <v>3703</v>
      </c>
      <c r="D12" s="3478" t="s">
        <v>3650</v>
      </c>
      <c r="E12" s="3478" t="s">
        <v>3651</v>
      </c>
      <c r="F12" s="3478" t="s">
        <v>3704</v>
      </c>
      <c r="G12" s="3478" t="s">
        <v>3705</v>
      </c>
      <c r="H12" s="3478" t="s">
        <v>3654</v>
      </c>
      <c r="I12" s="3478">
        <v>29991.73</v>
      </c>
      <c r="J12" s="3478">
        <v>119966.93</v>
      </c>
      <c r="K12" s="3478">
        <v>4</v>
      </c>
      <c r="L12" s="3478" t="s">
        <v>3656</v>
      </c>
      <c r="M12" s="3478" t="s">
        <v>3683</v>
      </c>
      <c r="N12" s="3478" t="s">
        <v>3658</v>
      </c>
      <c r="O12" s="3478" t="s">
        <v>3659</v>
      </c>
      <c r="P12" s="3478" t="s">
        <v>3660</v>
      </c>
      <c r="Q12" s="3478">
        <v>100</v>
      </c>
      <c r="R12" s="3478" t="s">
        <v>3660</v>
      </c>
      <c r="S12" s="3478" t="s">
        <v>3660</v>
      </c>
      <c r="T12" s="3478" t="s">
        <v>3660</v>
      </c>
      <c r="U12" s="3478" t="s">
        <v>3660</v>
      </c>
      <c r="V12" s="3478" t="s">
        <v>3660</v>
      </c>
      <c r="W12" s="3478" t="s">
        <v>3660</v>
      </c>
      <c r="X12" s="3478">
        <v>0</v>
      </c>
      <c r="Y12" s="3478">
        <v>0</v>
      </c>
      <c r="Z12" s="3479">
        <v>44531.000497685185</v>
      </c>
      <c r="AA12" s="3479">
        <v>44551.000497685185</v>
      </c>
      <c r="AB12" s="3479">
        <v>44566.000497685185</v>
      </c>
      <c r="AC12" s="3479">
        <v>44566.000497685185</v>
      </c>
      <c r="AD12" s="3478" t="s">
        <v>3706</v>
      </c>
      <c r="AE12" s="3478" t="s">
        <v>3663</v>
      </c>
      <c r="AF12" s="3478" t="s">
        <v>3707</v>
      </c>
      <c r="AG12" s="3478" t="s">
        <v>3660</v>
      </c>
      <c r="AH12" s="3478" t="s">
        <v>3660</v>
      </c>
      <c r="AI12" s="3478">
        <v>165300</v>
      </c>
      <c r="AJ12" s="3478">
        <v>33100</v>
      </c>
      <c r="AK12" s="3478" t="s">
        <v>633</v>
      </c>
      <c r="AL12" s="3478">
        <v>165300</v>
      </c>
      <c r="AM12" s="3478">
        <v>3674.35</v>
      </c>
      <c r="AN12" s="3478">
        <v>3674.35</v>
      </c>
      <c r="AO12" s="3478">
        <v>13779</v>
      </c>
      <c r="AP12" s="3478">
        <v>13779</v>
      </c>
      <c r="AQ12" s="3478" t="s">
        <v>3660</v>
      </c>
      <c r="AR12" s="3478" t="s">
        <v>3660</v>
      </c>
      <c r="AS12" s="3478">
        <v>0</v>
      </c>
      <c r="AT12" s="3478" t="s">
        <v>3708</v>
      </c>
      <c r="AU12" s="3478" t="s">
        <v>3659</v>
      </c>
      <c r="AV12" s="3478" t="s">
        <v>3660</v>
      </c>
      <c r="AW12" s="3478" t="s">
        <v>3659</v>
      </c>
      <c r="AX12" s="3478" t="s">
        <v>3660</v>
      </c>
      <c r="AY12" s="3478" t="s">
        <v>3660</v>
      </c>
      <c r="AZ12" s="3478" t="s">
        <v>3660</v>
      </c>
    </row>
    <row r="13" spans="1:52" s="3478" customFormat="1">
      <c r="A13" s="3478" t="s">
        <v>3709</v>
      </c>
      <c r="B13" s="3478" t="s">
        <v>3369</v>
      </c>
      <c r="C13" s="3478" t="s">
        <v>3710</v>
      </c>
      <c r="D13" s="3478" t="s">
        <v>3650</v>
      </c>
      <c r="E13" s="3478" t="s">
        <v>3651</v>
      </c>
      <c r="F13" s="3478" t="s">
        <v>3695</v>
      </c>
      <c r="G13" s="3478" t="s">
        <v>3696</v>
      </c>
      <c r="H13" s="3478" t="s">
        <v>3654</v>
      </c>
      <c r="I13" s="3478">
        <v>204418.11</v>
      </c>
      <c r="J13" s="3478">
        <v>302000</v>
      </c>
      <c r="K13" s="3478">
        <v>1.5</v>
      </c>
      <c r="L13" s="3478" t="s">
        <v>3656</v>
      </c>
      <c r="M13" s="3478" t="s">
        <v>3683</v>
      </c>
      <c r="N13" s="3478" t="s">
        <v>3658</v>
      </c>
      <c r="O13" s="3478" t="s">
        <v>3659</v>
      </c>
      <c r="P13" s="3478" t="s">
        <v>3660</v>
      </c>
      <c r="Q13" s="3478">
        <v>36</v>
      </c>
      <c r="R13" s="3478" t="s">
        <v>3660</v>
      </c>
      <c r="S13" s="3478" t="s">
        <v>3660</v>
      </c>
      <c r="T13" s="3478" t="s">
        <v>3660</v>
      </c>
      <c r="U13" s="3478" t="s">
        <v>3660</v>
      </c>
      <c r="V13" s="3478" t="s">
        <v>3660</v>
      </c>
      <c r="W13" s="3478" t="s">
        <v>3660</v>
      </c>
      <c r="X13" s="3478">
        <v>0</v>
      </c>
      <c r="Y13" s="3478">
        <v>0</v>
      </c>
      <c r="Z13" s="3479">
        <v>44457.000497685185</v>
      </c>
      <c r="AA13" s="3479">
        <v>44481.000497685185</v>
      </c>
      <c r="AB13" s="3479">
        <v>44495.000497685185</v>
      </c>
      <c r="AC13" s="3479">
        <v>44495.000497685185</v>
      </c>
      <c r="AD13" s="3478" t="s">
        <v>3711</v>
      </c>
      <c r="AE13" s="3478" t="s">
        <v>3663</v>
      </c>
      <c r="AF13" s="3478" t="s">
        <v>3712</v>
      </c>
      <c r="AG13" s="3478" t="s">
        <v>3713</v>
      </c>
      <c r="AH13" s="3478" t="s">
        <v>3666</v>
      </c>
      <c r="AI13" s="3478">
        <v>506700</v>
      </c>
      <c r="AJ13" s="3478">
        <v>101400</v>
      </c>
      <c r="AK13" s="3478" t="s">
        <v>3714</v>
      </c>
      <c r="AL13" s="3478">
        <v>506700</v>
      </c>
      <c r="AM13" s="3478">
        <v>1652.5</v>
      </c>
      <c r="AN13" s="3478">
        <v>1652.5</v>
      </c>
      <c r="AO13" s="3478">
        <v>16778</v>
      </c>
      <c r="AP13" s="3478">
        <v>16778</v>
      </c>
      <c r="AQ13" s="3478" t="s">
        <v>3660</v>
      </c>
      <c r="AR13" s="3478" t="s">
        <v>3660</v>
      </c>
      <c r="AS13" s="3478">
        <v>0</v>
      </c>
      <c r="AT13" s="3478" t="s">
        <v>3708</v>
      </c>
      <c r="AU13" s="3478" t="s">
        <v>3659</v>
      </c>
      <c r="AV13" s="3478" t="s">
        <v>3660</v>
      </c>
      <c r="AW13" s="3478" t="s">
        <v>3659</v>
      </c>
      <c r="AX13" s="3478" t="s">
        <v>3660</v>
      </c>
      <c r="AY13" s="3478" t="s">
        <v>3660</v>
      </c>
      <c r="AZ13" s="3478" t="s">
        <v>3660</v>
      </c>
    </row>
    <row r="14" spans="1:52" s="3478" customFormat="1">
      <c r="A14" s="3478" t="s">
        <v>3715</v>
      </c>
      <c r="B14" s="3478" t="s">
        <v>3369</v>
      </c>
      <c r="C14" s="3478" t="s">
        <v>3716</v>
      </c>
      <c r="D14" s="3478" t="s">
        <v>3650</v>
      </c>
      <c r="E14" s="3478" t="s">
        <v>3651</v>
      </c>
      <c r="F14" s="3478" t="s">
        <v>3704</v>
      </c>
      <c r="G14" s="3478" t="s">
        <v>3717</v>
      </c>
      <c r="H14" s="3478" t="s">
        <v>3654</v>
      </c>
      <c r="I14" s="3478">
        <v>17147.95</v>
      </c>
      <c r="J14" s="3478">
        <v>53158.65</v>
      </c>
      <c r="K14" s="3478" t="s">
        <v>3718</v>
      </c>
      <c r="L14" s="3478" t="s">
        <v>3656</v>
      </c>
      <c r="M14" s="3478" t="s">
        <v>3719</v>
      </c>
      <c r="N14" s="3478" t="s">
        <v>3658</v>
      </c>
      <c r="O14" s="3478" t="s">
        <v>3659</v>
      </c>
      <c r="P14" s="3478" t="s">
        <v>3660</v>
      </c>
      <c r="Q14" s="3478" t="s">
        <v>3720</v>
      </c>
      <c r="R14" s="3478" t="s">
        <v>3660</v>
      </c>
      <c r="S14" s="3478" t="s">
        <v>3660</v>
      </c>
      <c r="T14" s="3478" t="s">
        <v>3660</v>
      </c>
      <c r="U14" s="3478" t="s">
        <v>3660</v>
      </c>
      <c r="V14" s="3478">
        <v>0</v>
      </c>
      <c r="W14" s="3478">
        <v>0</v>
      </c>
      <c r="X14" s="3478">
        <v>0</v>
      </c>
      <c r="Y14" s="3478">
        <v>0</v>
      </c>
      <c r="Z14" s="3479">
        <v>44300.000497685185</v>
      </c>
      <c r="AA14" s="3479">
        <v>44322.000497685185</v>
      </c>
      <c r="AB14" s="3479">
        <v>44335.000497685185</v>
      </c>
      <c r="AC14" s="3479">
        <v>44335.000497685185</v>
      </c>
      <c r="AD14" s="3478" t="s">
        <v>3721</v>
      </c>
      <c r="AE14" s="3478" t="s">
        <v>3663</v>
      </c>
      <c r="AF14" s="3478" t="s">
        <v>3722</v>
      </c>
      <c r="AG14" s="3478" t="s">
        <v>3665</v>
      </c>
      <c r="AH14" s="3478" t="s">
        <v>3666</v>
      </c>
      <c r="AI14" s="3478">
        <v>69200</v>
      </c>
      <c r="AJ14" s="3478">
        <v>14000</v>
      </c>
      <c r="AK14" s="3478" t="s">
        <v>633</v>
      </c>
      <c r="AL14" s="3478">
        <v>69200</v>
      </c>
      <c r="AM14" s="3478">
        <v>2690.31</v>
      </c>
      <c r="AN14" s="3478">
        <v>2690.31</v>
      </c>
      <c r="AO14" s="3478">
        <v>13018</v>
      </c>
      <c r="AP14" s="3478">
        <v>13018</v>
      </c>
      <c r="AQ14" s="3478" t="s">
        <v>3660</v>
      </c>
      <c r="AR14" s="3478" t="s">
        <v>3660</v>
      </c>
      <c r="AS14" s="3478">
        <v>0</v>
      </c>
      <c r="AT14" s="3478" t="s">
        <v>3723</v>
      </c>
      <c r="AU14" s="3478" t="s">
        <v>3659</v>
      </c>
      <c r="AV14" s="3478" t="s">
        <v>3660</v>
      </c>
      <c r="AW14" s="3478" t="s">
        <v>3659</v>
      </c>
      <c r="AX14" s="3478" t="s">
        <v>3660</v>
      </c>
      <c r="AY14" s="3478" t="s">
        <v>3660</v>
      </c>
      <c r="AZ14" s="3478" t="s">
        <v>3660</v>
      </c>
    </row>
    <row r="15" spans="1:52" s="3478" customFormat="1">
      <c r="A15" s="3478" t="s">
        <v>3724</v>
      </c>
      <c r="B15" s="3478" t="s">
        <v>3369</v>
      </c>
      <c r="C15" s="3478" t="s">
        <v>3725</v>
      </c>
      <c r="D15" s="3478" t="s">
        <v>3650</v>
      </c>
      <c r="E15" s="3478" t="s">
        <v>3651</v>
      </c>
      <c r="F15" s="3478" t="s">
        <v>3695</v>
      </c>
      <c r="G15" s="3478" t="s">
        <v>3726</v>
      </c>
      <c r="H15" s="3478" t="s">
        <v>3654</v>
      </c>
      <c r="I15" s="3478">
        <v>22058.78</v>
      </c>
      <c r="J15" s="3478">
        <v>47390</v>
      </c>
      <c r="K15" s="3478" t="s">
        <v>3727</v>
      </c>
      <c r="L15" s="3478" t="s">
        <v>3656</v>
      </c>
      <c r="M15" s="3478" t="s">
        <v>3683</v>
      </c>
      <c r="N15" s="3478" t="s">
        <v>3658</v>
      </c>
      <c r="O15" s="3478" t="s">
        <v>3659</v>
      </c>
      <c r="P15" s="3478" t="s">
        <v>3660</v>
      </c>
      <c r="Q15" s="3478" t="s">
        <v>3728</v>
      </c>
      <c r="R15" s="3478" t="s">
        <v>3660</v>
      </c>
      <c r="S15" s="3478" t="s">
        <v>3660</v>
      </c>
      <c r="T15" s="3478" t="s">
        <v>3660</v>
      </c>
      <c r="U15" s="3478" t="s">
        <v>3660</v>
      </c>
      <c r="V15" s="3478">
        <v>0</v>
      </c>
      <c r="W15" s="3478">
        <v>0</v>
      </c>
      <c r="X15" s="3478">
        <v>0</v>
      </c>
      <c r="Y15" s="3478">
        <v>0</v>
      </c>
      <c r="Z15" s="3479">
        <v>44201.000497685185</v>
      </c>
      <c r="AA15" s="3479">
        <v>44221.000497685185</v>
      </c>
      <c r="AB15" s="3479">
        <v>44234.000497685185</v>
      </c>
      <c r="AC15" s="3479">
        <v>44234.000497685185</v>
      </c>
      <c r="AD15" s="3478" t="s">
        <v>3729</v>
      </c>
      <c r="AE15" s="3478" t="s">
        <v>3663</v>
      </c>
      <c r="AF15" s="3478" t="s">
        <v>3730</v>
      </c>
      <c r="AG15" s="3478" t="s">
        <v>3731</v>
      </c>
      <c r="AH15" s="3478" t="s">
        <v>3666</v>
      </c>
      <c r="AI15" s="3478">
        <v>32700</v>
      </c>
      <c r="AJ15" s="3478">
        <v>6600</v>
      </c>
      <c r="AK15" s="3478" t="s">
        <v>633</v>
      </c>
      <c r="AL15" s="3478">
        <v>32700</v>
      </c>
      <c r="AM15" s="3478">
        <v>988.27</v>
      </c>
      <c r="AN15" s="3478">
        <v>988.27</v>
      </c>
      <c r="AO15" s="3478">
        <v>6900</v>
      </c>
      <c r="AP15" s="3478">
        <v>6900</v>
      </c>
      <c r="AQ15" s="3478" t="s">
        <v>3660</v>
      </c>
      <c r="AR15" s="3478" t="s">
        <v>3660</v>
      </c>
      <c r="AS15" s="3478">
        <v>0</v>
      </c>
      <c r="AT15" s="3478" t="s">
        <v>3723</v>
      </c>
      <c r="AU15" s="3478" t="s">
        <v>3659</v>
      </c>
      <c r="AV15" s="3478" t="s">
        <v>3660</v>
      </c>
      <c r="AW15" s="3478" t="s">
        <v>3659</v>
      </c>
      <c r="AX15" s="3478" t="s">
        <v>3660</v>
      </c>
      <c r="AY15" s="3478" t="s">
        <v>3660</v>
      </c>
      <c r="AZ15" s="3478" t="s">
        <v>3660</v>
      </c>
    </row>
    <row r="16" spans="1:52" s="3478" customFormat="1">
      <c r="A16" s="3478" t="s">
        <v>3732</v>
      </c>
      <c r="B16" s="3478" t="s">
        <v>3369</v>
      </c>
      <c r="C16" s="3478" t="s">
        <v>3733</v>
      </c>
      <c r="D16" s="3478" t="s">
        <v>3650</v>
      </c>
      <c r="E16" s="3478" t="s">
        <v>3651</v>
      </c>
      <c r="F16" s="3478" t="s">
        <v>3704</v>
      </c>
      <c r="G16" s="3478" t="s">
        <v>3734</v>
      </c>
      <c r="H16" s="3478" t="s">
        <v>3654</v>
      </c>
      <c r="I16" s="3478">
        <v>28003.32</v>
      </c>
      <c r="J16" s="3478">
        <v>70008</v>
      </c>
      <c r="K16" s="3478" t="s">
        <v>3735</v>
      </c>
      <c r="L16" s="3478" t="s">
        <v>3656</v>
      </c>
      <c r="M16" s="3478" t="s">
        <v>3683</v>
      </c>
      <c r="N16" s="3478" t="s">
        <v>3658</v>
      </c>
      <c r="O16" s="3478" t="s">
        <v>3659</v>
      </c>
      <c r="P16" s="3478" t="s">
        <v>3736</v>
      </c>
      <c r="Q16" s="3478" t="s">
        <v>3737</v>
      </c>
      <c r="R16" s="3478" t="s">
        <v>3660</v>
      </c>
      <c r="S16" s="3478" t="s">
        <v>3660</v>
      </c>
      <c r="T16" s="3478" t="s">
        <v>3660</v>
      </c>
      <c r="U16" s="3478" t="s">
        <v>3660</v>
      </c>
      <c r="V16" s="3478">
        <v>0</v>
      </c>
      <c r="W16" s="3478">
        <v>0</v>
      </c>
      <c r="X16" s="3478">
        <v>0</v>
      </c>
      <c r="Y16" s="3478">
        <v>0</v>
      </c>
      <c r="Z16" s="3479">
        <v>43707.000497685185</v>
      </c>
      <c r="AA16" s="3479">
        <v>43737.000497685185</v>
      </c>
      <c r="AB16" s="3479">
        <v>43755.000497685185</v>
      </c>
      <c r="AC16" s="3479">
        <v>43755.000497685185</v>
      </c>
      <c r="AD16" s="3478" t="s">
        <v>3738</v>
      </c>
      <c r="AE16" s="3478" t="s">
        <v>3663</v>
      </c>
      <c r="AF16" s="3478" t="s">
        <v>3739</v>
      </c>
      <c r="AG16" s="3478" t="s">
        <v>3740</v>
      </c>
      <c r="AH16" s="3478" t="s">
        <v>3741</v>
      </c>
      <c r="AI16" s="3478">
        <v>96800</v>
      </c>
      <c r="AJ16" s="3478">
        <v>19500</v>
      </c>
      <c r="AK16" s="3478" t="s">
        <v>3742</v>
      </c>
      <c r="AL16" s="3478">
        <v>97800</v>
      </c>
      <c r="AM16" s="3478">
        <v>2304.4899999999998</v>
      </c>
      <c r="AN16" s="3478">
        <v>2328.3000000000002</v>
      </c>
      <c r="AO16" s="3478">
        <v>13827</v>
      </c>
      <c r="AP16" s="3478">
        <v>13970</v>
      </c>
      <c r="AQ16" s="3478" t="s">
        <v>3660</v>
      </c>
      <c r="AR16" s="3478" t="s">
        <v>3660</v>
      </c>
      <c r="AS16" s="3478">
        <v>1.03</v>
      </c>
      <c r="AT16" s="3478" t="s">
        <v>3743</v>
      </c>
      <c r="AU16" s="3478" t="s">
        <v>3659</v>
      </c>
      <c r="AV16" s="3478" t="s">
        <v>3660</v>
      </c>
      <c r="AW16" s="3478" t="s">
        <v>3659</v>
      </c>
      <c r="AX16" s="3478" t="s">
        <v>3660</v>
      </c>
      <c r="AY16" s="3478" t="s">
        <v>3660</v>
      </c>
      <c r="AZ16" s="3478" t="s">
        <v>3660</v>
      </c>
    </row>
    <row r="17" spans="1:52" s="3478" customFormat="1">
      <c r="A17" s="3478" t="s">
        <v>3744</v>
      </c>
      <c r="B17" s="3478" t="s">
        <v>3369</v>
      </c>
      <c r="C17" s="3478" t="s">
        <v>3745</v>
      </c>
      <c r="D17" s="3478" t="s">
        <v>3650</v>
      </c>
      <c r="E17" s="3478" t="s">
        <v>3651</v>
      </c>
      <c r="F17" s="3478" t="s">
        <v>3746</v>
      </c>
      <c r="G17" s="3478" t="s">
        <v>3747</v>
      </c>
      <c r="H17" s="3478" t="s">
        <v>3654</v>
      </c>
      <c r="I17" s="3478">
        <v>35230.230000000003</v>
      </c>
      <c r="J17" s="3478">
        <v>88076</v>
      </c>
      <c r="K17" s="3478">
        <v>2.5</v>
      </c>
      <c r="L17" s="3478" t="s">
        <v>3656</v>
      </c>
      <c r="M17" s="3478" t="s">
        <v>3683</v>
      </c>
      <c r="N17" s="3478" t="s">
        <v>3658</v>
      </c>
      <c r="O17" s="3478" t="s">
        <v>3659</v>
      </c>
      <c r="P17" s="3478" t="s">
        <v>3660</v>
      </c>
      <c r="Q17" s="3478" t="s">
        <v>3660</v>
      </c>
      <c r="R17" s="3478" t="s">
        <v>3660</v>
      </c>
      <c r="S17" s="3478" t="s">
        <v>3660</v>
      </c>
      <c r="T17" s="3478" t="s">
        <v>3660</v>
      </c>
      <c r="U17" s="3478" t="s">
        <v>3660</v>
      </c>
      <c r="V17" s="3478">
        <v>0</v>
      </c>
      <c r="W17" s="3478">
        <v>0</v>
      </c>
      <c r="X17" s="3478">
        <v>0</v>
      </c>
      <c r="Y17" s="3478">
        <v>0</v>
      </c>
      <c r="Z17" s="3479">
        <v>42831.000497685185</v>
      </c>
      <c r="AA17" s="3479">
        <v>42852.000497685185</v>
      </c>
      <c r="AB17" s="3479">
        <v>42867.000497685185</v>
      </c>
      <c r="AC17" s="3479">
        <v>42867.000497685185</v>
      </c>
      <c r="AD17" s="3478" t="s">
        <v>3748</v>
      </c>
      <c r="AE17" s="3478" t="s">
        <v>3663</v>
      </c>
      <c r="AF17" s="3478" t="s">
        <v>3749</v>
      </c>
      <c r="AG17" s="3478" t="s">
        <v>3660</v>
      </c>
      <c r="AH17" s="3478" t="s">
        <v>3660</v>
      </c>
      <c r="AI17" s="3478">
        <v>62000</v>
      </c>
      <c r="AJ17" s="3478">
        <v>18600</v>
      </c>
      <c r="AK17" s="3478" t="s">
        <v>633</v>
      </c>
      <c r="AL17" s="3478">
        <v>62000</v>
      </c>
      <c r="AM17" s="3478">
        <v>1173.23</v>
      </c>
      <c r="AN17" s="3478">
        <v>1173.23</v>
      </c>
      <c r="AO17" s="3478">
        <v>7039</v>
      </c>
      <c r="AP17" s="3478">
        <v>7039</v>
      </c>
      <c r="AQ17" s="3478" t="s">
        <v>3660</v>
      </c>
      <c r="AR17" s="3478" t="s">
        <v>3660</v>
      </c>
      <c r="AS17" s="3478">
        <v>0</v>
      </c>
      <c r="AT17" s="3478" t="s">
        <v>3743</v>
      </c>
      <c r="AU17" s="3478" t="s">
        <v>3659</v>
      </c>
      <c r="AV17" s="3478" t="s">
        <v>3660</v>
      </c>
      <c r="AW17" s="3478" t="s">
        <v>3659</v>
      </c>
      <c r="AX17" s="3478" t="s">
        <v>3660</v>
      </c>
      <c r="AY17" s="3478" t="s">
        <v>3660</v>
      </c>
      <c r="AZ17" s="3478" t="s">
        <v>3660</v>
      </c>
    </row>
    <row r="18" spans="1:52" s="3478" customFormat="1">
      <c r="A18" s="3478" t="s">
        <v>3750</v>
      </c>
      <c r="B18" s="3478" t="s">
        <v>3369</v>
      </c>
      <c r="C18" s="3478" t="s">
        <v>3751</v>
      </c>
      <c r="D18" s="3478" t="s">
        <v>3650</v>
      </c>
      <c r="E18" s="3478" t="s">
        <v>3651</v>
      </c>
      <c r="F18" s="3478" t="s">
        <v>3695</v>
      </c>
      <c r="G18" s="3478" t="s">
        <v>3752</v>
      </c>
      <c r="H18" s="3478" t="s">
        <v>3654</v>
      </c>
      <c r="I18" s="3478">
        <v>2070793</v>
      </c>
      <c r="J18" s="3478">
        <v>1642730</v>
      </c>
      <c r="K18" s="3478">
        <v>0.79</v>
      </c>
      <c r="L18" s="3478" t="s">
        <v>3656</v>
      </c>
      <c r="M18" s="3478" t="s">
        <v>3753</v>
      </c>
      <c r="N18" s="3478" t="s">
        <v>3658</v>
      </c>
      <c r="O18" s="3478" t="s">
        <v>3659</v>
      </c>
      <c r="P18" s="3478" t="s">
        <v>3660</v>
      </c>
      <c r="Q18" s="3478" t="s">
        <v>3660</v>
      </c>
      <c r="R18" s="3478" t="s">
        <v>3660</v>
      </c>
      <c r="S18" s="3478" t="s">
        <v>3660</v>
      </c>
      <c r="T18" s="3478" t="s">
        <v>3660</v>
      </c>
      <c r="U18" s="3478" t="s">
        <v>3660</v>
      </c>
      <c r="V18" s="3478">
        <v>0</v>
      </c>
      <c r="W18" s="3478">
        <v>0</v>
      </c>
      <c r="X18" s="3478">
        <v>0</v>
      </c>
      <c r="Y18" s="3478">
        <v>0</v>
      </c>
      <c r="Z18" s="3479">
        <v>42524.000497685185</v>
      </c>
      <c r="AA18" s="3479">
        <v>42544.000497685185</v>
      </c>
      <c r="AB18" s="3479">
        <v>42558.000497685185</v>
      </c>
      <c r="AC18" s="3479">
        <v>42558.000497685185</v>
      </c>
      <c r="AD18" s="3478" t="s">
        <v>3754</v>
      </c>
      <c r="AE18" s="3478" t="s">
        <v>3663</v>
      </c>
      <c r="AF18" s="3478" t="s">
        <v>3755</v>
      </c>
      <c r="AG18" s="3478" t="s">
        <v>3699</v>
      </c>
      <c r="AH18" s="3478" t="s">
        <v>3660</v>
      </c>
      <c r="AI18" s="3478">
        <v>870000</v>
      </c>
      <c r="AJ18" s="3478">
        <v>220000</v>
      </c>
      <c r="AK18" s="3478" t="s">
        <v>633</v>
      </c>
      <c r="AL18" s="3478">
        <v>870000</v>
      </c>
      <c r="AM18" s="3478">
        <v>280.08999999999997</v>
      </c>
      <c r="AN18" s="3478">
        <v>280.08999999999997</v>
      </c>
      <c r="AO18" s="3478">
        <v>5296</v>
      </c>
      <c r="AP18" s="3478">
        <v>5296</v>
      </c>
      <c r="AQ18" s="3478" t="s">
        <v>3660</v>
      </c>
      <c r="AR18" s="3478" t="s">
        <v>3660</v>
      </c>
      <c r="AS18" s="3478">
        <v>0</v>
      </c>
      <c r="AT18" s="3478" t="s">
        <v>3688</v>
      </c>
      <c r="AU18" s="3478" t="s">
        <v>3659</v>
      </c>
      <c r="AV18" s="3478" t="s">
        <v>3660</v>
      </c>
      <c r="AW18" s="3478" t="s">
        <v>3659</v>
      </c>
      <c r="AX18" s="3478" t="s">
        <v>3660</v>
      </c>
      <c r="AY18" s="3478" t="s">
        <v>3660</v>
      </c>
      <c r="AZ18" s="3478" t="s">
        <v>3660</v>
      </c>
    </row>
    <row r="19" spans="1:52" s="3478" customFormat="1">
      <c r="A19" s="3478" t="s">
        <v>3756</v>
      </c>
      <c r="B19" s="3478" t="s">
        <v>3369</v>
      </c>
      <c r="C19" s="3478" t="s">
        <v>3757</v>
      </c>
      <c r="D19" s="3478" t="s">
        <v>3650</v>
      </c>
      <c r="E19" s="3478" t="s">
        <v>3651</v>
      </c>
      <c r="F19" s="3478" t="s">
        <v>3758</v>
      </c>
      <c r="G19" s="3478" t="s">
        <v>3759</v>
      </c>
      <c r="H19" s="3478" t="s">
        <v>3654</v>
      </c>
      <c r="I19" s="3478">
        <v>65873.39</v>
      </c>
      <c r="J19" s="3478">
        <v>164683</v>
      </c>
      <c r="K19" s="3478">
        <v>2.5</v>
      </c>
      <c r="L19" s="3478" t="s">
        <v>3656</v>
      </c>
      <c r="M19" s="3478" t="s">
        <v>3760</v>
      </c>
      <c r="N19" s="3478" t="s">
        <v>3658</v>
      </c>
      <c r="O19" s="3478" t="s">
        <v>3659</v>
      </c>
      <c r="P19" s="3478" t="s">
        <v>3660</v>
      </c>
      <c r="Q19" s="3478" t="s">
        <v>3660</v>
      </c>
      <c r="R19" s="3478" t="s">
        <v>3660</v>
      </c>
      <c r="S19" s="3478" t="s">
        <v>3660</v>
      </c>
      <c r="T19" s="3478" t="s">
        <v>3660</v>
      </c>
      <c r="U19" s="3478" t="s">
        <v>3660</v>
      </c>
      <c r="V19" s="3478">
        <v>0</v>
      </c>
      <c r="W19" s="3478">
        <v>0</v>
      </c>
      <c r="X19" s="3478">
        <v>0</v>
      </c>
      <c r="Y19" s="3478">
        <v>0</v>
      </c>
      <c r="Z19" s="3479">
        <v>42048.000497685185</v>
      </c>
      <c r="AA19" s="3479">
        <v>42073.000497685185</v>
      </c>
      <c r="AB19" s="3479">
        <v>42087.000497685185</v>
      </c>
      <c r="AC19" s="3479">
        <v>42087.000497685185</v>
      </c>
      <c r="AD19" s="3478" t="s">
        <v>3761</v>
      </c>
      <c r="AE19" s="3478" t="s">
        <v>3663</v>
      </c>
      <c r="AF19" s="3478" t="s">
        <v>3762</v>
      </c>
      <c r="AG19" s="3478" t="s">
        <v>3660</v>
      </c>
      <c r="AH19" s="3478" t="s">
        <v>3660</v>
      </c>
      <c r="AI19" s="3478">
        <v>78000</v>
      </c>
      <c r="AJ19" s="3478">
        <v>23500</v>
      </c>
      <c r="AK19" s="3478" t="s">
        <v>633</v>
      </c>
      <c r="AL19" s="3478">
        <v>108000</v>
      </c>
      <c r="AM19" s="3478">
        <v>789.39</v>
      </c>
      <c r="AN19" s="3478">
        <v>1093.01</v>
      </c>
      <c r="AO19" s="3478">
        <v>4736</v>
      </c>
      <c r="AP19" s="3478">
        <v>6558</v>
      </c>
      <c r="AQ19" s="3478" t="s">
        <v>3660</v>
      </c>
      <c r="AR19" s="3478" t="s">
        <v>3660</v>
      </c>
      <c r="AS19" s="3478">
        <v>38.46</v>
      </c>
      <c r="AT19" s="3478" t="s">
        <v>3763</v>
      </c>
      <c r="AU19" s="3478" t="s">
        <v>3659</v>
      </c>
      <c r="AV19" s="3478" t="s">
        <v>3660</v>
      </c>
      <c r="AW19" s="3478" t="s">
        <v>3659</v>
      </c>
      <c r="AX19" s="3478" t="s">
        <v>3660</v>
      </c>
      <c r="AY19" s="3478" t="s">
        <v>3660</v>
      </c>
      <c r="AZ19" s="3478" t="s">
        <v>3660</v>
      </c>
    </row>
    <row r="20" spans="1:52" s="3478" customFormat="1">
      <c r="A20" s="3478" t="s">
        <v>3764</v>
      </c>
      <c r="B20" s="3478" t="s">
        <v>3369</v>
      </c>
      <c r="C20" s="3478" t="s">
        <v>3765</v>
      </c>
      <c r="D20" s="3478" t="s">
        <v>3650</v>
      </c>
      <c r="E20" s="3478" t="s">
        <v>3651</v>
      </c>
      <c r="F20" s="3478" t="s">
        <v>3766</v>
      </c>
      <c r="G20" s="3478" t="s">
        <v>3767</v>
      </c>
      <c r="H20" s="3478" t="s">
        <v>3654</v>
      </c>
      <c r="I20" s="3478">
        <v>47100</v>
      </c>
      <c r="J20" s="3478">
        <v>450000</v>
      </c>
      <c r="K20" s="3478">
        <v>9.5500000000000007</v>
      </c>
      <c r="L20" s="3478" t="s">
        <v>3768</v>
      </c>
      <c r="M20" s="3478" t="s">
        <v>3683</v>
      </c>
      <c r="N20" s="3478" t="s">
        <v>3658</v>
      </c>
      <c r="O20" s="3478" t="s">
        <v>3659</v>
      </c>
      <c r="P20" s="3478" t="s">
        <v>3660</v>
      </c>
      <c r="Q20" s="3478" t="s">
        <v>3660</v>
      </c>
      <c r="R20" s="3478" t="s">
        <v>3660</v>
      </c>
      <c r="S20" s="3478" t="s">
        <v>3660</v>
      </c>
      <c r="T20" s="3478" t="s">
        <v>3660</v>
      </c>
      <c r="U20" s="3478" t="s">
        <v>3660</v>
      </c>
      <c r="V20" s="3478">
        <v>0</v>
      </c>
      <c r="W20" s="3478">
        <v>0</v>
      </c>
      <c r="X20" s="3478">
        <v>0</v>
      </c>
      <c r="Y20" s="3478">
        <v>0</v>
      </c>
      <c r="Z20" s="3479">
        <v>41998.000497685185</v>
      </c>
      <c r="AA20" s="3479">
        <v>42020.000497685185</v>
      </c>
      <c r="AB20" s="3479">
        <v>42020.000497685185</v>
      </c>
      <c r="AC20" s="3479">
        <v>42020.000497685185</v>
      </c>
      <c r="AD20" s="3478" t="s">
        <v>3769</v>
      </c>
      <c r="AE20" s="3478" t="s">
        <v>3663</v>
      </c>
      <c r="AF20" s="3478" t="s">
        <v>3770</v>
      </c>
      <c r="AG20" s="3478" t="s">
        <v>3771</v>
      </c>
      <c r="AH20" s="3478" t="s">
        <v>3666</v>
      </c>
      <c r="AI20" s="3478" t="s">
        <v>3660</v>
      </c>
      <c r="AJ20" s="3478">
        <v>150000</v>
      </c>
      <c r="AK20" s="3478" t="s">
        <v>633</v>
      </c>
      <c r="AL20" s="3478">
        <v>503990</v>
      </c>
      <c r="AM20" s="3478" t="s">
        <v>3660</v>
      </c>
      <c r="AN20" s="3478">
        <v>7133.62</v>
      </c>
      <c r="AO20" s="3478" t="s">
        <v>3660</v>
      </c>
      <c r="AP20" s="3478">
        <v>11200</v>
      </c>
      <c r="AQ20" s="3478" t="s">
        <v>3660</v>
      </c>
      <c r="AR20" s="3478" t="s">
        <v>3660</v>
      </c>
      <c r="AS20" s="3478">
        <v>0</v>
      </c>
      <c r="AT20" s="3478" t="s">
        <v>3763</v>
      </c>
      <c r="AU20" s="3478" t="s">
        <v>3659</v>
      </c>
      <c r="AV20" s="3478" t="s">
        <v>3660</v>
      </c>
      <c r="AW20" s="3478" t="s">
        <v>3659</v>
      </c>
      <c r="AX20" s="3478" t="s">
        <v>3660</v>
      </c>
      <c r="AY20" s="3478" t="s">
        <v>3660</v>
      </c>
      <c r="AZ20" s="3478" t="s">
        <v>3660</v>
      </c>
    </row>
    <row r="21" spans="1:52" s="3478" customFormat="1">
      <c r="A21" s="3478" t="s">
        <v>3772</v>
      </c>
      <c r="B21" s="3478" t="s">
        <v>3369</v>
      </c>
      <c r="C21" s="3478" t="s">
        <v>3773</v>
      </c>
      <c r="D21" s="3478" t="s">
        <v>3650</v>
      </c>
      <c r="E21" s="3478" t="s">
        <v>3651</v>
      </c>
      <c r="F21" s="3478" t="s">
        <v>3774</v>
      </c>
      <c r="G21" s="3478" t="s">
        <v>3775</v>
      </c>
      <c r="H21" s="3478" t="s">
        <v>3654</v>
      </c>
      <c r="I21" s="3478">
        <v>37656</v>
      </c>
      <c r="J21" s="3478">
        <v>131600</v>
      </c>
      <c r="K21" s="3478">
        <v>3.49</v>
      </c>
      <c r="L21" s="3478" t="s">
        <v>3768</v>
      </c>
      <c r="M21" s="3478" t="s">
        <v>3760</v>
      </c>
      <c r="N21" s="3478" t="s">
        <v>3658</v>
      </c>
      <c r="O21" s="3478" t="s">
        <v>3659</v>
      </c>
      <c r="P21" s="3478" t="s">
        <v>3660</v>
      </c>
      <c r="Q21" s="3478" t="s">
        <v>3660</v>
      </c>
      <c r="R21" s="3478" t="s">
        <v>3660</v>
      </c>
      <c r="S21" s="3478" t="s">
        <v>3660</v>
      </c>
      <c r="T21" s="3478" t="s">
        <v>3660</v>
      </c>
      <c r="U21" s="3478" t="s">
        <v>3660</v>
      </c>
      <c r="V21" s="3478">
        <v>0</v>
      </c>
      <c r="W21" s="3478">
        <v>0</v>
      </c>
      <c r="X21" s="3478">
        <v>0</v>
      </c>
      <c r="Y21" s="3478">
        <v>0</v>
      </c>
      <c r="Z21" s="3479">
        <v>41838.000497685185</v>
      </c>
      <c r="AA21" s="3479">
        <v>41859.000497685185</v>
      </c>
      <c r="AB21" s="3479">
        <v>41862.000497685185</v>
      </c>
      <c r="AC21" s="3479">
        <v>41862.000497685185</v>
      </c>
      <c r="AD21" s="3478" t="s">
        <v>3776</v>
      </c>
      <c r="AE21" s="3478" t="s">
        <v>3663</v>
      </c>
      <c r="AF21" s="3478" t="s">
        <v>3777</v>
      </c>
      <c r="AG21" s="3478" t="s">
        <v>3778</v>
      </c>
      <c r="AH21" s="3478" t="s">
        <v>3666</v>
      </c>
      <c r="AI21" s="3478" t="s">
        <v>3660</v>
      </c>
      <c r="AJ21" s="3478">
        <v>33000</v>
      </c>
      <c r="AK21" s="3478" t="s">
        <v>633</v>
      </c>
      <c r="AL21" s="3478">
        <v>151603.20000000001</v>
      </c>
      <c r="AM21" s="3478" t="s">
        <v>3660</v>
      </c>
      <c r="AN21" s="3478">
        <v>2684</v>
      </c>
      <c r="AO21" s="3478" t="s">
        <v>3660</v>
      </c>
      <c r="AP21" s="3478">
        <v>11520</v>
      </c>
      <c r="AQ21" s="3478" t="s">
        <v>3660</v>
      </c>
      <c r="AR21" s="3478" t="s">
        <v>3660</v>
      </c>
      <c r="AS21" s="3478">
        <v>0</v>
      </c>
      <c r="AT21" s="3478" t="s">
        <v>3763</v>
      </c>
      <c r="AU21" s="3478" t="s">
        <v>3659</v>
      </c>
      <c r="AV21" s="3478" t="s">
        <v>3660</v>
      </c>
      <c r="AW21" s="3478" t="s">
        <v>3659</v>
      </c>
      <c r="AX21" s="3478" t="s">
        <v>3660</v>
      </c>
      <c r="AY21" s="3478" t="s">
        <v>3660</v>
      </c>
      <c r="AZ21" s="3478" t="s">
        <v>3660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80" zoomScaleNormal="80" workbookViewId="0">
      <selection activeCell="D25" sqref="D25"/>
    </sheetView>
  </sheetViews>
  <sheetFormatPr defaultRowHeight="13.2" customHeight="1"/>
  <cols>
    <col min="1" max="1" width="9.44140625" style="2835" customWidth="1"/>
    <col min="2" max="2" width="8.88671875" style="2835"/>
    <col min="3" max="5" width="12.88671875" style="2835" customWidth="1"/>
    <col min="6" max="6" width="47.44140625" style="2835" customWidth="1"/>
    <col min="7" max="7" width="13" style="2994" customWidth="1"/>
    <col min="8" max="8" width="8.88671875" style="2829"/>
    <col min="9" max="9" width="8.88671875" style="2830"/>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830"/>
    <col min="23" max="256" width="8.88671875" style="2835"/>
    <col min="257" max="257" width="9.44140625" style="2835" customWidth="1"/>
    <col min="258" max="258" width="8.88671875" style="2835"/>
    <col min="259" max="261" width="12.88671875" style="2835" customWidth="1"/>
    <col min="262" max="262" width="47.44140625" style="2835" customWidth="1"/>
    <col min="263" max="263" width="13" style="2835" customWidth="1"/>
    <col min="264" max="265" width="8.88671875" style="2835"/>
    <col min="266" max="266" width="5.77734375" style="2835" customWidth="1"/>
    <col min="267" max="267" width="11.77734375" style="2835" customWidth="1"/>
    <col min="268" max="269" width="10.77734375" style="2835" customWidth="1"/>
    <col min="270" max="270" width="10" style="2835" customWidth="1"/>
    <col min="271" max="272" width="10.44140625" style="2835" bestFit="1" customWidth="1"/>
    <col min="273" max="273" width="10" style="2835" customWidth="1"/>
    <col min="274" max="274" width="10.109375" style="2835" customWidth="1"/>
    <col min="275" max="275" width="10" style="2835" customWidth="1"/>
    <col min="276" max="276" width="26.109375" style="2835" customWidth="1"/>
    <col min="277" max="512" width="8.88671875" style="2835"/>
    <col min="513" max="513" width="9.44140625" style="2835" customWidth="1"/>
    <col min="514" max="514" width="8.88671875" style="2835"/>
    <col min="515" max="517" width="12.88671875" style="2835" customWidth="1"/>
    <col min="518" max="518" width="47.44140625" style="2835" customWidth="1"/>
    <col min="519" max="519" width="13" style="2835" customWidth="1"/>
    <col min="520" max="521" width="8.88671875" style="2835"/>
    <col min="522" max="522" width="5.77734375" style="2835" customWidth="1"/>
    <col min="523" max="523" width="11.77734375" style="2835" customWidth="1"/>
    <col min="524" max="525" width="10.77734375" style="2835" customWidth="1"/>
    <col min="526" max="526" width="10" style="2835" customWidth="1"/>
    <col min="527" max="528" width="10.44140625" style="2835" bestFit="1" customWidth="1"/>
    <col min="529" max="529" width="10" style="2835" customWidth="1"/>
    <col min="530" max="530" width="10.109375" style="2835" customWidth="1"/>
    <col min="531" max="531" width="10" style="2835" customWidth="1"/>
    <col min="532" max="532" width="26.109375" style="2835" customWidth="1"/>
    <col min="533" max="768" width="8.88671875" style="2835"/>
    <col min="769" max="769" width="9.44140625" style="2835" customWidth="1"/>
    <col min="770" max="770" width="8.88671875" style="2835"/>
    <col min="771" max="773" width="12.88671875" style="2835" customWidth="1"/>
    <col min="774" max="774" width="47.44140625" style="2835" customWidth="1"/>
    <col min="775" max="775" width="13" style="2835" customWidth="1"/>
    <col min="776" max="777" width="8.88671875" style="2835"/>
    <col min="778" max="778" width="5.77734375" style="2835" customWidth="1"/>
    <col min="779" max="779" width="11.77734375" style="2835" customWidth="1"/>
    <col min="780" max="781" width="10.77734375" style="2835" customWidth="1"/>
    <col min="782" max="782" width="10" style="2835" customWidth="1"/>
    <col min="783" max="784" width="10.44140625" style="2835" bestFit="1" customWidth="1"/>
    <col min="785" max="785" width="10" style="2835" customWidth="1"/>
    <col min="786" max="786" width="10.109375" style="2835" customWidth="1"/>
    <col min="787" max="787" width="10" style="2835" customWidth="1"/>
    <col min="788" max="788" width="26.109375" style="2835" customWidth="1"/>
    <col min="789" max="1024" width="8.88671875" style="2835"/>
    <col min="1025" max="1025" width="9.44140625" style="2835" customWidth="1"/>
    <col min="1026" max="1026" width="8.88671875" style="2835"/>
    <col min="1027" max="1029" width="12.88671875" style="2835" customWidth="1"/>
    <col min="1030" max="1030" width="47.44140625" style="2835" customWidth="1"/>
    <col min="1031" max="1031" width="13" style="2835" customWidth="1"/>
    <col min="1032" max="1033" width="8.88671875" style="2835"/>
    <col min="1034" max="1034" width="5.77734375" style="2835" customWidth="1"/>
    <col min="1035" max="1035" width="11.77734375" style="2835" customWidth="1"/>
    <col min="1036" max="1037" width="10.77734375" style="2835" customWidth="1"/>
    <col min="1038" max="1038" width="10" style="2835" customWidth="1"/>
    <col min="1039" max="1040" width="10.44140625" style="2835" bestFit="1" customWidth="1"/>
    <col min="1041" max="1041" width="10" style="2835" customWidth="1"/>
    <col min="1042" max="1042" width="10.109375" style="2835" customWidth="1"/>
    <col min="1043" max="1043" width="10" style="2835" customWidth="1"/>
    <col min="1044" max="1044" width="26.109375" style="2835" customWidth="1"/>
    <col min="1045" max="1280" width="8.88671875" style="2835"/>
    <col min="1281" max="1281" width="9.44140625" style="2835" customWidth="1"/>
    <col min="1282" max="1282" width="8.88671875" style="2835"/>
    <col min="1283" max="1285" width="12.88671875" style="2835" customWidth="1"/>
    <col min="1286" max="1286" width="47.44140625" style="2835" customWidth="1"/>
    <col min="1287" max="1287" width="13" style="2835" customWidth="1"/>
    <col min="1288" max="1289" width="8.88671875" style="2835"/>
    <col min="1290" max="1290" width="5.77734375" style="2835" customWidth="1"/>
    <col min="1291" max="1291" width="11.77734375" style="2835" customWidth="1"/>
    <col min="1292" max="1293" width="10.77734375" style="2835" customWidth="1"/>
    <col min="1294" max="1294" width="10" style="2835" customWidth="1"/>
    <col min="1295" max="1296" width="10.44140625" style="2835" bestFit="1" customWidth="1"/>
    <col min="1297" max="1297" width="10" style="2835" customWidth="1"/>
    <col min="1298" max="1298" width="10.109375" style="2835" customWidth="1"/>
    <col min="1299" max="1299" width="10" style="2835" customWidth="1"/>
    <col min="1300" max="1300" width="26.109375" style="2835" customWidth="1"/>
    <col min="1301" max="1536" width="8.88671875" style="2835"/>
    <col min="1537" max="1537" width="9.44140625" style="2835" customWidth="1"/>
    <col min="1538" max="1538" width="8.88671875" style="2835"/>
    <col min="1539" max="1541" width="12.88671875" style="2835" customWidth="1"/>
    <col min="1542" max="1542" width="47.44140625" style="2835" customWidth="1"/>
    <col min="1543" max="1543" width="13" style="2835" customWidth="1"/>
    <col min="1544" max="1545" width="8.88671875" style="2835"/>
    <col min="1546" max="1546" width="5.77734375" style="2835" customWidth="1"/>
    <col min="1547" max="1547" width="11.77734375" style="2835" customWidth="1"/>
    <col min="1548" max="1549" width="10.77734375" style="2835" customWidth="1"/>
    <col min="1550" max="1550" width="10" style="2835" customWidth="1"/>
    <col min="1551" max="1552" width="10.44140625" style="2835" bestFit="1" customWidth="1"/>
    <col min="1553" max="1553" width="10" style="2835" customWidth="1"/>
    <col min="1554" max="1554" width="10.109375" style="2835" customWidth="1"/>
    <col min="1555" max="1555" width="10" style="2835" customWidth="1"/>
    <col min="1556" max="1556" width="26.109375" style="2835" customWidth="1"/>
    <col min="1557" max="1792" width="8.88671875" style="2835"/>
    <col min="1793" max="1793" width="9.44140625" style="2835" customWidth="1"/>
    <col min="1794" max="1794" width="8.88671875" style="2835"/>
    <col min="1795" max="1797" width="12.88671875" style="2835" customWidth="1"/>
    <col min="1798" max="1798" width="47.44140625" style="2835" customWidth="1"/>
    <col min="1799" max="1799" width="13" style="2835" customWidth="1"/>
    <col min="1800" max="1801" width="8.88671875" style="2835"/>
    <col min="1802" max="1802" width="5.77734375" style="2835" customWidth="1"/>
    <col min="1803" max="1803" width="11.77734375" style="2835" customWidth="1"/>
    <col min="1804" max="1805" width="10.77734375" style="2835" customWidth="1"/>
    <col min="1806" max="1806" width="10" style="2835" customWidth="1"/>
    <col min="1807" max="1808" width="10.44140625" style="2835" bestFit="1" customWidth="1"/>
    <col min="1809" max="1809" width="10" style="2835" customWidth="1"/>
    <col min="1810" max="1810" width="10.109375" style="2835" customWidth="1"/>
    <col min="1811" max="1811" width="10" style="2835" customWidth="1"/>
    <col min="1812" max="1812" width="26.109375" style="2835" customWidth="1"/>
    <col min="1813" max="2048" width="8.88671875" style="2835"/>
    <col min="2049" max="2049" width="9.44140625" style="2835" customWidth="1"/>
    <col min="2050" max="2050" width="8.88671875" style="2835"/>
    <col min="2051" max="2053" width="12.88671875" style="2835" customWidth="1"/>
    <col min="2054" max="2054" width="47.44140625" style="2835" customWidth="1"/>
    <col min="2055" max="2055" width="13" style="2835" customWidth="1"/>
    <col min="2056" max="2057" width="8.88671875" style="2835"/>
    <col min="2058" max="2058" width="5.77734375" style="2835" customWidth="1"/>
    <col min="2059" max="2059" width="11.77734375" style="2835" customWidth="1"/>
    <col min="2060" max="2061" width="10.77734375" style="2835" customWidth="1"/>
    <col min="2062" max="2062" width="10" style="2835" customWidth="1"/>
    <col min="2063" max="2064" width="10.44140625" style="2835" bestFit="1" customWidth="1"/>
    <col min="2065" max="2065" width="10" style="2835" customWidth="1"/>
    <col min="2066" max="2066" width="10.109375" style="2835" customWidth="1"/>
    <col min="2067" max="2067" width="10" style="2835" customWidth="1"/>
    <col min="2068" max="2068" width="26.109375" style="2835" customWidth="1"/>
    <col min="2069" max="2304" width="8.88671875" style="2835"/>
    <col min="2305" max="2305" width="9.44140625" style="2835" customWidth="1"/>
    <col min="2306" max="2306" width="8.88671875" style="2835"/>
    <col min="2307" max="2309" width="12.88671875" style="2835" customWidth="1"/>
    <col min="2310" max="2310" width="47.44140625" style="2835" customWidth="1"/>
    <col min="2311" max="2311" width="13" style="2835" customWidth="1"/>
    <col min="2312" max="2313" width="8.88671875" style="2835"/>
    <col min="2314" max="2314" width="5.77734375" style="2835" customWidth="1"/>
    <col min="2315" max="2315" width="11.77734375" style="2835" customWidth="1"/>
    <col min="2316" max="2317" width="10.77734375" style="2835" customWidth="1"/>
    <col min="2318" max="2318" width="10" style="2835" customWidth="1"/>
    <col min="2319" max="2320" width="10.44140625" style="2835" bestFit="1" customWidth="1"/>
    <col min="2321" max="2321" width="10" style="2835" customWidth="1"/>
    <col min="2322" max="2322" width="10.109375" style="2835" customWidth="1"/>
    <col min="2323" max="2323" width="10" style="2835" customWidth="1"/>
    <col min="2324" max="2324" width="26.109375" style="2835" customWidth="1"/>
    <col min="2325" max="2560" width="8.88671875" style="2835"/>
    <col min="2561" max="2561" width="9.44140625" style="2835" customWidth="1"/>
    <col min="2562" max="2562" width="8.88671875" style="2835"/>
    <col min="2563" max="2565" width="12.88671875" style="2835" customWidth="1"/>
    <col min="2566" max="2566" width="47.44140625" style="2835" customWidth="1"/>
    <col min="2567" max="2567" width="13" style="2835" customWidth="1"/>
    <col min="2568" max="2569" width="8.88671875" style="2835"/>
    <col min="2570" max="2570" width="5.77734375" style="2835" customWidth="1"/>
    <col min="2571" max="2571" width="11.77734375" style="2835" customWidth="1"/>
    <col min="2572" max="2573" width="10.77734375" style="2835" customWidth="1"/>
    <col min="2574" max="2574" width="10" style="2835" customWidth="1"/>
    <col min="2575" max="2576" width="10.44140625" style="2835" bestFit="1" customWidth="1"/>
    <col min="2577" max="2577" width="10" style="2835" customWidth="1"/>
    <col min="2578" max="2578" width="10.109375" style="2835" customWidth="1"/>
    <col min="2579" max="2579" width="10" style="2835" customWidth="1"/>
    <col min="2580" max="2580" width="26.109375" style="2835" customWidth="1"/>
    <col min="2581" max="2816" width="8.88671875" style="2835"/>
    <col min="2817" max="2817" width="9.44140625" style="2835" customWidth="1"/>
    <col min="2818" max="2818" width="8.88671875" style="2835"/>
    <col min="2819" max="2821" width="12.88671875" style="2835" customWidth="1"/>
    <col min="2822" max="2822" width="47.44140625" style="2835" customWidth="1"/>
    <col min="2823" max="2823" width="13" style="2835" customWidth="1"/>
    <col min="2824" max="2825" width="8.88671875" style="2835"/>
    <col min="2826" max="2826" width="5.77734375" style="2835" customWidth="1"/>
    <col min="2827" max="2827" width="11.77734375" style="2835" customWidth="1"/>
    <col min="2828" max="2829" width="10.77734375" style="2835" customWidth="1"/>
    <col min="2830" max="2830" width="10" style="2835" customWidth="1"/>
    <col min="2831" max="2832" width="10.44140625" style="2835" bestFit="1" customWidth="1"/>
    <col min="2833" max="2833" width="10" style="2835" customWidth="1"/>
    <col min="2834" max="2834" width="10.109375" style="2835" customWidth="1"/>
    <col min="2835" max="2835" width="10" style="2835" customWidth="1"/>
    <col min="2836" max="2836" width="26.109375" style="2835" customWidth="1"/>
    <col min="2837" max="3072" width="8.88671875" style="2835"/>
    <col min="3073" max="3073" width="9.44140625" style="2835" customWidth="1"/>
    <col min="3074" max="3074" width="8.88671875" style="2835"/>
    <col min="3075" max="3077" width="12.88671875" style="2835" customWidth="1"/>
    <col min="3078" max="3078" width="47.44140625" style="2835" customWidth="1"/>
    <col min="3079" max="3079" width="13" style="2835" customWidth="1"/>
    <col min="3080" max="3081" width="8.88671875" style="2835"/>
    <col min="3082" max="3082" width="5.77734375" style="2835" customWidth="1"/>
    <col min="3083" max="3083" width="11.77734375" style="2835" customWidth="1"/>
    <col min="3084" max="3085" width="10.77734375" style="2835" customWidth="1"/>
    <col min="3086" max="3086" width="10" style="2835" customWidth="1"/>
    <col min="3087" max="3088" width="10.44140625" style="2835" bestFit="1" customWidth="1"/>
    <col min="3089" max="3089" width="10" style="2835" customWidth="1"/>
    <col min="3090" max="3090" width="10.109375" style="2835" customWidth="1"/>
    <col min="3091" max="3091" width="10" style="2835" customWidth="1"/>
    <col min="3092" max="3092" width="26.109375" style="2835" customWidth="1"/>
    <col min="3093" max="3328" width="8.88671875" style="2835"/>
    <col min="3329" max="3329" width="9.44140625" style="2835" customWidth="1"/>
    <col min="3330" max="3330" width="8.88671875" style="2835"/>
    <col min="3331" max="3333" width="12.88671875" style="2835" customWidth="1"/>
    <col min="3334" max="3334" width="47.44140625" style="2835" customWidth="1"/>
    <col min="3335" max="3335" width="13" style="2835" customWidth="1"/>
    <col min="3336" max="3337" width="8.88671875" style="2835"/>
    <col min="3338" max="3338" width="5.77734375" style="2835" customWidth="1"/>
    <col min="3339" max="3339" width="11.77734375" style="2835" customWidth="1"/>
    <col min="3340" max="3341" width="10.77734375" style="2835" customWidth="1"/>
    <col min="3342" max="3342" width="10" style="2835" customWidth="1"/>
    <col min="3343" max="3344" width="10.44140625" style="2835" bestFit="1" customWidth="1"/>
    <col min="3345" max="3345" width="10" style="2835" customWidth="1"/>
    <col min="3346" max="3346" width="10.109375" style="2835" customWidth="1"/>
    <col min="3347" max="3347" width="10" style="2835" customWidth="1"/>
    <col min="3348" max="3348" width="26.109375" style="2835" customWidth="1"/>
    <col min="3349" max="3584" width="8.88671875" style="2835"/>
    <col min="3585" max="3585" width="9.44140625" style="2835" customWidth="1"/>
    <col min="3586" max="3586" width="8.88671875" style="2835"/>
    <col min="3587" max="3589" width="12.88671875" style="2835" customWidth="1"/>
    <col min="3590" max="3590" width="47.44140625" style="2835" customWidth="1"/>
    <col min="3591" max="3591" width="13" style="2835" customWidth="1"/>
    <col min="3592" max="3593" width="8.88671875" style="2835"/>
    <col min="3594" max="3594" width="5.77734375" style="2835" customWidth="1"/>
    <col min="3595" max="3595" width="11.77734375" style="2835" customWidth="1"/>
    <col min="3596" max="3597" width="10.77734375" style="2835" customWidth="1"/>
    <col min="3598" max="3598" width="10" style="2835" customWidth="1"/>
    <col min="3599" max="3600" width="10.44140625" style="2835" bestFit="1" customWidth="1"/>
    <col min="3601" max="3601" width="10" style="2835" customWidth="1"/>
    <col min="3602" max="3602" width="10.109375" style="2835" customWidth="1"/>
    <col min="3603" max="3603" width="10" style="2835" customWidth="1"/>
    <col min="3604" max="3604" width="26.109375" style="2835" customWidth="1"/>
    <col min="3605" max="3840" width="8.88671875" style="2835"/>
    <col min="3841" max="3841" width="9.44140625" style="2835" customWidth="1"/>
    <col min="3842" max="3842" width="8.88671875" style="2835"/>
    <col min="3843" max="3845" width="12.88671875" style="2835" customWidth="1"/>
    <col min="3846" max="3846" width="47.44140625" style="2835" customWidth="1"/>
    <col min="3847" max="3847" width="13" style="2835" customWidth="1"/>
    <col min="3848" max="3849" width="8.88671875" style="2835"/>
    <col min="3850" max="3850" width="5.77734375" style="2835" customWidth="1"/>
    <col min="3851" max="3851" width="11.77734375" style="2835" customWidth="1"/>
    <col min="3852" max="3853" width="10.77734375" style="2835" customWidth="1"/>
    <col min="3854" max="3854" width="10" style="2835" customWidth="1"/>
    <col min="3855" max="3856" width="10.44140625" style="2835" bestFit="1" customWidth="1"/>
    <col min="3857" max="3857" width="10" style="2835" customWidth="1"/>
    <col min="3858" max="3858" width="10.109375" style="2835" customWidth="1"/>
    <col min="3859" max="3859" width="10" style="2835" customWidth="1"/>
    <col min="3860" max="3860" width="26.109375" style="2835" customWidth="1"/>
    <col min="3861" max="4096" width="8.88671875" style="2835"/>
    <col min="4097" max="4097" width="9.44140625" style="2835" customWidth="1"/>
    <col min="4098" max="4098" width="8.88671875" style="2835"/>
    <col min="4099" max="4101" width="12.88671875" style="2835" customWidth="1"/>
    <col min="4102" max="4102" width="47.44140625" style="2835" customWidth="1"/>
    <col min="4103" max="4103" width="13" style="2835" customWidth="1"/>
    <col min="4104" max="4105" width="8.88671875" style="2835"/>
    <col min="4106" max="4106" width="5.77734375" style="2835" customWidth="1"/>
    <col min="4107" max="4107" width="11.77734375" style="2835" customWidth="1"/>
    <col min="4108" max="4109" width="10.77734375" style="2835" customWidth="1"/>
    <col min="4110" max="4110" width="10" style="2835" customWidth="1"/>
    <col min="4111" max="4112" width="10.44140625" style="2835" bestFit="1" customWidth="1"/>
    <col min="4113" max="4113" width="10" style="2835" customWidth="1"/>
    <col min="4114" max="4114" width="10.109375" style="2835" customWidth="1"/>
    <col min="4115" max="4115" width="10" style="2835" customWidth="1"/>
    <col min="4116" max="4116" width="26.109375" style="2835" customWidth="1"/>
    <col min="4117" max="4352" width="8.88671875" style="2835"/>
    <col min="4353" max="4353" width="9.44140625" style="2835" customWidth="1"/>
    <col min="4354" max="4354" width="8.88671875" style="2835"/>
    <col min="4355" max="4357" width="12.88671875" style="2835" customWidth="1"/>
    <col min="4358" max="4358" width="47.44140625" style="2835" customWidth="1"/>
    <col min="4359" max="4359" width="13" style="2835" customWidth="1"/>
    <col min="4360" max="4361" width="8.88671875" style="2835"/>
    <col min="4362" max="4362" width="5.77734375" style="2835" customWidth="1"/>
    <col min="4363" max="4363" width="11.77734375" style="2835" customWidth="1"/>
    <col min="4364" max="4365" width="10.77734375" style="2835" customWidth="1"/>
    <col min="4366" max="4366" width="10" style="2835" customWidth="1"/>
    <col min="4367" max="4368" width="10.44140625" style="2835" bestFit="1" customWidth="1"/>
    <col min="4369" max="4369" width="10" style="2835" customWidth="1"/>
    <col min="4370" max="4370" width="10.109375" style="2835" customWidth="1"/>
    <col min="4371" max="4371" width="10" style="2835" customWidth="1"/>
    <col min="4372" max="4372" width="26.109375" style="2835" customWidth="1"/>
    <col min="4373" max="4608" width="8.88671875" style="2835"/>
    <col min="4609" max="4609" width="9.44140625" style="2835" customWidth="1"/>
    <col min="4610" max="4610" width="8.88671875" style="2835"/>
    <col min="4611" max="4613" width="12.88671875" style="2835" customWidth="1"/>
    <col min="4614" max="4614" width="47.44140625" style="2835" customWidth="1"/>
    <col min="4615" max="4615" width="13" style="2835" customWidth="1"/>
    <col min="4616" max="4617" width="8.88671875" style="2835"/>
    <col min="4618" max="4618" width="5.77734375" style="2835" customWidth="1"/>
    <col min="4619" max="4619" width="11.77734375" style="2835" customWidth="1"/>
    <col min="4620" max="4621" width="10.77734375" style="2835" customWidth="1"/>
    <col min="4622" max="4622" width="10" style="2835" customWidth="1"/>
    <col min="4623" max="4624" width="10.44140625" style="2835" bestFit="1" customWidth="1"/>
    <col min="4625" max="4625" width="10" style="2835" customWidth="1"/>
    <col min="4626" max="4626" width="10.109375" style="2835" customWidth="1"/>
    <col min="4627" max="4627" width="10" style="2835" customWidth="1"/>
    <col min="4628" max="4628" width="26.109375" style="2835" customWidth="1"/>
    <col min="4629" max="4864" width="8.88671875" style="2835"/>
    <col min="4865" max="4865" width="9.44140625" style="2835" customWidth="1"/>
    <col min="4866" max="4866" width="8.88671875" style="2835"/>
    <col min="4867" max="4869" width="12.88671875" style="2835" customWidth="1"/>
    <col min="4870" max="4870" width="47.44140625" style="2835" customWidth="1"/>
    <col min="4871" max="4871" width="13" style="2835" customWidth="1"/>
    <col min="4872" max="4873" width="8.88671875" style="2835"/>
    <col min="4874" max="4874" width="5.77734375" style="2835" customWidth="1"/>
    <col min="4875" max="4875" width="11.77734375" style="2835" customWidth="1"/>
    <col min="4876" max="4877" width="10.77734375" style="2835" customWidth="1"/>
    <col min="4878" max="4878" width="10" style="2835" customWidth="1"/>
    <col min="4879" max="4880" width="10.44140625" style="2835" bestFit="1" customWidth="1"/>
    <col min="4881" max="4881" width="10" style="2835" customWidth="1"/>
    <col min="4882" max="4882" width="10.109375" style="2835" customWidth="1"/>
    <col min="4883" max="4883" width="10" style="2835" customWidth="1"/>
    <col min="4884" max="4884" width="26.109375" style="2835" customWidth="1"/>
    <col min="4885" max="5120" width="8.88671875" style="2835"/>
    <col min="5121" max="5121" width="9.44140625" style="2835" customWidth="1"/>
    <col min="5122" max="5122" width="8.88671875" style="2835"/>
    <col min="5123" max="5125" width="12.88671875" style="2835" customWidth="1"/>
    <col min="5126" max="5126" width="47.44140625" style="2835" customWidth="1"/>
    <col min="5127" max="5127" width="13" style="2835" customWidth="1"/>
    <col min="5128" max="5129" width="8.88671875" style="2835"/>
    <col min="5130" max="5130" width="5.77734375" style="2835" customWidth="1"/>
    <col min="5131" max="5131" width="11.77734375" style="2835" customWidth="1"/>
    <col min="5132" max="5133" width="10.77734375" style="2835" customWidth="1"/>
    <col min="5134" max="5134" width="10" style="2835" customWidth="1"/>
    <col min="5135" max="5136" width="10.44140625" style="2835" bestFit="1" customWidth="1"/>
    <col min="5137" max="5137" width="10" style="2835" customWidth="1"/>
    <col min="5138" max="5138" width="10.109375" style="2835" customWidth="1"/>
    <col min="5139" max="5139" width="10" style="2835" customWidth="1"/>
    <col min="5140" max="5140" width="26.109375" style="2835" customWidth="1"/>
    <col min="5141" max="5376" width="8.88671875" style="2835"/>
    <col min="5377" max="5377" width="9.44140625" style="2835" customWidth="1"/>
    <col min="5378" max="5378" width="8.88671875" style="2835"/>
    <col min="5379" max="5381" width="12.88671875" style="2835" customWidth="1"/>
    <col min="5382" max="5382" width="47.44140625" style="2835" customWidth="1"/>
    <col min="5383" max="5383" width="13" style="2835" customWidth="1"/>
    <col min="5384" max="5385" width="8.88671875" style="2835"/>
    <col min="5386" max="5386" width="5.77734375" style="2835" customWidth="1"/>
    <col min="5387" max="5387" width="11.77734375" style="2835" customWidth="1"/>
    <col min="5388" max="5389" width="10.77734375" style="2835" customWidth="1"/>
    <col min="5390" max="5390" width="10" style="2835" customWidth="1"/>
    <col min="5391" max="5392" width="10.44140625" style="2835" bestFit="1" customWidth="1"/>
    <col min="5393" max="5393" width="10" style="2835" customWidth="1"/>
    <col min="5394" max="5394" width="10.109375" style="2835" customWidth="1"/>
    <col min="5395" max="5395" width="10" style="2835" customWidth="1"/>
    <col min="5396" max="5396" width="26.109375" style="2835" customWidth="1"/>
    <col min="5397" max="5632" width="8.88671875" style="2835"/>
    <col min="5633" max="5633" width="9.44140625" style="2835" customWidth="1"/>
    <col min="5634" max="5634" width="8.88671875" style="2835"/>
    <col min="5635" max="5637" width="12.88671875" style="2835" customWidth="1"/>
    <col min="5638" max="5638" width="47.44140625" style="2835" customWidth="1"/>
    <col min="5639" max="5639" width="13" style="2835" customWidth="1"/>
    <col min="5640" max="5641" width="8.88671875" style="2835"/>
    <col min="5642" max="5642" width="5.77734375" style="2835" customWidth="1"/>
    <col min="5643" max="5643" width="11.77734375" style="2835" customWidth="1"/>
    <col min="5644" max="5645" width="10.77734375" style="2835" customWidth="1"/>
    <col min="5646" max="5646" width="10" style="2835" customWidth="1"/>
    <col min="5647" max="5648" width="10.44140625" style="2835" bestFit="1" customWidth="1"/>
    <col min="5649" max="5649" width="10" style="2835" customWidth="1"/>
    <col min="5650" max="5650" width="10.109375" style="2835" customWidth="1"/>
    <col min="5651" max="5651" width="10" style="2835" customWidth="1"/>
    <col min="5652" max="5652" width="26.109375" style="2835" customWidth="1"/>
    <col min="5653" max="5888" width="8.88671875" style="2835"/>
    <col min="5889" max="5889" width="9.44140625" style="2835" customWidth="1"/>
    <col min="5890" max="5890" width="8.88671875" style="2835"/>
    <col min="5891" max="5893" width="12.88671875" style="2835" customWidth="1"/>
    <col min="5894" max="5894" width="47.44140625" style="2835" customWidth="1"/>
    <col min="5895" max="5895" width="13" style="2835" customWidth="1"/>
    <col min="5896" max="5897" width="8.88671875" style="2835"/>
    <col min="5898" max="5898" width="5.77734375" style="2835" customWidth="1"/>
    <col min="5899" max="5899" width="11.77734375" style="2835" customWidth="1"/>
    <col min="5900" max="5901" width="10.77734375" style="2835" customWidth="1"/>
    <col min="5902" max="5902" width="10" style="2835" customWidth="1"/>
    <col min="5903" max="5904" width="10.44140625" style="2835" bestFit="1" customWidth="1"/>
    <col min="5905" max="5905" width="10" style="2835" customWidth="1"/>
    <col min="5906" max="5906" width="10.109375" style="2835" customWidth="1"/>
    <col min="5907" max="5907" width="10" style="2835" customWidth="1"/>
    <col min="5908" max="5908" width="26.109375" style="2835" customWidth="1"/>
    <col min="5909" max="6144" width="8.88671875" style="2835"/>
    <col min="6145" max="6145" width="9.44140625" style="2835" customWidth="1"/>
    <col min="6146" max="6146" width="8.88671875" style="2835"/>
    <col min="6147" max="6149" width="12.88671875" style="2835" customWidth="1"/>
    <col min="6150" max="6150" width="47.44140625" style="2835" customWidth="1"/>
    <col min="6151" max="6151" width="13" style="2835" customWidth="1"/>
    <col min="6152" max="6153" width="8.88671875" style="2835"/>
    <col min="6154" max="6154" width="5.77734375" style="2835" customWidth="1"/>
    <col min="6155" max="6155" width="11.77734375" style="2835" customWidth="1"/>
    <col min="6156" max="6157" width="10.77734375" style="2835" customWidth="1"/>
    <col min="6158" max="6158" width="10" style="2835" customWidth="1"/>
    <col min="6159" max="6160" width="10.44140625" style="2835" bestFit="1" customWidth="1"/>
    <col min="6161" max="6161" width="10" style="2835" customWidth="1"/>
    <col min="6162" max="6162" width="10.109375" style="2835" customWidth="1"/>
    <col min="6163" max="6163" width="10" style="2835" customWidth="1"/>
    <col min="6164" max="6164" width="26.109375" style="2835" customWidth="1"/>
    <col min="6165" max="6400" width="8.88671875" style="2835"/>
    <col min="6401" max="6401" width="9.44140625" style="2835" customWidth="1"/>
    <col min="6402" max="6402" width="8.88671875" style="2835"/>
    <col min="6403" max="6405" width="12.88671875" style="2835" customWidth="1"/>
    <col min="6406" max="6406" width="47.44140625" style="2835" customWidth="1"/>
    <col min="6407" max="6407" width="13" style="2835" customWidth="1"/>
    <col min="6408" max="6409" width="8.88671875" style="2835"/>
    <col min="6410" max="6410" width="5.77734375" style="2835" customWidth="1"/>
    <col min="6411" max="6411" width="11.77734375" style="2835" customWidth="1"/>
    <col min="6412" max="6413" width="10.77734375" style="2835" customWidth="1"/>
    <col min="6414" max="6414" width="10" style="2835" customWidth="1"/>
    <col min="6415" max="6416" width="10.44140625" style="2835" bestFit="1" customWidth="1"/>
    <col min="6417" max="6417" width="10" style="2835" customWidth="1"/>
    <col min="6418" max="6418" width="10.109375" style="2835" customWidth="1"/>
    <col min="6419" max="6419" width="10" style="2835" customWidth="1"/>
    <col min="6420" max="6420" width="26.109375" style="2835" customWidth="1"/>
    <col min="6421" max="6656" width="8.88671875" style="2835"/>
    <col min="6657" max="6657" width="9.44140625" style="2835" customWidth="1"/>
    <col min="6658" max="6658" width="8.88671875" style="2835"/>
    <col min="6659" max="6661" width="12.88671875" style="2835" customWidth="1"/>
    <col min="6662" max="6662" width="47.44140625" style="2835" customWidth="1"/>
    <col min="6663" max="6663" width="13" style="2835" customWidth="1"/>
    <col min="6664" max="6665" width="8.88671875" style="2835"/>
    <col min="6666" max="6666" width="5.77734375" style="2835" customWidth="1"/>
    <col min="6667" max="6667" width="11.77734375" style="2835" customWidth="1"/>
    <col min="6668" max="6669" width="10.77734375" style="2835" customWidth="1"/>
    <col min="6670" max="6670" width="10" style="2835" customWidth="1"/>
    <col min="6671" max="6672" width="10.44140625" style="2835" bestFit="1" customWidth="1"/>
    <col min="6673" max="6673" width="10" style="2835" customWidth="1"/>
    <col min="6674" max="6674" width="10.109375" style="2835" customWidth="1"/>
    <col min="6675" max="6675" width="10" style="2835" customWidth="1"/>
    <col min="6676" max="6676" width="26.109375" style="2835" customWidth="1"/>
    <col min="6677" max="6912" width="8.88671875" style="2835"/>
    <col min="6913" max="6913" width="9.44140625" style="2835" customWidth="1"/>
    <col min="6914" max="6914" width="8.88671875" style="2835"/>
    <col min="6915" max="6917" width="12.88671875" style="2835" customWidth="1"/>
    <col min="6918" max="6918" width="47.44140625" style="2835" customWidth="1"/>
    <col min="6919" max="6919" width="13" style="2835" customWidth="1"/>
    <col min="6920" max="6921" width="8.88671875" style="2835"/>
    <col min="6922" max="6922" width="5.77734375" style="2835" customWidth="1"/>
    <col min="6923" max="6923" width="11.77734375" style="2835" customWidth="1"/>
    <col min="6924" max="6925" width="10.77734375" style="2835" customWidth="1"/>
    <col min="6926" max="6926" width="10" style="2835" customWidth="1"/>
    <col min="6927" max="6928" width="10.44140625" style="2835" bestFit="1" customWidth="1"/>
    <col min="6929" max="6929" width="10" style="2835" customWidth="1"/>
    <col min="6930" max="6930" width="10.109375" style="2835" customWidth="1"/>
    <col min="6931" max="6931" width="10" style="2835" customWidth="1"/>
    <col min="6932" max="6932" width="26.109375" style="2835" customWidth="1"/>
    <col min="6933" max="7168" width="8.88671875" style="2835"/>
    <col min="7169" max="7169" width="9.44140625" style="2835" customWidth="1"/>
    <col min="7170" max="7170" width="8.88671875" style="2835"/>
    <col min="7171" max="7173" width="12.88671875" style="2835" customWidth="1"/>
    <col min="7174" max="7174" width="47.44140625" style="2835" customWidth="1"/>
    <col min="7175" max="7175" width="13" style="2835" customWidth="1"/>
    <col min="7176" max="7177" width="8.88671875" style="2835"/>
    <col min="7178" max="7178" width="5.77734375" style="2835" customWidth="1"/>
    <col min="7179" max="7179" width="11.77734375" style="2835" customWidth="1"/>
    <col min="7180" max="7181" width="10.77734375" style="2835" customWidth="1"/>
    <col min="7182" max="7182" width="10" style="2835" customWidth="1"/>
    <col min="7183" max="7184" width="10.44140625" style="2835" bestFit="1" customWidth="1"/>
    <col min="7185" max="7185" width="10" style="2835" customWidth="1"/>
    <col min="7186" max="7186" width="10.109375" style="2835" customWidth="1"/>
    <col min="7187" max="7187" width="10" style="2835" customWidth="1"/>
    <col min="7188" max="7188" width="26.109375" style="2835" customWidth="1"/>
    <col min="7189" max="7424" width="8.88671875" style="2835"/>
    <col min="7425" max="7425" width="9.44140625" style="2835" customWidth="1"/>
    <col min="7426" max="7426" width="8.88671875" style="2835"/>
    <col min="7427" max="7429" width="12.88671875" style="2835" customWidth="1"/>
    <col min="7430" max="7430" width="47.44140625" style="2835" customWidth="1"/>
    <col min="7431" max="7431" width="13" style="2835" customWidth="1"/>
    <col min="7432" max="7433" width="8.88671875" style="2835"/>
    <col min="7434" max="7434" width="5.77734375" style="2835" customWidth="1"/>
    <col min="7435" max="7435" width="11.77734375" style="2835" customWidth="1"/>
    <col min="7436" max="7437" width="10.77734375" style="2835" customWidth="1"/>
    <col min="7438" max="7438" width="10" style="2835" customWidth="1"/>
    <col min="7439" max="7440" width="10.44140625" style="2835" bestFit="1" customWidth="1"/>
    <col min="7441" max="7441" width="10" style="2835" customWidth="1"/>
    <col min="7442" max="7442" width="10.109375" style="2835" customWidth="1"/>
    <col min="7443" max="7443" width="10" style="2835" customWidth="1"/>
    <col min="7444" max="7444" width="26.109375" style="2835" customWidth="1"/>
    <col min="7445" max="7680" width="8.88671875" style="2835"/>
    <col min="7681" max="7681" width="9.44140625" style="2835" customWidth="1"/>
    <col min="7682" max="7682" width="8.88671875" style="2835"/>
    <col min="7683" max="7685" width="12.88671875" style="2835" customWidth="1"/>
    <col min="7686" max="7686" width="47.44140625" style="2835" customWidth="1"/>
    <col min="7687" max="7687" width="13" style="2835" customWidth="1"/>
    <col min="7688" max="7689" width="8.88671875" style="2835"/>
    <col min="7690" max="7690" width="5.77734375" style="2835" customWidth="1"/>
    <col min="7691" max="7691" width="11.77734375" style="2835" customWidth="1"/>
    <col min="7692" max="7693" width="10.77734375" style="2835" customWidth="1"/>
    <col min="7694" max="7694" width="10" style="2835" customWidth="1"/>
    <col min="7695" max="7696" width="10.44140625" style="2835" bestFit="1" customWidth="1"/>
    <col min="7697" max="7697" width="10" style="2835" customWidth="1"/>
    <col min="7698" max="7698" width="10.109375" style="2835" customWidth="1"/>
    <col min="7699" max="7699" width="10" style="2835" customWidth="1"/>
    <col min="7700" max="7700" width="26.109375" style="2835" customWidth="1"/>
    <col min="7701" max="7936" width="8.88671875" style="2835"/>
    <col min="7937" max="7937" width="9.44140625" style="2835" customWidth="1"/>
    <col min="7938" max="7938" width="8.88671875" style="2835"/>
    <col min="7939" max="7941" width="12.88671875" style="2835" customWidth="1"/>
    <col min="7942" max="7942" width="47.44140625" style="2835" customWidth="1"/>
    <col min="7943" max="7943" width="13" style="2835" customWidth="1"/>
    <col min="7944" max="7945" width="8.88671875" style="2835"/>
    <col min="7946" max="7946" width="5.77734375" style="2835" customWidth="1"/>
    <col min="7947" max="7947" width="11.77734375" style="2835" customWidth="1"/>
    <col min="7948" max="7949" width="10.77734375" style="2835" customWidth="1"/>
    <col min="7950" max="7950" width="10" style="2835" customWidth="1"/>
    <col min="7951" max="7952" width="10.44140625" style="2835" bestFit="1" customWidth="1"/>
    <col min="7953" max="7953" width="10" style="2835" customWidth="1"/>
    <col min="7954" max="7954" width="10.109375" style="2835" customWidth="1"/>
    <col min="7955" max="7955" width="10" style="2835" customWidth="1"/>
    <col min="7956" max="7956" width="26.109375" style="2835" customWidth="1"/>
    <col min="7957" max="8192" width="8.88671875" style="2835"/>
    <col min="8193" max="8193" width="9.44140625" style="2835" customWidth="1"/>
    <col min="8194" max="8194" width="8.88671875" style="2835"/>
    <col min="8195" max="8197" width="12.88671875" style="2835" customWidth="1"/>
    <col min="8198" max="8198" width="47.44140625" style="2835" customWidth="1"/>
    <col min="8199" max="8199" width="13" style="2835" customWidth="1"/>
    <col min="8200" max="8201" width="8.88671875" style="2835"/>
    <col min="8202" max="8202" width="5.77734375" style="2835" customWidth="1"/>
    <col min="8203" max="8203" width="11.77734375" style="2835" customWidth="1"/>
    <col min="8204" max="8205" width="10.77734375" style="2835" customWidth="1"/>
    <col min="8206" max="8206" width="10" style="2835" customWidth="1"/>
    <col min="8207" max="8208" width="10.44140625" style="2835" bestFit="1" customWidth="1"/>
    <col min="8209" max="8209" width="10" style="2835" customWidth="1"/>
    <col min="8210" max="8210" width="10.109375" style="2835" customWidth="1"/>
    <col min="8211" max="8211" width="10" style="2835" customWidth="1"/>
    <col min="8212" max="8212" width="26.109375" style="2835" customWidth="1"/>
    <col min="8213" max="8448" width="8.88671875" style="2835"/>
    <col min="8449" max="8449" width="9.44140625" style="2835" customWidth="1"/>
    <col min="8450" max="8450" width="8.88671875" style="2835"/>
    <col min="8451" max="8453" width="12.88671875" style="2835" customWidth="1"/>
    <col min="8454" max="8454" width="47.44140625" style="2835" customWidth="1"/>
    <col min="8455" max="8455" width="13" style="2835" customWidth="1"/>
    <col min="8456" max="8457" width="8.88671875" style="2835"/>
    <col min="8458" max="8458" width="5.77734375" style="2835" customWidth="1"/>
    <col min="8459" max="8459" width="11.77734375" style="2835" customWidth="1"/>
    <col min="8460" max="8461" width="10.77734375" style="2835" customWidth="1"/>
    <col min="8462" max="8462" width="10" style="2835" customWidth="1"/>
    <col min="8463" max="8464" width="10.44140625" style="2835" bestFit="1" customWidth="1"/>
    <col min="8465" max="8465" width="10" style="2835" customWidth="1"/>
    <col min="8466" max="8466" width="10.109375" style="2835" customWidth="1"/>
    <col min="8467" max="8467" width="10" style="2835" customWidth="1"/>
    <col min="8468" max="8468" width="26.109375" style="2835" customWidth="1"/>
    <col min="8469" max="8704" width="8.88671875" style="2835"/>
    <col min="8705" max="8705" width="9.44140625" style="2835" customWidth="1"/>
    <col min="8706" max="8706" width="8.88671875" style="2835"/>
    <col min="8707" max="8709" width="12.88671875" style="2835" customWidth="1"/>
    <col min="8710" max="8710" width="47.44140625" style="2835" customWidth="1"/>
    <col min="8711" max="8711" width="13" style="2835" customWidth="1"/>
    <col min="8712" max="8713" width="8.88671875" style="2835"/>
    <col min="8714" max="8714" width="5.77734375" style="2835" customWidth="1"/>
    <col min="8715" max="8715" width="11.77734375" style="2835" customWidth="1"/>
    <col min="8716" max="8717" width="10.77734375" style="2835" customWidth="1"/>
    <col min="8718" max="8718" width="10" style="2835" customWidth="1"/>
    <col min="8719" max="8720" width="10.44140625" style="2835" bestFit="1" customWidth="1"/>
    <col min="8721" max="8721" width="10" style="2835" customWidth="1"/>
    <col min="8722" max="8722" width="10.109375" style="2835" customWidth="1"/>
    <col min="8723" max="8723" width="10" style="2835" customWidth="1"/>
    <col min="8724" max="8724" width="26.109375" style="2835" customWidth="1"/>
    <col min="8725" max="8960" width="8.88671875" style="2835"/>
    <col min="8961" max="8961" width="9.44140625" style="2835" customWidth="1"/>
    <col min="8962" max="8962" width="8.88671875" style="2835"/>
    <col min="8963" max="8965" width="12.88671875" style="2835" customWidth="1"/>
    <col min="8966" max="8966" width="47.44140625" style="2835" customWidth="1"/>
    <col min="8967" max="8967" width="13" style="2835" customWidth="1"/>
    <col min="8968" max="8969" width="8.88671875" style="2835"/>
    <col min="8970" max="8970" width="5.77734375" style="2835" customWidth="1"/>
    <col min="8971" max="8971" width="11.77734375" style="2835" customWidth="1"/>
    <col min="8972" max="8973" width="10.77734375" style="2835" customWidth="1"/>
    <col min="8974" max="8974" width="10" style="2835" customWidth="1"/>
    <col min="8975" max="8976" width="10.44140625" style="2835" bestFit="1" customWidth="1"/>
    <col min="8977" max="8977" width="10" style="2835" customWidth="1"/>
    <col min="8978" max="8978" width="10.109375" style="2835" customWidth="1"/>
    <col min="8979" max="8979" width="10" style="2835" customWidth="1"/>
    <col min="8980" max="8980" width="26.109375" style="2835" customWidth="1"/>
    <col min="8981" max="9216" width="8.88671875" style="2835"/>
    <col min="9217" max="9217" width="9.44140625" style="2835" customWidth="1"/>
    <col min="9218" max="9218" width="8.88671875" style="2835"/>
    <col min="9219" max="9221" width="12.88671875" style="2835" customWidth="1"/>
    <col min="9222" max="9222" width="47.44140625" style="2835" customWidth="1"/>
    <col min="9223" max="9223" width="13" style="2835" customWidth="1"/>
    <col min="9224" max="9225" width="8.88671875" style="2835"/>
    <col min="9226" max="9226" width="5.77734375" style="2835" customWidth="1"/>
    <col min="9227" max="9227" width="11.77734375" style="2835" customWidth="1"/>
    <col min="9228" max="9229" width="10.77734375" style="2835" customWidth="1"/>
    <col min="9230" max="9230" width="10" style="2835" customWidth="1"/>
    <col min="9231" max="9232" width="10.44140625" style="2835" bestFit="1" customWidth="1"/>
    <col min="9233" max="9233" width="10" style="2835" customWidth="1"/>
    <col min="9234" max="9234" width="10.109375" style="2835" customWidth="1"/>
    <col min="9235" max="9235" width="10" style="2835" customWidth="1"/>
    <col min="9236" max="9236" width="26.109375" style="2835" customWidth="1"/>
    <col min="9237" max="9472" width="8.88671875" style="2835"/>
    <col min="9473" max="9473" width="9.44140625" style="2835" customWidth="1"/>
    <col min="9474" max="9474" width="8.88671875" style="2835"/>
    <col min="9475" max="9477" width="12.88671875" style="2835" customWidth="1"/>
    <col min="9478" max="9478" width="47.44140625" style="2835" customWidth="1"/>
    <col min="9479" max="9479" width="13" style="2835" customWidth="1"/>
    <col min="9480" max="9481" width="8.88671875" style="2835"/>
    <col min="9482" max="9482" width="5.77734375" style="2835" customWidth="1"/>
    <col min="9483" max="9483" width="11.77734375" style="2835" customWidth="1"/>
    <col min="9484" max="9485" width="10.77734375" style="2835" customWidth="1"/>
    <col min="9486" max="9486" width="10" style="2835" customWidth="1"/>
    <col min="9487" max="9488" width="10.44140625" style="2835" bestFit="1" customWidth="1"/>
    <col min="9489" max="9489" width="10" style="2835" customWidth="1"/>
    <col min="9490" max="9490" width="10.109375" style="2835" customWidth="1"/>
    <col min="9491" max="9491" width="10" style="2835" customWidth="1"/>
    <col min="9492" max="9492" width="26.109375" style="2835" customWidth="1"/>
    <col min="9493" max="9728" width="8.88671875" style="2835"/>
    <col min="9729" max="9729" width="9.44140625" style="2835" customWidth="1"/>
    <col min="9730" max="9730" width="8.88671875" style="2835"/>
    <col min="9731" max="9733" width="12.88671875" style="2835" customWidth="1"/>
    <col min="9734" max="9734" width="47.44140625" style="2835" customWidth="1"/>
    <col min="9735" max="9735" width="13" style="2835" customWidth="1"/>
    <col min="9736" max="9737" width="8.88671875" style="2835"/>
    <col min="9738" max="9738" width="5.77734375" style="2835" customWidth="1"/>
    <col min="9739" max="9739" width="11.77734375" style="2835" customWidth="1"/>
    <col min="9740" max="9741" width="10.77734375" style="2835" customWidth="1"/>
    <col min="9742" max="9742" width="10" style="2835" customWidth="1"/>
    <col min="9743" max="9744" width="10.44140625" style="2835" bestFit="1" customWidth="1"/>
    <col min="9745" max="9745" width="10" style="2835" customWidth="1"/>
    <col min="9746" max="9746" width="10.109375" style="2835" customWidth="1"/>
    <col min="9747" max="9747" width="10" style="2835" customWidth="1"/>
    <col min="9748" max="9748" width="26.109375" style="2835" customWidth="1"/>
    <col min="9749" max="9984" width="8.88671875" style="2835"/>
    <col min="9985" max="9985" width="9.44140625" style="2835" customWidth="1"/>
    <col min="9986" max="9986" width="8.88671875" style="2835"/>
    <col min="9987" max="9989" width="12.88671875" style="2835" customWidth="1"/>
    <col min="9990" max="9990" width="47.44140625" style="2835" customWidth="1"/>
    <col min="9991" max="9991" width="13" style="2835" customWidth="1"/>
    <col min="9992" max="9993" width="8.88671875" style="2835"/>
    <col min="9994" max="9994" width="5.77734375" style="2835" customWidth="1"/>
    <col min="9995" max="9995" width="11.77734375" style="2835" customWidth="1"/>
    <col min="9996" max="9997" width="10.77734375" style="2835" customWidth="1"/>
    <col min="9998" max="9998" width="10" style="2835" customWidth="1"/>
    <col min="9999" max="10000" width="10.44140625" style="2835" bestFit="1" customWidth="1"/>
    <col min="10001" max="10001" width="10" style="2835" customWidth="1"/>
    <col min="10002" max="10002" width="10.109375" style="2835" customWidth="1"/>
    <col min="10003" max="10003" width="10" style="2835" customWidth="1"/>
    <col min="10004" max="10004" width="26.109375" style="2835" customWidth="1"/>
    <col min="10005" max="10240" width="8.88671875" style="2835"/>
    <col min="10241" max="10241" width="9.44140625" style="2835" customWidth="1"/>
    <col min="10242" max="10242" width="8.88671875" style="2835"/>
    <col min="10243" max="10245" width="12.88671875" style="2835" customWidth="1"/>
    <col min="10246" max="10246" width="47.44140625" style="2835" customWidth="1"/>
    <col min="10247" max="10247" width="13" style="2835" customWidth="1"/>
    <col min="10248" max="10249" width="8.88671875" style="2835"/>
    <col min="10250" max="10250" width="5.77734375" style="2835" customWidth="1"/>
    <col min="10251" max="10251" width="11.77734375" style="2835" customWidth="1"/>
    <col min="10252" max="10253" width="10.77734375" style="2835" customWidth="1"/>
    <col min="10254" max="10254" width="10" style="2835" customWidth="1"/>
    <col min="10255" max="10256" width="10.44140625" style="2835" bestFit="1" customWidth="1"/>
    <col min="10257" max="10257" width="10" style="2835" customWidth="1"/>
    <col min="10258" max="10258" width="10.109375" style="2835" customWidth="1"/>
    <col min="10259" max="10259" width="10" style="2835" customWidth="1"/>
    <col min="10260" max="10260" width="26.109375" style="2835" customWidth="1"/>
    <col min="10261" max="10496" width="8.88671875" style="2835"/>
    <col min="10497" max="10497" width="9.44140625" style="2835" customWidth="1"/>
    <col min="10498" max="10498" width="8.88671875" style="2835"/>
    <col min="10499" max="10501" width="12.88671875" style="2835" customWidth="1"/>
    <col min="10502" max="10502" width="47.44140625" style="2835" customWidth="1"/>
    <col min="10503" max="10503" width="13" style="2835" customWidth="1"/>
    <col min="10504" max="10505" width="8.88671875" style="2835"/>
    <col min="10506" max="10506" width="5.77734375" style="2835" customWidth="1"/>
    <col min="10507" max="10507" width="11.77734375" style="2835" customWidth="1"/>
    <col min="10508" max="10509" width="10.77734375" style="2835" customWidth="1"/>
    <col min="10510" max="10510" width="10" style="2835" customWidth="1"/>
    <col min="10511" max="10512" width="10.44140625" style="2835" bestFit="1" customWidth="1"/>
    <col min="10513" max="10513" width="10" style="2835" customWidth="1"/>
    <col min="10514" max="10514" width="10.109375" style="2835" customWidth="1"/>
    <col min="10515" max="10515" width="10" style="2835" customWidth="1"/>
    <col min="10516" max="10516" width="26.109375" style="2835" customWidth="1"/>
    <col min="10517" max="10752" width="8.88671875" style="2835"/>
    <col min="10753" max="10753" width="9.44140625" style="2835" customWidth="1"/>
    <col min="10754" max="10754" width="8.88671875" style="2835"/>
    <col min="10755" max="10757" width="12.88671875" style="2835" customWidth="1"/>
    <col min="10758" max="10758" width="47.44140625" style="2835" customWidth="1"/>
    <col min="10759" max="10759" width="13" style="2835" customWidth="1"/>
    <col min="10760" max="10761" width="8.88671875" style="2835"/>
    <col min="10762" max="10762" width="5.77734375" style="2835" customWidth="1"/>
    <col min="10763" max="10763" width="11.77734375" style="2835" customWidth="1"/>
    <col min="10764" max="10765" width="10.77734375" style="2835" customWidth="1"/>
    <col min="10766" max="10766" width="10" style="2835" customWidth="1"/>
    <col min="10767" max="10768" width="10.44140625" style="2835" bestFit="1" customWidth="1"/>
    <col min="10769" max="10769" width="10" style="2835" customWidth="1"/>
    <col min="10770" max="10770" width="10.109375" style="2835" customWidth="1"/>
    <col min="10771" max="10771" width="10" style="2835" customWidth="1"/>
    <col min="10772" max="10772" width="26.109375" style="2835" customWidth="1"/>
    <col min="10773" max="11008" width="8.88671875" style="2835"/>
    <col min="11009" max="11009" width="9.44140625" style="2835" customWidth="1"/>
    <col min="11010" max="11010" width="8.88671875" style="2835"/>
    <col min="11011" max="11013" width="12.88671875" style="2835" customWidth="1"/>
    <col min="11014" max="11014" width="47.44140625" style="2835" customWidth="1"/>
    <col min="11015" max="11015" width="13" style="2835" customWidth="1"/>
    <col min="11016" max="11017" width="8.88671875" style="2835"/>
    <col min="11018" max="11018" width="5.77734375" style="2835" customWidth="1"/>
    <col min="11019" max="11019" width="11.77734375" style="2835" customWidth="1"/>
    <col min="11020" max="11021" width="10.77734375" style="2835" customWidth="1"/>
    <col min="11022" max="11022" width="10" style="2835" customWidth="1"/>
    <col min="11023" max="11024" width="10.44140625" style="2835" bestFit="1" customWidth="1"/>
    <col min="11025" max="11025" width="10" style="2835" customWidth="1"/>
    <col min="11026" max="11026" width="10.109375" style="2835" customWidth="1"/>
    <col min="11027" max="11027" width="10" style="2835" customWidth="1"/>
    <col min="11028" max="11028" width="26.109375" style="2835" customWidth="1"/>
    <col min="11029" max="11264" width="8.88671875" style="2835"/>
    <col min="11265" max="11265" width="9.44140625" style="2835" customWidth="1"/>
    <col min="11266" max="11266" width="8.88671875" style="2835"/>
    <col min="11267" max="11269" width="12.88671875" style="2835" customWidth="1"/>
    <col min="11270" max="11270" width="47.44140625" style="2835" customWidth="1"/>
    <col min="11271" max="11271" width="13" style="2835" customWidth="1"/>
    <col min="11272" max="11273" width="8.88671875" style="2835"/>
    <col min="11274" max="11274" width="5.77734375" style="2835" customWidth="1"/>
    <col min="11275" max="11275" width="11.77734375" style="2835" customWidth="1"/>
    <col min="11276" max="11277" width="10.77734375" style="2835" customWidth="1"/>
    <col min="11278" max="11278" width="10" style="2835" customWidth="1"/>
    <col min="11279" max="11280" width="10.44140625" style="2835" bestFit="1" customWidth="1"/>
    <col min="11281" max="11281" width="10" style="2835" customWidth="1"/>
    <col min="11282" max="11282" width="10.109375" style="2835" customWidth="1"/>
    <col min="11283" max="11283" width="10" style="2835" customWidth="1"/>
    <col min="11284" max="11284" width="26.109375" style="2835" customWidth="1"/>
    <col min="11285" max="11520" width="8.88671875" style="2835"/>
    <col min="11521" max="11521" width="9.44140625" style="2835" customWidth="1"/>
    <col min="11522" max="11522" width="8.88671875" style="2835"/>
    <col min="11523" max="11525" width="12.88671875" style="2835" customWidth="1"/>
    <col min="11526" max="11526" width="47.44140625" style="2835" customWidth="1"/>
    <col min="11527" max="11527" width="13" style="2835" customWidth="1"/>
    <col min="11528" max="11529" width="8.88671875" style="2835"/>
    <col min="11530" max="11530" width="5.77734375" style="2835" customWidth="1"/>
    <col min="11531" max="11531" width="11.77734375" style="2835" customWidth="1"/>
    <col min="11532" max="11533" width="10.77734375" style="2835" customWidth="1"/>
    <col min="11534" max="11534" width="10" style="2835" customWidth="1"/>
    <col min="11535" max="11536" width="10.44140625" style="2835" bestFit="1" customWidth="1"/>
    <col min="11537" max="11537" width="10" style="2835" customWidth="1"/>
    <col min="11538" max="11538" width="10.109375" style="2835" customWidth="1"/>
    <col min="11539" max="11539" width="10" style="2835" customWidth="1"/>
    <col min="11540" max="11540" width="26.109375" style="2835" customWidth="1"/>
    <col min="11541" max="11776" width="8.88671875" style="2835"/>
    <col min="11777" max="11777" width="9.44140625" style="2835" customWidth="1"/>
    <col min="11778" max="11778" width="8.88671875" style="2835"/>
    <col min="11779" max="11781" width="12.88671875" style="2835" customWidth="1"/>
    <col min="11782" max="11782" width="47.44140625" style="2835" customWidth="1"/>
    <col min="11783" max="11783" width="13" style="2835" customWidth="1"/>
    <col min="11784" max="11785" width="8.88671875" style="2835"/>
    <col min="11786" max="11786" width="5.77734375" style="2835" customWidth="1"/>
    <col min="11787" max="11787" width="11.77734375" style="2835" customWidth="1"/>
    <col min="11788" max="11789" width="10.77734375" style="2835" customWidth="1"/>
    <col min="11790" max="11790" width="10" style="2835" customWidth="1"/>
    <col min="11791" max="11792" width="10.44140625" style="2835" bestFit="1" customWidth="1"/>
    <col min="11793" max="11793" width="10" style="2835" customWidth="1"/>
    <col min="11794" max="11794" width="10.109375" style="2835" customWidth="1"/>
    <col min="11795" max="11795" width="10" style="2835" customWidth="1"/>
    <col min="11796" max="11796" width="26.109375" style="2835" customWidth="1"/>
    <col min="11797" max="12032" width="8.88671875" style="2835"/>
    <col min="12033" max="12033" width="9.44140625" style="2835" customWidth="1"/>
    <col min="12034" max="12034" width="8.88671875" style="2835"/>
    <col min="12035" max="12037" width="12.88671875" style="2835" customWidth="1"/>
    <col min="12038" max="12038" width="47.44140625" style="2835" customWidth="1"/>
    <col min="12039" max="12039" width="13" style="2835" customWidth="1"/>
    <col min="12040" max="12041" width="8.88671875" style="2835"/>
    <col min="12042" max="12042" width="5.77734375" style="2835" customWidth="1"/>
    <col min="12043" max="12043" width="11.77734375" style="2835" customWidth="1"/>
    <col min="12044" max="12045" width="10.77734375" style="2835" customWidth="1"/>
    <col min="12046" max="12046" width="10" style="2835" customWidth="1"/>
    <col min="12047" max="12048" width="10.44140625" style="2835" bestFit="1" customWidth="1"/>
    <col min="12049" max="12049" width="10" style="2835" customWidth="1"/>
    <col min="12050" max="12050" width="10.109375" style="2835" customWidth="1"/>
    <col min="12051" max="12051" width="10" style="2835" customWidth="1"/>
    <col min="12052" max="12052" width="26.109375" style="2835" customWidth="1"/>
    <col min="12053" max="12288" width="8.88671875" style="2835"/>
    <col min="12289" max="12289" width="9.44140625" style="2835" customWidth="1"/>
    <col min="12290" max="12290" width="8.88671875" style="2835"/>
    <col min="12291" max="12293" width="12.88671875" style="2835" customWidth="1"/>
    <col min="12294" max="12294" width="47.44140625" style="2835" customWidth="1"/>
    <col min="12295" max="12295" width="13" style="2835" customWidth="1"/>
    <col min="12296" max="12297" width="8.88671875" style="2835"/>
    <col min="12298" max="12298" width="5.77734375" style="2835" customWidth="1"/>
    <col min="12299" max="12299" width="11.77734375" style="2835" customWidth="1"/>
    <col min="12300" max="12301" width="10.77734375" style="2835" customWidth="1"/>
    <col min="12302" max="12302" width="10" style="2835" customWidth="1"/>
    <col min="12303" max="12304" width="10.44140625" style="2835" bestFit="1" customWidth="1"/>
    <col min="12305" max="12305" width="10" style="2835" customWidth="1"/>
    <col min="12306" max="12306" width="10.109375" style="2835" customWidth="1"/>
    <col min="12307" max="12307" width="10" style="2835" customWidth="1"/>
    <col min="12308" max="12308" width="26.109375" style="2835" customWidth="1"/>
    <col min="12309" max="12544" width="8.88671875" style="2835"/>
    <col min="12545" max="12545" width="9.44140625" style="2835" customWidth="1"/>
    <col min="12546" max="12546" width="8.88671875" style="2835"/>
    <col min="12547" max="12549" width="12.88671875" style="2835" customWidth="1"/>
    <col min="12550" max="12550" width="47.44140625" style="2835" customWidth="1"/>
    <col min="12551" max="12551" width="13" style="2835" customWidth="1"/>
    <col min="12552" max="12553" width="8.88671875" style="2835"/>
    <col min="12554" max="12554" width="5.77734375" style="2835" customWidth="1"/>
    <col min="12555" max="12555" width="11.77734375" style="2835" customWidth="1"/>
    <col min="12556" max="12557" width="10.77734375" style="2835" customWidth="1"/>
    <col min="12558" max="12558" width="10" style="2835" customWidth="1"/>
    <col min="12559" max="12560" width="10.44140625" style="2835" bestFit="1" customWidth="1"/>
    <col min="12561" max="12561" width="10" style="2835" customWidth="1"/>
    <col min="12562" max="12562" width="10.109375" style="2835" customWidth="1"/>
    <col min="12563" max="12563" width="10" style="2835" customWidth="1"/>
    <col min="12564" max="12564" width="26.109375" style="2835" customWidth="1"/>
    <col min="12565" max="12800" width="8.88671875" style="2835"/>
    <col min="12801" max="12801" width="9.44140625" style="2835" customWidth="1"/>
    <col min="12802" max="12802" width="8.88671875" style="2835"/>
    <col min="12803" max="12805" width="12.88671875" style="2835" customWidth="1"/>
    <col min="12806" max="12806" width="47.44140625" style="2835" customWidth="1"/>
    <col min="12807" max="12807" width="13" style="2835" customWidth="1"/>
    <col min="12808" max="12809" width="8.88671875" style="2835"/>
    <col min="12810" max="12810" width="5.77734375" style="2835" customWidth="1"/>
    <col min="12811" max="12811" width="11.77734375" style="2835" customWidth="1"/>
    <col min="12812" max="12813" width="10.77734375" style="2835" customWidth="1"/>
    <col min="12814" max="12814" width="10" style="2835" customWidth="1"/>
    <col min="12815" max="12816" width="10.44140625" style="2835" bestFit="1" customWidth="1"/>
    <col min="12817" max="12817" width="10" style="2835" customWidth="1"/>
    <col min="12818" max="12818" width="10.109375" style="2835" customWidth="1"/>
    <col min="12819" max="12819" width="10" style="2835" customWidth="1"/>
    <col min="12820" max="12820" width="26.109375" style="2835" customWidth="1"/>
    <col min="12821" max="13056" width="8.88671875" style="2835"/>
    <col min="13057" max="13057" width="9.44140625" style="2835" customWidth="1"/>
    <col min="13058" max="13058" width="8.88671875" style="2835"/>
    <col min="13059" max="13061" width="12.88671875" style="2835" customWidth="1"/>
    <col min="13062" max="13062" width="47.44140625" style="2835" customWidth="1"/>
    <col min="13063" max="13063" width="13" style="2835" customWidth="1"/>
    <col min="13064" max="13065" width="8.88671875" style="2835"/>
    <col min="13066" max="13066" width="5.77734375" style="2835" customWidth="1"/>
    <col min="13067" max="13067" width="11.77734375" style="2835" customWidth="1"/>
    <col min="13068" max="13069" width="10.77734375" style="2835" customWidth="1"/>
    <col min="13070" max="13070" width="10" style="2835" customWidth="1"/>
    <col min="13071" max="13072" width="10.44140625" style="2835" bestFit="1" customWidth="1"/>
    <col min="13073" max="13073" width="10" style="2835" customWidth="1"/>
    <col min="13074" max="13074" width="10.109375" style="2835" customWidth="1"/>
    <col min="13075" max="13075" width="10" style="2835" customWidth="1"/>
    <col min="13076" max="13076" width="26.109375" style="2835" customWidth="1"/>
    <col min="13077" max="13312" width="8.88671875" style="2835"/>
    <col min="13313" max="13313" width="9.44140625" style="2835" customWidth="1"/>
    <col min="13314" max="13314" width="8.88671875" style="2835"/>
    <col min="13315" max="13317" width="12.88671875" style="2835" customWidth="1"/>
    <col min="13318" max="13318" width="47.44140625" style="2835" customWidth="1"/>
    <col min="13319" max="13319" width="13" style="2835" customWidth="1"/>
    <col min="13320" max="13321" width="8.88671875" style="2835"/>
    <col min="13322" max="13322" width="5.77734375" style="2835" customWidth="1"/>
    <col min="13323" max="13323" width="11.77734375" style="2835" customWidth="1"/>
    <col min="13324" max="13325" width="10.77734375" style="2835" customWidth="1"/>
    <col min="13326" max="13326" width="10" style="2835" customWidth="1"/>
    <col min="13327" max="13328" width="10.44140625" style="2835" bestFit="1" customWidth="1"/>
    <col min="13329" max="13329" width="10" style="2835" customWidth="1"/>
    <col min="13330" max="13330" width="10.109375" style="2835" customWidth="1"/>
    <col min="13331" max="13331" width="10" style="2835" customWidth="1"/>
    <col min="13332" max="13332" width="26.109375" style="2835" customWidth="1"/>
    <col min="13333" max="13568" width="8.88671875" style="2835"/>
    <col min="13569" max="13569" width="9.44140625" style="2835" customWidth="1"/>
    <col min="13570" max="13570" width="8.88671875" style="2835"/>
    <col min="13571" max="13573" width="12.88671875" style="2835" customWidth="1"/>
    <col min="13574" max="13574" width="47.44140625" style="2835" customWidth="1"/>
    <col min="13575" max="13575" width="13" style="2835" customWidth="1"/>
    <col min="13576" max="13577" width="8.88671875" style="2835"/>
    <col min="13578" max="13578" width="5.77734375" style="2835" customWidth="1"/>
    <col min="13579" max="13579" width="11.77734375" style="2835" customWidth="1"/>
    <col min="13580" max="13581" width="10.77734375" style="2835" customWidth="1"/>
    <col min="13582" max="13582" width="10" style="2835" customWidth="1"/>
    <col min="13583" max="13584" width="10.44140625" style="2835" bestFit="1" customWidth="1"/>
    <col min="13585" max="13585" width="10" style="2835" customWidth="1"/>
    <col min="13586" max="13586" width="10.109375" style="2835" customWidth="1"/>
    <col min="13587" max="13587" width="10" style="2835" customWidth="1"/>
    <col min="13588" max="13588" width="26.109375" style="2835" customWidth="1"/>
    <col min="13589" max="13824" width="8.88671875" style="2835"/>
    <col min="13825" max="13825" width="9.44140625" style="2835" customWidth="1"/>
    <col min="13826" max="13826" width="8.88671875" style="2835"/>
    <col min="13827" max="13829" width="12.88671875" style="2835" customWidth="1"/>
    <col min="13830" max="13830" width="47.44140625" style="2835" customWidth="1"/>
    <col min="13831" max="13831" width="13" style="2835" customWidth="1"/>
    <col min="13832" max="13833" width="8.88671875" style="2835"/>
    <col min="13834" max="13834" width="5.77734375" style="2835" customWidth="1"/>
    <col min="13835" max="13835" width="11.77734375" style="2835" customWidth="1"/>
    <col min="13836" max="13837" width="10.77734375" style="2835" customWidth="1"/>
    <col min="13838" max="13838" width="10" style="2835" customWidth="1"/>
    <col min="13839" max="13840" width="10.44140625" style="2835" bestFit="1" customWidth="1"/>
    <col min="13841" max="13841" width="10" style="2835" customWidth="1"/>
    <col min="13842" max="13842" width="10.109375" style="2835" customWidth="1"/>
    <col min="13843" max="13843" width="10" style="2835" customWidth="1"/>
    <col min="13844" max="13844" width="26.109375" style="2835" customWidth="1"/>
    <col min="13845" max="14080" width="8.88671875" style="2835"/>
    <col min="14081" max="14081" width="9.44140625" style="2835" customWidth="1"/>
    <col min="14082" max="14082" width="8.88671875" style="2835"/>
    <col min="14083" max="14085" width="12.88671875" style="2835" customWidth="1"/>
    <col min="14086" max="14086" width="47.44140625" style="2835" customWidth="1"/>
    <col min="14087" max="14087" width="13" style="2835" customWidth="1"/>
    <col min="14088" max="14089" width="8.88671875" style="2835"/>
    <col min="14090" max="14090" width="5.77734375" style="2835" customWidth="1"/>
    <col min="14091" max="14091" width="11.77734375" style="2835" customWidth="1"/>
    <col min="14092" max="14093" width="10.77734375" style="2835" customWidth="1"/>
    <col min="14094" max="14094" width="10" style="2835" customWidth="1"/>
    <col min="14095" max="14096" width="10.44140625" style="2835" bestFit="1" customWidth="1"/>
    <col min="14097" max="14097" width="10" style="2835" customWidth="1"/>
    <col min="14098" max="14098" width="10.109375" style="2835" customWidth="1"/>
    <col min="14099" max="14099" width="10" style="2835" customWidth="1"/>
    <col min="14100" max="14100" width="26.109375" style="2835" customWidth="1"/>
    <col min="14101" max="14336" width="8.88671875" style="2835"/>
    <col min="14337" max="14337" width="9.44140625" style="2835" customWidth="1"/>
    <col min="14338" max="14338" width="8.88671875" style="2835"/>
    <col min="14339" max="14341" width="12.88671875" style="2835" customWidth="1"/>
    <col min="14342" max="14342" width="47.44140625" style="2835" customWidth="1"/>
    <col min="14343" max="14343" width="13" style="2835" customWidth="1"/>
    <col min="14344" max="14345" width="8.88671875" style="2835"/>
    <col min="14346" max="14346" width="5.77734375" style="2835" customWidth="1"/>
    <col min="14347" max="14347" width="11.77734375" style="2835" customWidth="1"/>
    <col min="14348" max="14349" width="10.77734375" style="2835" customWidth="1"/>
    <col min="14350" max="14350" width="10" style="2835" customWidth="1"/>
    <col min="14351" max="14352" width="10.44140625" style="2835" bestFit="1" customWidth="1"/>
    <col min="14353" max="14353" width="10" style="2835" customWidth="1"/>
    <col min="14354" max="14354" width="10.109375" style="2835" customWidth="1"/>
    <col min="14355" max="14355" width="10" style="2835" customWidth="1"/>
    <col min="14356" max="14356" width="26.109375" style="2835" customWidth="1"/>
    <col min="14357" max="14592" width="8.88671875" style="2835"/>
    <col min="14593" max="14593" width="9.44140625" style="2835" customWidth="1"/>
    <col min="14594" max="14594" width="8.88671875" style="2835"/>
    <col min="14595" max="14597" width="12.88671875" style="2835" customWidth="1"/>
    <col min="14598" max="14598" width="47.44140625" style="2835" customWidth="1"/>
    <col min="14599" max="14599" width="13" style="2835" customWidth="1"/>
    <col min="14600" max="14601" width="8.88671875" style="2835"/>
    <col min="14602" max="14602" width="5.77734375" style="2835" customWidth="1"/>
    <col min="14603" max="14603" width="11.77734375" style="2835" customWidth="1"/>
    <col min="14604" max="14605" width="10.77734375" style="2835" customWidth="1"/>
    <col min="14606" max="14606" width="10" style="2835" customWidth="1"/>
    <col min="14607" max="14608" width="10.44140625" style="2835" bestFit="1" customWidth="1"/>
    <col min="14609" max="14609" width="10" style="2835" customWidth="1"/>
    <col min="14610" max="14610" width="10.109375" style="2835" customWidth="1"/>
    <col min="14611" max="14611" width="10" style="2835" customWidth="1"/>
    <col min="14612" max="14612" width="26.109375" style="2835" customWidth="1"/>
    <col min="14613" max="14848" width="8.88671875" style="2835"/>
    <col min="14849" max="14849" width="9.44140625" style="2835" customWidth="1"/>
    <col min="14850" max="14850" width="8.88671875" style="2835"/>
    <col min="14851" max="14853" width="12.88671875" style="2835" customWidth="1"/>
    <col min="14854" max="14854" width="47.44140625" style="2835" customWidth="1"/>
    <col min="14855" max="14855" width="13" style="2835" customWidth="1"/>
    <col min="14856" max="14857" width="8.88671875" style="2835"/>
    <col min="14858" max="14858" width="5.77734375" style="2835" customWidth="1"/>
    <col min="14859" max="14859" width="11.77734375" style="2835" customWidth="1"/>
    <col min="14860" max="14861" width="10.77734375" style="2835" customWidth="1"/>
    <col min="14862" max="14862" width="10" style="2835" customWidth="1"/>
    <col min="14863" max="14864" width="10.44140625" style="2835" bestFit="1" customWidth="1"/>
    <col min="14865" max="14865" width="10" style="2835" customWidth="1"/>
    <col min="14866" max="14866" width="10.109375" style="2835" customWidth="1"/>
    <col min="14867" max="14867" width="10" style="2835" customWidth="1"/>
    <col min="14868" max="14868" width="26.109375" style="2835" customWidth="1"/>
    <col min="14869" max="15104" width="8.88671875" style="2835"/>
    <col min="15105" max="15105" width="9.44140625" style="2835" customWidth="1"/>
    <col min="15106" max="15106" width="8.88671875" style="2835"/>
    <col min="15107" max="15109" width="12.88671875" style="2835" customWidth="1"/>
    <col min="15110" max="15110" width="47.44140625" style="2835" customWidth="1"/>
    <col min="15111" max="15111" width="13" style="2835" customWidth="1"/>
    <col min="15112" max="15113" width="8.88671875" style="2835"/>
    <col min="15114" max="15114" width="5.77734375" style="2835" customWidth="1"/>
    <col min="15115" max="15115" width="11.77734375" style="2835" customWidth="1"/>
    <col min="15116" max="15117" width="10.77734375" style="2835" customWidth="1"/>
    <col min="15118" max="15118" width="10" style="2835" customWidth="1"/>
    <col min="15119" max="15120" width="10.44140625" style="2835" bestFit="1" customWidth="1"/>
    <col min="15121" max="15121" width="10" style="2835" customWidth="1"/>
    <col min="15122" max="15122" width="10.109375" style="2835" customWidth="1"/>
    <col min="15123" max="15123" width="10" style="2835" customWidth="1"/>
    <col min="15124" max="15124" width="26.109375" style="2835" customWidth="1"/>
    <col min="15125" max="15360" width="8.88671875" style="2835"/>
    <col min="15361" max="15361" width="9.44140625" style="2835" customWidth="1"/>
    <col min="15362" max="15362" width="8.88671875" style="2835"/>
    <col min="15363" max="15365" width="12.88671875" style="2835" customWidth="1"/>
    <col min="15366" max="15366" width="47.44140625" style="2835" customWidth="1"/>
    <col min="15367" max="15367" width="13" style="2835" customWidth="1"/>
    <col min="15368" max="15369" width="8.88671875" style="2835"/>
    <col min="15370" max="15370" width="5.77734375" style="2835" customWidth="1"/>
    <col min="15371" max="15371" width="11.77734375" style="2835" customWidth="1"/>
    <col min="15372" max="15373" width="10.77734375" style="2835" customWidth="1"/>
    <col min="15374" max="15374" width="10" style="2835" customWidth="1"/>
    <col min="15375" max="15376" width="10.44140625" style="2835" bestFit="1" customWidth="1"/>
    <col min="15377" max="15377" width="10" style="2835" customWidth="1"/>
    <col min="15378" max="15378" width="10.109375" style="2835" customWidth="1"/>
    <col min="15379" max="15379" width="10" style="2835" customWidth="1"/>
    <col min="15380" max="15380" width="26.109375" style="2835" customWidth="1"/>
    <col min="15381" max="15616" width="8.88671875" style="2835"/>
    <col min="15617" max="15617" width="9.44140625" style="2835" customWidth="1"/>
    <col min="15618" max="15618" width="8.88671875" style="2835"/>
    <col min="15619" max="15621" width="12.88671875" style="2835" customWidth="1"/>
    <col min="15622" max="15622" width="47.44140625" style="2835" customWidth="1"/>
    <col min="15623" max="15623" width="13" style="2835" customWidth="1"/>
    <col min="15624" max="15625" width="8.88671875" style="2835"/>
    <col min="15626" max="15626" width="5.77734375" style="2835" customWidth="1"/>
    <col min="15627" max="15627" width="11.77734375" style="2835" customWidth="1"/>
    <col min="15628" max="15629" width="10.77734375" style="2835" customWidth="1"/>
    <col min="15630" max="15630" width="10" style="2835" customWidth="1"/>
    <col min="15631" max="15632" width="10.44140625" style="2835" bestFit="1" customWidth="1"/>
    <col min="15633" max="15633" width="10" style="2835" customWidth="1"/>
    <col min="15634" max="15634" width="10.109375" style="2835" customWidth="1"/>
    <col min="15635" max="15635" width="10" style="2835" customWidth="1"/>
    <col min="15636" max="15636" width="26.109375" style="2835" customWidth="1"/>
    <col min="15637" max="15872" width="8.88671875" style="2835"/>
    <col min="15873" max="15873" width="9.44140625" style="2835" customWidth="1"/>
    <col min="15874" max="15874" width="8.88671875" style="2835"/>
    <col min="15875" max="15877" width="12.88671875" style="2835" customWidth="1"/>
    <col min="15878" max="15878" width="47.44140625" style="2835" customWidth="1"/>
    <col min="15879" max="15879" width="13" style="2835" customWidth="1"/>
    <col min="15880" max="15881" width="8.88671875" style="2835"/>
    <col min="15882" max="15882" width="5.77734375" style="2835" customWidth="1"/>
    <col min="15883" max="15883" width="11.77734375" style="2835" customWidth="1"/>
    <col min="15884" max="15885" width="10.77734375" style="2835" customWidth="1"/>
    <col min="15886" max="15886" width="10" style="2835" customWidth="1"/>
    <col min="15887" max="15888" width="10.44140625" style="2835" bestFit="1" customWidth="1"/>
    <col min="15889" max="15889" width="10" style="2835" customWidth="1"/>
    <col min="15890" max="15890" width="10.109375" style="2835" customWidth="1"/>
    <col min="15891" max="15891" width="10" style="2835" customWidth="1"/>
    <col min="15892" max="15892" width="26.109375" style="2835" customWidth="1"/>
    <col min="15893" max="16128" width="8.88671875" style="2835"/>
    <col min="16129" max="16129" width="9.44140625" style="2835" customWidth="1"/>
    <col min="16130" max="16130" width="8.88671875" style="2835"/>
    <col min="16131" max="16133" width="12.88671875" style="2835" customWidth="1"/>
    <col min="16134" max="16134" width="47.44140625" style="2835" customWidth="1"/>
    <col min="16135" max="16135" width="13" style="2835" customWidth="1"/>
    <col min="16136" max="16137" width="8.88671875" style="2835"/>
    <col min="16138" max="16138" width="5.77734375" style="2835" customWidth="1"/>
    <col min="16139" max="16139" width="11.77734375" style="2835" customWidth="1"/>
    <col min="16140" max="16141" width="10.77734375" style="2835" customWidth="1"/>
    <col min="16142" max="16142" width="10" style="2835" customWidth="1"/>
    <col min="16143" max="16144" width="10.44140625" style="2835" bestFit="1" customWidth="1"/>
    <col min="16145" max="16145" width="10" style="2835" customWidth="1"/>
    <col min="16146" max="16146" width="10.109375" style="2835" customWidth="1"/>
    <col min="16147" max="16147" width="10" style="2835" customWidth="1"/>
    <col min="16148" max="16148" width="26.109375" style="2835" customWidth="1"/>
    <col min="16149" max="16384" width="8.88671875" style="2835"/>
  </cols>
  <sheetData>
    <row r="1" spans="1:22" ht="21" customHeight="1">
      <c r="A1" s="2824" t="s">
        <v>2424</v>
      </c>
      <c r="B1" s="2825"/>
      <c r="C1" s="2837"/>
      <c r="D1" s="2837"/>
      <c r="E1" s="2826"/>
      <c r="F1" s="2827"/>
      <c r="G1" s="2828"/>
      <c r="J1" s="2831" t="s">
        <v>2303</v>
      </c>
      <c r="K1" s="2832"/>
      <c r="L1" s="2832"/>
      <c r="M1" s="2832"/>
      <c r="N1" s="2832"/>
      <c r="O1" s="2832"/>
      <c r="P1" s="2832"/>
      <c r="Q1" s="2832"/>
      <c r="R1" s="2833"/>
      <c r="S1" s="2834"/>
      <c r="T1" s="2834"/>
      <c r="U1" s="2834"/>
    </row>
    <row r="2" spans="1:22" s="2846" customFormat="1" ht="13.2" customHeight="1">
      <c r="A2" s="1383" t="s">
        <v>2304</v>
      </c>
      <c r="B2" s="2836">
        <f ca="1">IF(D2="——",C40,C40+E2)</f>
        <v>88444</v>
      </c>
      <c r="C2" s="2837" t="s">
        <v>2305</v>
      </c>
      <c r="D2" s="3436" t="s">
        <v>3349</v>
      </c>
      <c r="E2" s="3437">
        <f ca="1">收益法!L46</f>
        <v>3960</v>
      </c>
      <c r="F2" s="2839"/>
      <c r="G2" s="2840"/>
      <c r="H2" s="2841"/>
      <c r="I2" s="2842"/>
      <c r="J2" s="3781" t="s">
        <v>2306</v>
      </c>
      <c r="K2" s="3782"/>
      <c r="L2" s="2843" t="s">
        <v>2307</v>
      </c>
      <c r="M2" s="2843" t="s">
        <v>2308</v>
      </c>
      <c r="N2" s="2843" t="s">
        <v>2309</v>
      </c>
      <c r="O2" s="2843" t="s">
        <v>2310</v>
      </c>
      <c r="P2" s="2843" t="s">
        <v>2311</v>
      </c>
      <c r="Q2" s="2844" t="s">
        <v>2312</v>
      </c>
      <c r="R2" s="2845" t="s">
        <v>2313</v>
      </c>
      <c r="S2" s="2834"/>
      <c r="T2" s="2834"/>
      <c r="U2" s="2834"/>
      <c r="V2" s="2842"/>
    </row>
    <row r="3" spans="1:22" s="2846" customFormat="1" ht="13.2" customHeight="1">
      <c r="A3" s="2847" t="s">
        <v>2314</v>
      </c>
      <c r="B3" s="2848">
        <f ca="1">ROUND(B2*10000/B4,0)</f>
        <v>18239</v>
      </c>
      <c r="C3" s="2837" t="s">
        <v>2315</v>
      </c>
      <c r="D3" s="2837"/>
      <c r="E3" s="2838"/>
      <c r="F3" s="2839"/>
      <c r="G3" s="2840"/>
      <c r="H3" s="2841"/>
      <c r="I3" s="2842"/>
      <c r="J3" s="3783" t="s">
        <v>2316</v>
      </c>
      <c r="K3" s="3784"/>
      <c r="L3" s="2849"/>
      <c r="M3" s="2849"/>
      <c r="N3" s="2849"/>
      <c r="O3" s="2849"/>
      <c r="P3" s="2849"/>
      <c r="Q3" s="2850"/>
      <c r="R3" s="2851">
        <f>SUM(L3:Q3)</f>
        <v>0</v>
      </c>
      <c r="S3" s="2834"/>
      <c r="T3" s="2834"/>
      <c r="U3" s="2834"/>
      <c r="V3" s="2842"/>
    </row>
    <row r="4" spans="1:22" s="2846" customFormat="1" ht="13.2" customHeight="1">
      <c r="A4" s="2852" t="s">
        <v>2317</v>
      </c>
      <c r="B4" s="2853">
        <f>'数据-汇总表'!E3</f>
        <v>48491.65</v>
      </c>
      <c r="C4" s="2837"/>
      <c r="D4" s="2837"/>
      <c r="E4" s="2838"/>
      <c r="F4" s="2839"/>
      <c r="G4" s="2840"/>
      <c r="H4" s="2841"/>
      <c r="I4" s="2842"/>
      <c r="J4" s="3783" t="s">
        <v>2318</v>
      </c>
      <c r="K4" s="3784"/>
      <c r="L4" s="2854"/>
      <c r="M4" s="2854"/>
      <c r="N4" s="2854"/>
      <c r="O4" s="2854"/>
      <c r="P4" s="2854"/>
      <c r="Q4" s="2855"/>
      <c r="R4" s="2856">
        <f>SUM(L4:Q4)</f>
        <v>0</v>
      </c>
      <c r="S4" s="2834"/>
      <c r="T4" s="2834"/>
      <c r="U4" s="2834"/>
      <c r="V4" s="2842"/>
    </row>
    <row r="5" spans="1:22" s="2846" customFormat="1" ht="13.2" customHeight="1" thickBot="1">
      <c r="A5" s="2857" t="s">
        <v>2319</v>
      </c>
      <c r="B5" s="2858"/>
      <c r="C5" s="2837"/>
      <c r="D5" s="2859"/>
      <c r="E5" s="2839"/>
      <c r="F5" s="2839"/>
      <c r="G5" s="2840"/>
      <c r="H5" s="2841"/>
      <c r="I5" s="2842"/>
      <c r="J5" s="2860" t="s">
        <v>2320</v>
      </c>
      <c r="K5" s="2861"/>
      <c r="L5" s="2861"/>
      <c r="M5" s="2862"/>
      <c r="N5" s="2862"/>
      <c r="O5" s="2862"/>
      <c r="P5" s="2862"/>
      <c r="Q5" s="2862"/>
      <c r="R5" s="2845">
        <f>SUM(R14,R19,R24,R25,R27,R28)</f>
        <v>10455</v>
      </c>
      <c r="S5" s="2834"/>
      <c r="T5" s="2834" t="s">
        <v>2321</v>
      </c>
      <c r="U5" s="2834" t="e">
        <f>ROUND(R5*10000/365/R3,1)</f>
        <v>#DIV/0!</v>
      </c>
      <c r="V5" s="2842"/>
    </row>
    <row r="6" spans="1:22" s="2846" customFormat="1" ht="13.2" customHeight="1" thickBot="1">
      <c r="A6" s="3785" t="s">
        <v>2322</v>
      </c>
      <c r="B6" s="3786"/>
      <c r="C6" s="3787"/>
      <c r="D6" s="2863">
        <f>R5</f>
        <v>10455</v>
      </c>
      <c r="E6" s="2864"/>
      <c r="F6" s="2865"/>
      <c r="G6" s="2866"/>
      <c r="H6" s="2841"/>
      <c r="I6" s="2842"/>
      <c r="J6" s="3788">
        <v>1</v>
      </c>
      <c r="K6" s="3789" t="s">
        <v>2323</v>
      </c>
      <c r="L6" s="2867" t="s">
        <v>2324</v>
      </c>
      <c r="M6" s="2868" t="s">
        <v>2325</v>
      </c>
      <c r="N6" s="2868" t="s">
        <v>2326</v>
      </c>
      <c r="O6" s="2868" t="s">
        <v>2327</v>
      </c>
      <c r="P6" s="2868" t="s">
        <v>2328</v>
      </c>
      <c r="Q6" s="2868" t="s">
        <v>2329</v>
      </c>
      <c r="R6" s="2851" t="s">
        <v>2330</v>
      </c>
      <c r="S6" s="2834"/>
      <c r="T6" s="2834" t="s">
        <v>2331</v>
      </c>
      <c r="U6" s="2834"/>
      <c r="V6" s="2842"/>
    </row>
    <row r="7" spans="1:22" s="2846" customFormat="1" ht="13.2" customHeight="1">
      <c r="A7" s="2869" t="s">
        <v>2332</v>
      </c>
      <c r="B7" s="2870"/>
      <c r="C7" s="2871"/>
      <c r="D7" s="2872">
        <f ca="1">SUM(D9,D10,D11,D17,0)</f>
        <v>5805</v>
      </c>
      <c r="E7" s="2873">
        <f ca="1">E9+E10+E11+E17</f>
        <v>0.55521281683405077</v>
      </c>
      <c r="F7" s="2874"/>
      <c r="G7" s="2875"/>
      <c r="H7" s="2841"/>
      <c r="I7" s="2842"/>
      <c r="J7" s="3788"/>
      <c r="K7" s="3790"/>
      <c r="L7" s="2876" t="s">
        <v>2333</v>
      </c>
      <c r="M7" s="2877"/>
      <c r="N7" s="2853"/>
      <c r="O7" s="2878"/>
      <c r="P7" s="2878"/>
      <c r="Q7" s="2879">
        <v>365</v>
      </c>
      <c r="R7" s="2880">
        <f>ROUND(M7*N7*O7*P7*Q7/10000,0)</f>
        <v>0</v>
      </c>
      <c r="S7" s="2834"/>
      <c r="T7" s="2834" t="s">
        <v>2334</v>
      </c>
      <c r="U7" s="2834"/>
      <c r="V7" s="2842"/>
    </row>
    <row r="8" spans="1:22" s="2846" customFormat="1" ht="13.2" customHeight="1">
      <c r="A8" s="2881" t="s">
        <v>2335</v>
      </c>
      <c r="B8" s="3792" t="s">
        <v>2336</v>
      </c>
      <c r="C8" s="3793"/>
      <c r="D8" s="2882" t="s">
        <v>2337</v>
      </c>
      <c r="E8" s="2883" t="s">
        <v>2338</v>
      </c>
      <c r="F8" s="2884" t="s">
        <v>2339</v>
      </c>
      <c r="G8" s="2885"/>
      <c r="H8" s="2841"/>
      <c r="I8" s="2842"/>
      <c r="J8" s="3788"/>
      <c r="K8" s="3790"/>
      <c r="L8" s="2876" t="s">
        <v>2340</v>
      </c>
      <c r="M8" s="2877"/>
      <c r="N8" s="2853"/>
      <c r="O8" s="2878"/>
      <c r="P8" s="2878"/>
      <c r="Q8" s="2879">
        <v>365</v>
      </c>
      <c r="R8" s="2880">
        <f t="shared" ref="R8:R13" si="0">ROUND(M8*N8*O8*P8*Q8/10000,0)</f>
        <v>0</v>
      </c>
      <c r="S8" s="2834"/>
      <c r="T8" s="2834" t="s">
        <v>2341</v>
      </c>
      <c r="U8" s="2834"/>
      <c r="V8" s="2842"/>
    </row>
    <row r="9" spans="1:22" s="2846" customFormat="1" ht="13.2" customHeight="1">
      <c r="A9" s="2881">
        <v>1</v>
      </c>
      <c r="B9" s="3792" t="s">
        <v>2342</v>
      </c>
      <c r="C9" s="3793"/>
      <c r="D9" s="2882">
        <f>ROUND(D6*E9,0)</f>
        <v>2614</v>
      </c>
      <c r="E9" s="2886">
        <v>0.25</v>
      </c>
      <c r="F9" s="2887" t="s">
        <v>2343</v>
      </c>
      <c r="G9" s="2866"/>
      <c r="H9" s="2841"/>
      <c r="I9" s="2842"/>
      <c r="J9" s="3788"/>
      <c r="K9" s="3790"/>
      <c r="L9" s="2876" t="s">
        <v>2344</v>
      </c>
      <c r="M9" s="2877"/>
      <c r="N9" s="2853"/>
      <c r="O9" s="2878"/>
      <c r="P9" s="2878"/>
      <c r="Q9" s="2879">
        <v>365</v>
      </c>
      <c r="R9" s="2880">
        <f t="shared" si="0"/>
        <v>0</v>
      </c>
      <c r="S9" s="2834"/>
      <c r="T9" s="2834"/>
      <c r="U9" s="2834"/>
      <c r="V9" s="2842"/>
    </row>
    <row r="10" spans="1:22" s="2846" customFormat="1" ht="13.2" customHeight="1">
      <c r="A10" s="2881">
        <v>2</v>
      </c>
      <c r="B10" s="3792" t="s">
        <v>2345</v>
      </c>
      <c r="C10" s="3793"/>
      <c r="D10" s="2882">
        <f>ROUND(D6*E10,0)</f>
        <v>1568</v>
      </c>
      <c r="E10" s="2886">
        <v>0.15</v>
      </c>
      <c r="F10" s="2887" t="s">
        <v>2346</v>
      </c>
      <c r="G10" s="2866"/>
      <c r="H10" s="2841"/>
      <c r="I10" s="2842"/>
      <c r="J10" s="3788"/>
      <c r="K10" s="3790"/>
      <c r="L10" s="2876" t="s">
        <v>2347</v>
      </c>
      <c r="M10" s="2877">
        <v>312</v>
      </c>
      <c r="N10" s="2853">
        <v>900</v>
      </c>
      <c r="O10" s="2878">
        <v>1</v>
      </c>
      <c r="P10" s="2878">
        <v>0.6</v>
      </c>
      <c r="Q10" s="2879">
        <v>365</v>
      </c>
      <c r="R10" s="2880">
        <f t="shared" si="0"/>
        <v>6150</v>
      </c>
      <c r="S10" s="2834"/>
      <c r="T10" s="2834"/>
      <c r="U10" s="2834"/>
      <c r="V10" s="2842"/>
    </row>
    <row r="11" spans="1:22" s="2846" customFormat="1" ht="13.2" customHeight="1">
      <c r="A11" s="2881">
        <v>3</v>
      </c>
      <c r="B11" s="3792" t="s">
        <v>2348</v>
      </c>
      <c r="C11" s="3793"/>
      <c r="D11" s="2882">
        <f ca="1">D12+D14+D15+D16</f>
        <v>1100</v>
      </c>
      <c r="E11" s="2888">
        <f ca="1">D11/D6</f>
        <v>0.10521281683405069</v>
      </c>
      <c r="F11" s="2884"/>
      <c r="G11" s="2885"/>
      <c r="H11" s="2841"/>
      <c r="I11" s="2842"/>
      <c r="J11" s="3788"/>
      <c r="K11" s="3790"/>
      <c r="L11" s="2876" t="s">
        <v>2349</v>
      </c>
      <c r="M11" s="2877"/>
      <c r="N11" s="2853"/>
      <c r="O11" s="2878"/>
      <c r="P11" s="2878"/>
      <c r="Q11" s="2879">
        <v>365</v>
      </c>
      <c r="R11" s="2880">
        <f t="shared" si="0"/>
        <v>0</v>
      </c>
      <c r="S11" s="2834"/>
      <c r="T11" s="2834"/>
      <c r="U11" s="2834"/>
      <c r="V11" s="2842"/>
    </row>
    <row r="12" spans="1:22" s="2846" customFormat="1" ht="13.2" customHeight="1">
      <c r="A12" s="2889" t="s">
        <v>2350</v>
      </c>
      <c r="B12" s="3794" t="s">
        <v>2351</v>
      </c>
      <c r="C12" s="3795"/>
      <c r="D12" s="2890">
        <f ca="1">ROUND(D13*1.2%*(1-30%),0)</f>
        <v>525</v>
      </c>
      <c r="E12" s="2891">
        <v>1.2E-2</v>
      </c>
      <c r="F12" s="2884" t="s">
        <v>2352</v>
      </c>
      <c r="G12" s="2885"/>
      <c r="H12" s="2841"/>
      <c r="I12" s="2842"/>
      <c r="J12" s="3788"/>
      <c r="K12" s="3790"/>
      <c r="L12" s="2876" t="s">
        <v>2353</v>
      </c>
      <c r="M12" s="2877"/>
      <c r="N12" s="2853"/>
      <c r="O12" s="2878"/>
      <c r="P12" s="2878"/>
      <c r="Q12" s="2879">
        <v>365</v>
      </c>
      <c r="R12" s="2880">
        <f t="shared" si="0"/>
        <v>0</v>
      </c>
      <c r="S12" s="2834"/>
      <c r="T12" s="2834"/>
      <c r="U12" s="2834"/>
      <c r="V12" s="2842"/>
    </row>
    <row r="13" spans="1:22" s="2846" customFormat="1" ht="13.2" customHeight="1">
      <c r="A13" s="2889"/>
      <c r="B13" s="2892"/>
      <c r="C13" s="2893" t="s">
        <v>2354</v>
      </c>
      <c r="D13" s="2894">
        <f ca="1">成本法!C49</f>
        <v>62451</v>
      </c>
      <c r="E13" s="2895"/>
      <c r="F13" s="2884"/>
      <c r="G13" s="2885"/>
      <c r="H13" s="2841"/>
      <c r="I13" s="2842"/>
      <c r="J13" s="3788"/>
      <c r="K13" s="3790"/>
      <c r="L13" s="2876" t="s">
        <v>2355</v>
      </c>
      <c r="M13" s="2877"/>
      <c r="N13" s="2853"/>
      <c r="O13" s="2878"/>
      <c r="P13" s="2878"/>
      <c r="Q13" s="2879">
        <v>365</v>
      </c>
      <c r="R13" s="2880">
        <f t="shared" si="0"/>
        <v>0</v>
      </c>
      <c r="S13" s="2834"/>
      <c r="T13" s="2834"/>
      <c r="U13" s="2834"/>
      <c r="V13" s="2842"/>
    </row>
    <row r="14" spans="1:22" s="2846" customFormat="1" ht="13.2" customHeight="1">
      <c r="A14" s="2889" t="s">
        <v>2356</v>
      </c>
      <c r="B14" s="3794" t="s">
        <v>2357</v>
      </c>
      <c r="C14" s="3795"/>
      <c r="D14" s="2890">
        <f>ROUND(E14*B5/10000,0)</f>
        <v>0</v>
      </c>
      <c r="E14" s="3474">
        <f>'数据-取费表'!B52</f>
        <v>1.5</v>
      </c>
      <c r="F14" s="2884" t="s">
        <v>2358</v>
      </c>
      <c r="G14" s="2885"/>
      <c r="H14" s="2841"/>
      <c r="I14" s="2842"/>
      <c r="J14" s="3788"/>
      <c r="K14" s="3791"/>
      <c r="L14" s="2896" t="s">
        <v>2359</v>
      </c>
      <c r="M14" s="2897">
        <f>SUM(M7:M13)</f>
        <v>312</v>
      </c>
      <c r="N14" s="2897">
        <f>ROUND((N7*M7+N8*M8+N9*M9+N10*M10+N11*M11+N12*M12+N13*M13)/M14,0)</f>
        <v>900</v>
      </c>
      <c r="O14" s="2898"/>
      <c r="P14" s="2898"/>
      <c r="Q14" s="2899"/>
      <c r="R14" s="2845">
        <f>SUM(R7:R13)</f>
        <v>6150</v>
      </c>
      <c r="S14" s="2834"/>
      <c r="T14" s="2834"/>
      <c r="U14" s="2834"/>
      <c r="V14" s="2842"/>
    </row>
    <row r="15" spans="1:22" s="2846" customFormat="1" ht="13.2" customHeight="1">
      <c r="A15" s="2889" t="s">
        <v>2360</v>
      </c>
      <c r="B15" s="3794" t="s">
        <v>2361</v>
      </c>
      <c r="C15" s="3795"/>
      <c r="D15" s="2890">
        <f>ROUND(D6*E15,0)</f>
        <v>575</v>
      </c>
      <c r="E15" s="2891">
        <v>5.5E-2</v>
      </c>
      <c r="F15" s="2884" t="s">
        <v>2362</v>
      </c>
      <c r="G15" s="2866"/>
      <c r="H15" s="2841"/>
      <c r="I15" s="2842"/>
      <c r="J15" s="3788">
        <v>2</v>
      </c>
      <c r="K15" s="3789" t="s">
        <v>2363</v>
      </c>
      <c r="L15" s="2876" t="s">
        <v>2364</v>
      </c>
      <c r="M15" s="2877" t="s">
        <v>2365</v>
      </c>
      <c r="N15" s="2877" t="s">
        <v>2366</v>
      </c>
      <c r="O15" s="2878" t="s">
        <v>2367</v>
      </c>
      <c r="P15" s="2878" t="s">
        <v>2329</v>
      </c>
      <c r="Q15" s="2853" t="s">
        <v>2368</v>
      </c>
      <c r="R15" s="2900" t="s">
        <v>2330</v>
      </c>
      <c r="S15" s="2834"/>
      <c r="T15" s="2834"/>
      <c r="U15" s="2834"/>
      <c r="V15" s="2842"/>
    </row>
    <row r="16" spans="1:22" s="2846" customFormat="1" ht="13.2" customHeight="1">
      <c r="A16" s="2889" t="s">
        <v>2369</v>
      </c>
      <c r="B16" s="3794" t="s">
        <v>2370</v>
      </c>
      <c r="C16" s="3795"/>
      <c r="D16" s="2901">
        <f>D6*E16</f>
        <v>0</v>
      </c>
      <c r="E16" s="2902">
        <v>0</v>
      </c>
      <c r="F16" s="2887" t="s">
        <v>2371</v>
      </c>
      <c r="G16" s="2866"/>
      <c r="H16" s="2841"/>
      <c r="I16" s="2842"/>
      <c r="J16" s="3788"/>
      <c r="K16" s="3790"/>
      <c r="L16" s="2876" t="s">
        <v>2372</v>
      </c>
      <c r="M16" s="2877"/>
      <c r="N16" s="2877"/>
      <c r="O16" s="2878"/>
      <c r="P16" s="2879">
        <v>365</v>
      </c>
      <c r="Q16" s="2853"/>
      <c r="R16" s="2900">
        <f>ROUND(M16*N16*O16*P16/10000,0)</f>
        <v>0</v>
      </c>
      <c r="S16" s="2834"/>
      <c r="T16" s="2834"/>
      <c r="U16" s="2834"/>
      <c r="V16" s="2842"/>
    </row>
    <row r="17" spans="1:22" s="2846" customFormat="1" ht="13.2" customHeight="1" thickBot="1">
      <c r="A17" s="2903">
        <v>4</v>
      </c>
      <c r="B17" s="3796" t="s">
        <v>2373</v>
      </c>
      <c r="C17" s="3797"/>
      <c r="D17" s="2904">
        <f>ROUND(D6*E17,0)</f>
        <v>523</v>
      </c>
      <c r="E17" s="2905">
        <v>0.05</v>
      </c>
      <c r="F17" s="2906" t="s">
        <v>2374</v>
      </c>
      <c r="G17" s="2866"/>
      <c r="H17" s="2841"/>
      <c r="I17" s="2842"/>
      <c r="J17" s="3788"/>
      <c r="K17" s="3790"/>
      <c r="L17" s="2876" t="s">
        <v>2375</v>
      </c>
      <c r="M17" s="2877"/>
      <c r="N17" s="2877"/>
      <c r="O17" s="2878"/>
      <c r="P17" s="2879">
        <v>365</v>
      </c>
      <c r="Q17" s="2853"/>
      <c r="R17" s="2900">
        <f>ROUND(M17*N17*O17*P17/10000,0)</f>
        <v>0</v>
      </c>
      <c r="S17" s="2834"/>
      <c r="T17" s="2834"/>
      <c r="U17" s="2834"/>
      <c r="V17" s="2842"/>
    </row>
    <row r="18" spans="1:22" s="2846" customFormat="1" ht="13.2" customHeight="1" thickBot="1">
      <c r="A18" s="2869" t="s">
        <v>2376</v>
      </c>
      <c r="B18" s="2870"/>
      <c r="C18" s="2870"/>
      <c r="D18" s="2907">
        <f>ROUND(D6*E18,0)</f>
        <v>523</v>
      </c>
      <c r="E18" s="2908">
        <v>0.05</v>
      </c>
      <c r="F18" s="2909" t="s">
        <v>2377</v>
      </c>
      <c r="G18" s="2866"/>
      <c r="H18" s="2841"/>
      <c r="I18" s="2842"/>
      <c r="J18" s="3788"/>
      <c r="K18" s="3790"/>
      <c r="L18" s="2876" t="s">
        <v>2378</v>
      </c>
      <c r="M18" s="2877"/>
      <c r="N18" s="2877"/>
      <c r="O18" s="2878"/>
      <c r="P18" s="2879">
        <v>365</v>
      </c>
      <c r="Q18" s="2853"/>
      <c r="R18" s="2900">
        <f>ROUND(M18*N18*O18*P18/10000,0)</f>
        <v>0</v>
      </c>
      <c r="S18" s="2834"/>
      <c r="T18" s="2834"/>
      <c r="U18" s="2834"/>
      <c r="V18" s="2842"/>
    </row>
    <row r="19" spans="1:22" s="2846" customFormat="1" ht="13.2" customHeight="1" thickBot="1">
      <c r="A19" s="2910" t="s">
        <v>2379</v>
      </c>
      <c r="B19" s="2864"/>
      <c r="C19" s="2864"/>
      <c r="D19" s="2864"/>
      <c r="E19" s="2864"/>
      <c r="F19" s="2865"/>
      <c r="G19" s="2885"/>
      <c r="H19" s="2841"/>
      <c r="I19" s="2842"/>
      <c r="J19" s="3788"/>
      <c r="K19" s="3791"/>
      <c r="L19" s="2896" t="s">
        <v>2359</v>
      </c>
      <c r="M19" s="2897"/>
      <c r="N19" s="2897">
        <f>SUM(N16:N18)</f>
        <v>0</v>
      </c>
      <c r="O19" s="2898"/>
      <c r="P19" s="2911" t="s">
        <v>3783</v>
      </c>
      <c r="Q19" s="2878">
        <v>0.5</v>
      </c>
      <c r="R19" s="2912">
        <f>ROUND(IF(P19="按比例",R14*Q19,SUM(R16:R18)),0)</f>
        <v>3075</v>
      </c>
      <c r="S19" s="2834"/>
      <c r="T19" s="2834"/>
      <c r="U19" s="2834"/>
      <c r="V19" s="2842"/>
    </row>
    <row r="20" spans="1:22" s="2846" customFormat="1" ht="13.2" customHeight="1">
      <c r="A20" s="2869"/>
      <c r="B20" s="2870"/>
      <c r="C20" s="2870"/>
      <c r="D20" s="2870"/>
      <c r="E20" s="2870"/>
      <c r="F20" s="2913"/>
      <c r="G20" s="2885"/>
      <c r="H20" s="2841"/>
      <c r="I20" s="2842"/>
      <c r="J20" s="3788">
        <v>3</v>
      </c>
      <c r="K20" s="3789" t="s">
        <v>2380</v>
      </c>
      <c r="L20" s="2876" t="s">
        <v>2381</v>
      </c>
      <c r="M20" s="2877" t="s">
        <v>2382</v>
      </c>
      <c r="N20" s="2914" t="s">
        <v>2383</v>
      </c>
      <c r="O20" s="2878" t="s">
        <v>2384</v>
      </c>
      <c r="P20" s="2879" t="s">
        <v>2385</v>
      </c>
      <c r="Q20" s="2853" t="s">
        <v>2386</v>
      </c>
      <c r="R20" s="2900" t="s">
        <v>2387</v>
      </c>
      <c r="S20" s="2915"/>
      <c r="T20" s="2915"/>
      <c r="U20" s="2915"/>
      <c r="V20" s="2842"/>
    </row>
    <row r="21" spans="1:22" s="2846" customFormat="1" ht="13.2" customHeight="1">
      <c r="A21" s="2869"/>
      <c r="B21" s="2870"/>
      <c r="C21" s="2916" t="s">
        <v>2388</v>
      </c>
      <c r="D21" s="2917" t="s">
        <v>2389</v>
      </c>
      <c r="E21" s="2918" t="s">
        <v>2390</v>
      </c>
      <c r="F21" s="2913"/>
      <c r="G21" s="2885"/>
      <c r="H21" s="2841"/>
      <c r="I21" s="2842"/>
      <c r="J21" s="3788"/>
      <c r="K21" s="3790"/>
      <c r="L21" s="2876" t="s">
        <v>2391</v>
      </c>
      <c r="M21" s="2877"/>
      <c r="N21" s="2877"/>
      <c r="O21" s="2878"/>
      <c r="P21" s="2879">
        <v>365</v>
      </c>
      <c r="Q21" s="2853"/>
      <c r="R21" s="2919">
        <f>ROUND(M21*N21*O21*P21/10000,0)</f>
        <v>0</v>
      </c>
      <c r="S21" s="2915"/>
      <c r="T21" s="2915"/>
      <c r="U21" s="2915"/>
      <c r="V21" s="2842"/>
    </row>
    <row r="22" spans="1:22" s="2846" customFormat="1" ht="13.2" customHeight="1">
      <c r="A22" s="2869"/>
      <c r="B22" s="2870"/>
      <c r="C22" s="2920" t="s">
        <v>2392</v>
      </c>
      <c r="D22" s="2921" t="s">
        <v>2393</v>
      </c>
      <c r="E22" s="2922" t="s">
        <v>2394</v>
      </c>
      <c r="F22" s="2913"/>
      <c r="G22" s="2923">
        <f>G23/1.5</f>
        <v>5.9069624598128447</v>
      </c>
      <c r="H22" s="2841"/>
      <c r="I22" s="2842"/>
      <c r="J22" s="3788"/>
      <c r="K22" s="3790"/>
      <c r="L22" s="2876" t="s">
        <v>2395</v>
      </c>
      <c r="M22" s="2877"/>
      <c r="N22" s="2877"/>
      <c r="O22" s="2878"/>
      <c r="P22" s="2879">
        <v>365</v>
      </c>
      <c r="Q22" s="2853"/>
      <c r="R22" s="2919">
        <f>ROUND(M22*N22*O22*P22/10000,0)</f>
        <v>0</v>
      </c>
      <c r="S22" s="2915"/>
      <c r="T22" s="2915"/>
      <c r="U22" s="2915"/>
      <c r="V22" s="2842"/>
    </row>
    <row r="23" spans="1:22" s="2846" customFormat="1" ht="13.2" customHeight="1">
      <c r="A23" s="2924">
        <v>1</v>
      </c>
      <c r="B23" s="2925" t="s">
        <v>2396</v>
      </c>
      <c r="C23" s="2926">
        <f>D6</f>
        <v>10455</v>
      </c>
      <c r="D23" s="2927">
        <f>C23*(1+D24)</f>
        <v>15682.5</v>
      </c>
      <c r="E23" s="2928">
        <f>D23*(1+E24)</f>
        <v>15682.5</v>
      </c>
      <c r="F23" s="2929"/>
      <c r="G23" s="2930">
        <f>E23*10000/365/'收益法-酒店模型'!B4</f>
        <v>8.8604436897192667</v>
      </c>
      <c r="H23" s="2841"/>
      <c r="I23" s="2842"/>
      <c r="J23" s="3788"/>
      <c r="K23" s="3790"/>
      <c r="L23" s="2876" t="s">
        <v>2397</v>
      </c>
      <c r="M23" s="2877"/>
      <c r="N23" s="2877"/>
      <c r="O23" s="2878"/>
      <c r="P23" s="2879">
        <v>365</v>
      </c>
      <c r="Q23" s="2853"/>
      <c r="R23" s="2919">
        <f>ROUND(M23*N23*O23*P23/10000,0)</f>
        <v>0</v>
      </c>
      <c r="S23" s="2834"/>
      <c r="T23" s="2834"/>
      <c r="U23" s="2834"/>
      <c r="V23" s="2842"/>
    </row>
    <row r="24" spans="1:22" s="2846" customFormat="1" ht="13.2" customHeight="1">
      <c r="A24" s="2931"/>
      <c r="B24" s="2932" t="s">
        <v>2398</v>
      </c>
      <c r="C24" s="2933"/>
      <c r="D24" s="2934">
        <v>0.5</v>
      </c>
      <c r="E24" s="2935"/>
      <c r="F24" s="2936"/>
      <c r="G24" s="2930"/>
      <c r="H24" s="2841"/>
      <c r="I24" s="2842"/>
      <c r="J24" s="3788"/>
      <c r="K24" s="3791"/>
      <c r="L24" s="2896" t="s">
        <v>2359</v>
      </c>
      <c r="M24" s="2897">
        <f>SUM(M21:M23)</f>
        <v>0</v>
      </c>
      <c r="N24" s="2897"/>
      <c r="O24" s="2898"/>
      <c r="P24" s="2911" t="s">
        <v>2423</v>
      </c>
      <c r="Q24" s="2878">
        <v>0</v>
      </c>
      <c r="R24" s="2912">
        <f>ROUND(IF(P24="按比例",R14*Q24,SUM(R21:R23)),0)</f>
        <v>0</v>
      </c>
      <c r="S24" s="2834"/>
      <c r="T24" s="2834"/>
      <c r="U24" s="2834"/>
      <c r="V24" s="2842"/>
    </row>
    <row r="25" spans="1:22" s="2943" customFormat="1" ht="13.2" customHeight="1">
      <c r="A25" s="2931"/>
      <c r="B25" s="2932"/>
      <c r="C25" s="2933"/>
      <c r="D25" s="2934"/>
      <c r="E25" s="2935"/>
      <c r="F25" s="2936"/>
      <c r="G25" s="2923"/>
      <c r="H25" s="2841"/>
      <c r="I25" s="2842"/>
      <c r="J25" s="2937">
        <v>4</v>
      </c>
      <c r="K25" s="2938" t="s">
        <v>2399</v>
      </c>
      <c r="L25" s="2939"/>
      <c r="M25" s="2939"/>
      <c r="N25" s="2939"/>
      <c r="O25" s="2939"/>
      <c r="P25" s="2940"/>
      <c r="Q25" s="2941">
        <v>0.2</v>
      </c>
      <c r="R25" s="2912">
        <f>ROUND(R14*Q25,0)</f>
        <v>1230</v>
      </c>
      <c r="S25" s="2834"/>
      <c r="T25" s="2834"/>
      <c r="U25" s="2834"/>
      <c r="V25" s="2942"/>
    </row>
    <row r="26" spans="1:22" s="2943" customFormat="1" ht="13.2" customHeight="1">
      <c r="A26" s="2924">
        <v>2</v>
      </c>
      <c r="B26" s="2925" t="s">
        <v>2400</v>
      </c>
      <c r="C26" s="2926">
        <f ca="1">D7</f>
        <v>5805</v>
      </c>
      <c r="D26" s="2927">
        <f>D23*D27</f>
        <v>7841.25</v>
      </c>
      <c r="E26" s="2928">
        <f>E23*E27</f>
        <v>7841.25</v>
      </c>
      <c r="F26" s="2929"/>
      <c r="G26" s="2930"/>
      <c r="H26" s="2841"/>
      <c r="I26" s="2842"/>
      <c r="J26" s="3798">
        <v>5</v>
      </c>
      <c r="K26" s="2944" t="s">
        <v>2401</v>
      </c>
      <c r="L26" s="2945"/>
      <c r="M26" s="2946"/>
      <c r="N26" s="2947" t="s">
        <v>2402</v>
      </c>
      <c r="O26" s="2947" t="s">
        <v>2403</v>
      </c>
      <c r="P26" s="2948" t="s">
        <v>2404</v>
      </c>
      <c r="Q26" s="2948" t="s">
        <v>2405</v>
      </c>
      <c r="R26" s="2851" t="s">
        <v>2330</v>
      </c>
      <c r="S26" s="2949"/>
      <c r="T26" s="2949"/>
      <c r="U26" s="2949"/>
      <c r="V26" s="2942"/>
    </row>
    <row r="27" spans="1:22" s="2846" customFormat="1" ht="13.2" customHeight="1">
      <c r="A27" s="2931"/>
      <c r="B27" s="2932" t="s">
        <v>2406</v>
      </c>
      <c r="C27" s="2950">
        <f ca="1">E7</f>
        <v>0.55521281683405077</v>
      </c>
      <c r="D27" s="2934">
        <v>0.5</v>
      </c>
      <c r="E27" s="2935">
        <f>D27</f>
        <v>0.5</v>
      </c>
      <c r="F27" s="2936"/>
      <c r="G27" s="2930"/>
      <c r="H27" s="2951"/>
      <c r="I27" s="2942"/>
      <c r="J27" s="3799"/>
      <c r="K27" s="2952"/>
      <c r="L27" s="2953"/>
      <c r="M27" s="2954"/>
      <c r="N27" s="2955"/>
      <c r="O27" s="2955"/>
      <c r="P27" s="2955"/>
      <c r="Q27" s="2956"/>
      <c r="R27" s="2912">
        <f>ROUND(O27*N27*P27*(1-Q27)/10000,0)</f>
        <v>0</v>
      </c>
      <c r="S27" s="2834"/>
      <c r="T27" s="2834"/>
      <c r="U27" s="2834"/>
      <c r="V27" s="2842"/>
    </row>
    <row r="28" spans="1:22" s="2943" customFormat="1" ht="13.2" customHeight="1" thickBot="1">
      <c r="A28" s="2931"/>
      <c r="B28" s="2932"/>
      <c r="C28" s="2950"/>
      <c r="D28" s="2934"/>
      <c r="E28" s="2935" t="s">
        <v>2407</v>
      </c>
      <c r="F28" s="2936"/>
      <c r="G28" s="2923"/>
      <c r="H28" s="2951"/>
      <c r="I28" s="2942"/>
      <c r="J28" s="2957">
        <v>6</v>
      </c>
      <c r="K28" s="2958" t="s">
        <v>2408</v>
      </c>
      <c r="L28" s="2959" t="s">
        <v>2409</v>
      </c>
      <c r="M28" s="2960"/>
      <c r="N28" s="2959" t="s">
        <v>2410</v>
      </c>
      <c r="O28" s="2961"/>
      <c r="P28" s="2959" t="s">
        <v>2411</v>
      </c>
      <c r="Q28" s="2962">
        <v>1.4999999999999999E-2</v>
      </c>
      <c r="R28" s="2963"/>
      <c r="S28" s="2915"/>
      <c r="T28" s="2915"/>
      <c r="U28" s="2915"/>
      <c r="V28" s="2942"/>
    </row>
    <row r="29" spans="1:22" s="2943" customFormat="1" ht="13.2" customHeight="1">
      <c r="A29" s="2924">
        <v>3</v>
      </c>
      <c r="B29" s="2925" t="s">
        <v>2412</v>
      </c>
      <c r="C29" s="2926">
        <f>C23*C30</f>
        <v>522.75</v>
      </c>
      <c r="D29" s="2927">
        <f>D23*C30</f>
        <v>784.125</v>
      </c>
      <c r="E29" s="2928">
        <f>E23*C30</f>
        <v>784.125</v>
      </c>
      <c r="F29" s="2929"/>
      <c r="G29" s="2930"/>
      <c r="H29" s="2841"/>
      <c r="I29" s="2842"/>
      <c r="J29" s="2915"/>
      <c r="K29" s="2915"/>
      <c r="L29" s="2915"/>
      <c r="M29" s="2915"/>
      <c r="N29" s="2915"/>
      <c r="O29" s="2915"/>
      <c r="P29" s="2915"/>
      <c r="Q29" s="2915"/>
      <c r="R29" s="2915"/>
      <c r="S29" s="2915"/>
      <c r="T29" s="2915"/>
      <c r="U29" s="2915"/>
      <c r="V29" s="2942"/>
    </row>
    <row r="30" spans="1:22" s="2846" customFormat="1" ht="13.2" customHeight="1" thickBot="1">
      <c r="A30" s="2931"/>
      <c r="B30" s="2932" t="s">
        <v>2406</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2" customHeight="1">
      <c r="A31" s="2931"/>
      <c r="B31" s="2932"/>
      <c r="C31" s="2965"/>
      <c r="D31" s="2964"/>
      <c r="E31" s="2895"/>
      <c r="F31" s="2936"/>
      <c r="G31" s="2923">
        <f ca="1">C32*10000/B4/365</f>
        <v>2.3318518232675816</v>
      </c>
      <c r="H31" s="2951"/>
      <c r="I31" s="2942"/>
      <c r="J31" s="2831" t="s">
        <v>2413</v>
      </c>
      <c r="K31" s="2832"/>
      <c r="L31" s="2832"/>
      <c r="M31" s="2832"/>
      <c r="N31" s="2832"/>
      <c r="O31" s="2832"/>
      <c r="P31" s="2832"/>
      <c r="Q31" s="2832"/>
      <c r="R31" s="2833"/>
      <c r="S31" s="2915"/>
      <c r="T31" s="2834"/>
      <c r="U31" s="2834"/>
      <c r="V31" s="2942"/>
    </row>
    <row r="32" spans="1:22" s="2943" customFormat="1" ht="13.2" customHeight="1">
      <c r="A32" s="2924">
        <v>4</v>
      </c>
      <c r="B32" s="2925" t="s">
        <v>2414</v>
      </c>
      <c r="C32" s="2926">
        <f ca="1">C23-C26-C29</f>
        <v>4127.25</v>
      </c>
      <c r="D32" s="2927">
        <f>D23-D26-D29</f>
        <v>7057.125</v>
      </c>
      <c r="E32" s="2928">
        <f>E23-E26-E29</f>
        <v>7057.125</v>
      </c>
      <c r="F32" s="2929"/>
      <c r="G32" s="2923">
        <f>E32*10000/365/B4</f>
        <v>3.9871996603736704</v>
      </c>
      <c r="H32" s="2841"/>
      <c r="I32" s="2842"/>
      <c r="J32" s="3781" t="s">
        <v>2306</v>
      </c>
      <c r="K32" s="3782"/>
      <c r="L32" s="2843" t="s">
        <v>2307</v>
      </c>
      <c r="M32" s="2843" t="s">
        <v>2308</v>
      </c>
      <c r="N32" s="2843" t="s">
        <v>2309</v>
      </c>
      <c r="O32" s="2843" t="s">
        <v>2310</v>
      </c>
      <c r="P32" s="2843" t="s">
        <v>2311</v>
      </c>
      <c r="Q32" s="2844" t="s">
        <v>2312</v>
      </c>
      <c r="R32" s="2966" t="s">
        <v>2313</v>
      </c>
      <c r="S32" s="2915"/>
      <c r="T32" s="2834"/>
      <c r="U32" s="2834"/>
      <c r="V32" s="2942"/>
    </row>
    <row r="33" spans="1:23" s="2846" customFormat="1" ht="13.2" customHeight="1">
      <c r="A33" s="2924"/>
      <c r="B33" s="2925"/>
      <c r="C33" s="2926"/>
      <c r="D33" s="2967"/>
      <c r="E33" s="2968"/>
      <c r="F33" s="2929"/>
      <c r="G33" s="2923"/>
      <c r="H33" s="2951"/>
      <c r="I33" s="2942"/>
      <c r="J33" s="3783" t="s">
        <v>2316</v>
      </c>
      <c r="K33" s="3784"/>
      <c r="L33" s="2849"/>
      <c r="M33" s="2849"/>
      <c r="N33" s="2849"/>
      <c r="O33" s="2849"/>
      <c r="P33" s="2849"/>
      <c r="Q33" s="2850"/>
      <c r="R33" s="2969">
        <f>SUM(L33:Q33)</f>
        <v>0</v>
      </c>
      <c r="S33" s="2915"/>
      <c r="T33" s="2834"/>
      <c r="U33" s="2834"/>
      <c r="V33" s="2842"/>
    </row>
    <row r="34" spans="1:23" s="2846" customFormat="1" ht="13.2" customHeight="1">
      <c r="A34" s="2924">
        <v>5</v>
      </c>
      <c r="B34" s="2925" t="s">
        <v>2415</v>
      </c>
      <c r="C34" s="2970">
        <f>'数据-取费表'!I6</f>
        <v>0.06</v>
      </c>
      <c r="D34" s="2971">
        <f>C34</f>
        <v>0.06</v>
      </c>
      <c r="E34" s="2972"/>
      <c r="F34" s="2929"/>
      <c r="G34" s="2923"/>
      <c r="H34" s="2951"/>
      <c r="I34" s="2942"/>
      <c r="J34" s="3783" t="s">
        <v>2318</v>
      </c>
      <c r="K34" s="3784"/>
      <c r="L34" s="2854"/>
      <c r="M34" s="2854"/>
      <c r="N34" s="2854"/>
      <c r="O34" s="2854"/>
      <c r="P34" s="2854"/>
      <c r="Q34" s="2855"/>
      <c r="R34" s="2973">
        <f>SUM(L34:Q34)</f>
        <v>0</v>
      </c>
      <c r="S34" s="2915"/>
      <c r="T34" s="2834"/>
      <c r="U34" s="2834" t="e">
        <f>ROUND(R35*10000/365/R33,1)</f>
        <v>#DIV/0!</v>
      </c>
      <c r="V34" s="2842"/>
    </row>
    <row r="35" spans="1:23" s="2846" customFormat="1" ht="13.2" customHeight="1">
      <c r="A35" s="2924">
        <v>6</v>
      </c>
      <c r="B35" s="2925" t="s">
        <v>2416</v>
      </c>
      <c r="C35" s="2974">
        <v>0</v>
      </c>
      <c r="D35" s="2975">
        <f>C35</f>
        <v>0</v>
      </c>
      <c r="E35" s="2976">
        <f>D35</f>
        <v>0</v>
      </c>
      <c r="F35" s="2929"/>
      <c r="G35" s="2977"/>
      <c r="H35" s="2841"/>
      <c r="I35" s="2942"/>
      <c r="J35" s="2860" t="s">
        <v>2320</v>
      </c>
      <c r="K35" s="2861"/>
      <c r="L35" s="2861"/>
      <c r="M35" s="2862"/>
      <c r="N35" s="2862"/>
      <c r="O35" s="2862"/>
      <c r="P35" s="2862"/>
      <c r="Q35" s="2862"/>
      <c r="R35" s="2978">
        <f>R40+R41+R43</f>
        <v>0</v>
      </c>
      <c r="S35" s="2915"/>
      <c r="T35" s="2834" t="s">
        <v>2321</v>
      </c>
      <c r="U35" s="2834"/>
      <c r="V35" s="2842"/>
    </row>
    <row r="36" spans="1:23" s="2846" customFormat="1" ht="13.2" customHeight="1" thickBot="1">
      <c r="A36" s="2924">
        <v>7</v>
      </c>
      <c r="B36" s="2979" t="s">
        <v>2417</v>
      </c>
      <c r="C36" s="2980">
        <v>3</v>
      </c>
      <c r="D36" s="2981">
        <f ca="1">收益法!F41-'收益法-酒店模型'!C36</f>
        <v>23.37</v>
      </c>
      <c r="E36" s="2982"/>
      <c r="F36" s="2983">
        <f ca="1">C36+D36+E36</f>
        <v>26.37</v>
      </c>
      <c r="G36" s="2923">
        <f>'数据-取费表'!F6</f>
        <v>26.37</v>
      </c>
      <c r="H36" s="2841"/>
      <c r="I36" s="2842"/>
      <c r="J36" s="3788">
        <v>1</v>
      </c>
      <c r="K36" s="3789" t="s">
        <v>2418</v>
      </c>
      <c r="L36" s="2867"/>
      <c r="M36" s="2868"/>
      <c r="N36" s="2868"/>
      <c r="O36" s="2868"/>
      <c r="P36" s="2868"/>
      <c r="Q36" s="2868"/>
      <c r="R36" s="2851" t="s">
        <v>2330</v>
      </c>
      <c r="S36" s="2915"/>
      <c r="T36" s="2834" t="s">
        <v>2331</v>
      </c>
      <c r="U36" s="2834"/>
      <c r="V36" s="2842"/>
    </row>
    <row r="37" spans="1:23" s="2846" customFormat="1" ht="13.2" customHeight="1">
      <c r="A37" s="2924"/>
      <c r="B37" s="2925"/>
      <c r="C37" s="2925"/>
      <c r="D37" s="2925"/>
      <c r="E37" s="2925"/>
      <c r="F37" s="2929"/>
      <c r="G37" s="2923"/>
      <c r="H37" s="2841"/>
      <c r="I37" s="2842"/>
      <c r="J37" s="3788"/>
      <c r="K37" s="3790"/>
      <c r="L37" s="2876"/>
      <c r="M37" s="2877"/>
      <c r="N37" s="2853"/>
      <c r="O37" s="2878"/>
      <c r="P37" s="2878"/>
      <c r="Q37" s="2879"/>
      <c r="R37" s="2880"/>
      <c r="S37" s="2915"/>
      <c r="T37" s="2834" t="s">
        <v>2334</v>
      </c>
      <c r="U37" s="2834"/>
      <c r="V37" s="2842"/>
    </row>
    <row r="38" spans="1:23" s="2846" customFormat="1" ht="13.2" customHeight="1">
      <c r="A38" s="2924">
        <v>8</v>
      </c>
      <c r="B38" s="2925"/>
      <c r="C38" s="2882">
        <f ca="1">ROUND(C32*(1-((1+C35)/(1+C34))^C36)/(C34-C35),0)</f>
        <v>11032</v>
      </c>
      <c r="D38" s="2882">
        <f ca="1">IF(D23=0,0,ROUND(D32*(1-((1+D35)/(1+D34))^D36)/(D34-D35),0))</f>
        <v>87483</v>
      </c>
      <c r="E38" s="2882" t="e">
        <f>IF(E23=0,0,ROUND(E32*(1-((1+E35)/(1+E34))^E36)/(E34-E35),0))</f>
        <v>#DIV/0!</v>
      </c>
      <c r="F38" s="2929"/>
      <c r="G38" s="2923"/>
      <c r="H38" s="2841"/>
      <c r="I38" s="2842"/>
      <c r="J38" s="3788"/>
      <c r="K38" s="3790"/>
      <c r="L38" s="2876"/>
      <c r="M38" s="2877"/>
      <c r="N38" s="2853"/>
      <c r="O38" s="2878"/>
      <c r="P38" s="2878"/>
      <c r="Q38" s="2879"/>
      <c r="R38" s="2880"/>
      <c r="S38" s="2915"/>
      <c r="T38" s="2834" t="s">
        <v>2341</v>
      </c>
      <c r="U38" s="2834"/>
      <c r="V38" s="2842"/>
    </row>
    <row r="39" spans="1:23" s="2846" customFormat="1" ht="13.2" customHeight="1">
      <c r="A39" s="2924">
        <v>9</v>
      </c>
      <c r="B39" s="2925" t="s">
        <v>2419</v>
      </c>
      <c r="C39" s="2890">
        <f ca="1">C38</f>
        <v>11032</v>
      </c>
      <c r="D39" s="2925">
        <f ca="1">IF(D36=0,0,ROUND(D38/(1+D34)^C36,0))</f>
        <v>73452</v>
      </c>
      <c r="E39" s="2925">
        <f>IF(E36=0,0,ROUND(E38/(1+E34)^(C36+D36),0))</f>
        <v>0</v>
      </c>
      <c r="F39" s="2929"/>
      <c r="G39" s="2984"/>
      <c r="H39" s="2841"/>
      <c r="I39" s="2842"/>
      <c r="J39" s="3788"/>
      <c r="K39" s="3790"/>
      <c r="L39" s="2876"/>
      <c r="M39" s="2877"/>
      <c r="N39" s="2853"/>
      <c r="O39" s="2878"/>
      <c r="P39" s="2878"/>
      <c r="Q39" s="2879"/>
      <c r="R39" s="2880"/>
      <c r="S39" s="2915"/>
      <c r="T39" s="2834"/>
      <c r="U39" s="2834"/>
      <c r="V39" s="2842"/>
    </row>
    <row r="40" spans="1:23" s="2846" customFormat="1" ht="13.2" customHeight="1">
      <c r="A40" s="2985">
        <v>10</v>
      </c>
      <c r="B40" s="2925" t="s">
        <v>2420</v>
      </c>
      <c r="C40" s="2986">
        <f ca="1">C39+D39+E39</f>
        <v>84484</v>
      </c>
      <c r="D40" s="2987"/>
      <c r="E40" s="2987"/>
      <c r="F40" s="2988"/>
      <c r="G40" s="2923"/>
      <c r="H40" s="2841"/>
      <c r="I40" s="2842"/>
      <c r="J40" s="3788"/>
      <c r="K40" s="3791"/>
      <c r="L40" s="2896" t="s">
        <v>2359</v>
      </c>
      <c r="M40" s="2897"/>
      <c r="N40" s="2897"/>
      <c r="O40" s="2898"/>
      <c r="P40" s="2898"/>
      <c r="Q40" s="2899"/>
      <c r="R40" s="2845">
        <f>SUM(R37:R39)</f>
        <v>0</v>
      </c>
      <c r="S40" s="2915"/>
      <c r="T40" s="2834"/>
      <c r="U40" s="2834"/>
      <c r="V40" s="2842"/>
    </row>
    <row r="41" spans="1:23" s="2846" customFormat="1" ht="13.2" customHeight="1" thickBot="1">
      <c r="A41" s="2989">
        <v>11</v>
      </c>
      <c r="B41" s="2990" t="s">
        <v>2421</v>
      </c>
      <c r="C41" s="2990">
        <f ca="1">ROUND(C40*10000/B4,0)</f>
        <v>17422</v>
      </c>
      <c r="D41" s="2991"/>
      <c r="E41" s="2991"/>
      <c r="F41" s="2992"/>
      <c r="G41" s="2993"/>
      <c r="H41" s="2841"/>
      <c r="I41" s="2842"/>
      <c r="J41" s="2937">
        <v>2</v>
      </c>
      <c r="K41" s="2938" t="s">
        <v>2399</v>
      </c>
      <c r="L41" s="2939"/>
      <c r="M41" s="2939"/>
      <c r="N41" s="2939"/>
      <c r="O41" s="2939"/>
      <c r="P41" s="2940"/>
      <c r="Q41" s="2941"/>
      <c r="R41" s="2912">
        <f>ROUND(R40*Q41,0)</f>
        <v>0</v>
      </c>
      <c r="S41" s="2915"/>
      <c r="T41" s="2834"/>
      <c r="U41" s="2949"/>
      <c r="V41" s="2842"/>
    </row>
    <row r="42" spans="1:23" s="2846" customFormat="1" ht="13.2" customHeight="1">
      <c r="G42" s="2993"/>
      <c r="H42" s="2841"/>
      <c r="I42" s="2842"/>
      <c r="J42" s="3798">
        <v>3</v>
      </c>
      <c r="K42" s="2944" t="s">
        <v>2401</v>
      </c>
      <c r="L42" s="2945"/>
      <c r="M42" s="2946"/>
      <c r="N42" s="2947" t="s">
        <v>2402</v>
      </c>
      <c r="O42" s="2947" t="s">
        <v>2403</v>
      </c>
      <c r="P42" s="2948" t="s">
        <v>2404</v>
      </c>
      <c r="Q42" s="2948" t="s">
        <v>2405</v>
      </c>
      <c r="R42" s="2851" t="s">
        <v>2330</v>
      </c>
      <c r="S42" s="2949"/>
      <c r="T42" s="2949"/>
      <c r="U42" s="2834"/>
      <c r="V42" s="2842"/>
    </row>
    <row r="43" spans="1:23" ht="13.2" customHeight="1">
      <c r="A43" s="2846"/>
      <c r="B43" s="2846"/>
      <c r="C43" s="2846"/>
      <c r="D43" s="2846"/>
      <c r="E43" s="2846"/>
      <c r="F43" s="2846"/>
      <c r="I43" s="2829"/>
      <c r="J43" s="3799"/>
      <c r="K43" s="2952"/>
      <c r="L43" s="2953"/>
      <c r="M43" s="2954"/>
      <c r="N43" s="2877"/>
      <c r="O43" s="2877"/>
      <c r="P43" s="2877"/>
      <c r="Q43" s="2941"/>
      <c r="R43" s="2912">
        <f>ROUND(O43*N43*P43*(1-Q43)/10000,0)</f>
        <v>0</v>
      </c>
      <c r="S43" s="2915"/>
      <c r="T43" s="2834"/>
      <c r="V43" s="2995"/>
      <c r="W43" s="2996"/>
    </row>
    <row r="44" spans="1:23" ht="13.2" customHeight="1" thickBot="1">
      <c r="J44" s="2957">
        <v>6</v>
      </c>
      <c r="K44" s="2958" t="s">
        <v>2408</v>
      </c>
      <c r="L44" s="2997" t="s">
        <v>2409</v>
      </c>
      <c r="M44" s="2960"/>
      <c r="N44" s="2997" t="s">
        <v>2410</v>
      </c>
      <c r="O44" s="2960"/>
      <c r="P44" s="2997" t="s">
        <v>2411</v>
      </c>
      <c r="Q44" s="2962">
        <v>1.4999999999999999E-2</v>
      </c>
      <c r="R44" s="2963"/>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1656</v>
      </c>
      <c r="B1" s="1866"/>
      <c r="C1" s="1866"/>
      <c r="D1" s="1866"/>
      <c r="E1" s="1867"/>
      <c r="F1" s="2700"/>
      <c r="G1" s="1487"/>
      <c r="H1" s="1487"/>
      <c r="I1" s="1487"/>
      <c r="J1" s="1487"/>
      <c r="K1" s="1487"/>
      <c r="L1" s="1487"/>
      <c r="M1" s="1487"/>
      <c r="N1" s="1487"/>
      <c r="O1" s="1487"/>
      <c r="P1" s="1487"/>
      <c r="Q1" s="1487"/>
      <c r="R1" s="1487"/>
      <c r="S1" s="1487"/>
    </row>
    <row r="2" spans="1:22" ht="15.6">
      <c r="A2" s="1868" t="s">
        <v>1460</v>
      </c>
      <c r="B2" s="1869">
        <f ca="1">SUMIF(B6:B13,"&lt;&gt;#ref!",B6:B13)</f>
        <v>123180</v>
      </c>
      <c r="C2" s="1870" t="s">
        <v>1649</v>
      </c>
      <c r="D2" s="1871" t="s">
        <v>1650</v>
      </c>
      <c r="E2" s="2600">
        <f>SUM(E6:E13)</f>
        <v>48491.65</v>
      </c>
      <c r="F2" s="2700"/>
      <c r="G2" s="1487"/>
      <c r="H2" s="1487"/>
      <c r="I2" s="1487"/>
      <c r="J2" s="1487"/>
      <c r="K2" s="1487"/>
      <c r="L2" s="1487"/>
      <c r="M2" s="1487"/>
      <c r="N2" s="1487"/>
      <c r="O2" s="1487"/>
      <c r="P2" s="1487"/>
      <c r="Q2" s="1487"/>
      <c r="R2" s="1487"/>
      <c r="S2" s="1487"/>
    </row>
    <row r="3" spans="1:22" ht="15.6">
      <c r="A3" s="1868" t="s">
        <v>686</v>
      </c>
      <c r="B3" s="2594">
        <f ca="1">ROUND(B2*10000/E2,0)</f>
        <v>25402</v>
      </c>
      <c r="C3" s="1870" t="s">
        <v>1657</v>
      </c>
      <c r="D3" s="2702"/>
      <c r="E3" s="2704"/>
      <c r="F3" s="2700"/>
      <c r="G3" s="1487"/>
      <c r="H3" s="1487"/>
      <c r="I3" s="1487"/>
      <c r="J3" s="1487"/>
      <c r="K3" s="1487"/>
      <c r="L3" s="1487"/>
      <c r="M3" s="1487"/>
      <c r="N3" s="1487"/>
      <c r="O3" s="1487"/>
      <c r="P3" s="1487"/>
      <c r="Q3" s="1487"/>
      <c r="R3" s="1487"/>
      <c r="S3" s="1487"/>
    </row>
    <row r="4" spans="1:22" ht="15.6">
      <c r="A4" s="2705"/>
      <c r="B4" s="2702"/>
      <c r="C4" s="2702"/>
      <c r="D4" s="2702"/>
      <c r="E4" s="2704"/>
      <c r="F4" s="2700"/>
      <c r="G4" s="1487"/>
      <c r="H4" s="1487"/>
      <c r="I4" s="1487"/>
      <c r="J4" s="1487"/>
      <c r="K4" s="1487"/>
      <c r="L4" s="1487"/>
      <c r="M4" s="1487"/>
      <c r="N4" s="1487"/>
      <c r="O4" s="1487"/>
      <c r="P4" s="1487"/>
      <c r="Q4" s="1487"/>
      <c r="R4" s="1487"/>
      <c r="S4" s="1487"/>
    </row>
    <row r="5" spans="1:22" ht="14.4">
      <c r="A5" s="2596" t="s">
        <v>1651</v>
      </c>
      <c r="B5" s="3800" t="s">
        <v>1652</v>
      </c>
      <c r="C5" s="3801"/>
      <c r="D5" s="2701"/>
      <c r="E5" s="1872" t="s">
        <v>1653</v>
      </c>
      <c r="F5" s="1873" t="s">
        <v>1654</v>
      </c>
      <c r="G5" s="1487"/>
      <c r="H5" s="1487"/>
      <c r="I5" s="1487"/>
      <c r="J5" s="1487"/>
      <c r="K5" s="1487"/>
      <c r="L5" s="1487"/>
      <c r="M5" s="1487"/>
      <c r="N5" s="1487"/>
      <c r="O5" s="1487"/>
      <c r="P5" s="1487"/>
      <c r="Q5" s="1487"/>
      <c r="R5" s="1487"/>
      <c r="S5" s="1487"/>
    </row>
    <row r="6" spans="1:22" ht="14.4">
      <c r="A6" s="2597" t="str">
        <f>'数据-取费表'!AN6</f>
        <v>收益法</v>
      </c>
      <c r="B6" s="2595">
        <f ca="1">IF(F6="是",'数据-取费表'!AO6,0)</f>
        <v>123180</v>
      </c>
      <c r="C6" s="1870" t="s">
        <v>1649</v>
      </c>
      <c r="D6" s="2702"/>
      <c r="E6" s="2599">
        <f>IF(OR(A6=0,F6="否"),0,'数据-取费表'!K6+'数据-取费表'!S6)</f>
        <v>48491.65</v>
      </c>
      <c r="F6" s="1874" t="s">
        <v>1655</v>
      </c>
      <c r="G6" s="1487"/>
      <c r="H6" s="1487"/>
      <c r="I6" s="1487"/>
      <c r="J6" s="1487"/>
      <c r="K6" s="1487"/>
      <c r="L6" s="1487"/>
      <c r="M6" s="1487"/>
      <c r="N6" s="1487"/>
      <c r="O6" s="1487"/>
      <c r="P6" s="1487"/>
      <c r="Q6" s="1487"/>
      <c r="R6" s="1487"/>
      <c r="S6" s="1487"/>
    </row>
    <row r="7" spans="1:22" ht="14.4">
      <c r="A7" s="2597">
        <f>'数据-取费表'!AN7</f>
        <v>0</v>
      </c>
      <c r="B7" s="2595" t="e">
        <f ca="1">IF(F7="是",'数据-取费表'!AO7,0)</f>
        <v>#REF!</v>
      </c>
      <c r="C7" s="1870" t="s">
        <v>1649</v>
      </c>
      <c r="D7" s="2702"/>
      <c r="E7" s="2599">
        <f>IF(OR(A7=0,F7="否"),0,'数据-取费表'!K7+'数据-取费表'!S7)</f>
        <v>0</v>
      </c>
      <c r="F7" s="1874" t="s">
        <v>1655</v>
      </c>
      <c r="G7" s="1487"/>
      <c r="H7" s="1487"/>
      <c r="I7" s="1487"/>
      <c r="J7" s="1487"/>
      <c r="K7" s="1487"/>
      <c r="L7" s="1487"/>
      <c r="M7" s="1487"/>
      <c r="N7" s="1487"/>
      <c r="O7" s="1487"/>
      <c r="P7" s="1487"/>
      <c r="Q7" s="1487"/>
      <c r="R7" s="1487"/>
      <c r="S7" s="1487"/>
    </row>
    <row r="8" spans="1:22" ht="14.4">
      <c r="A8" s="2597">
        <f>'数据-取费表'!AN8</f>
        <v>0</v>
      </c>
      <c r="B8" s="2595" t="e">
        <f ca="1">IF(F8="是",'数据-取费表'!AO8,0)</f>
        <v>#REF!</v>
      </c>
      <c r="C8" s="1870" t="s">
        <v>1649</v>
      </c>
      <c r="D8" s="2702"/>
      <c r="E8" s="2599">
        <f>IF(OR(A8=0,F8="否"),0,'数据-取费表'!K8+'数据-取费表'!S8)</f>
        <v>0</v>
      </c>
      <c r="F8" s="1874" t="s">
        <v>1655</v>
      </c>
      <c r="G8" s="1487"/>
      <c r="H8" s="1487"/>
      <c r="I8" s="1487"/>
      <c r="J8" s="1487"/>
      <c r="K8" s="1487"/>
      <c r="L8" s="1487"/>
      <c r="M8" s="1487"/>
      <c r="N8" s="1487"/>
      <c r="O8" s="1487"/>
      <c r="P8" s="1487"/>
      <c r="Q8" s="1487"/>
      <c r="R8" s="1487"/>
      <c r="S8" s="1487"/>
    </row>
    <row r="9" spans="1:22" ht="14.4">
      <c r="A9" s="2597">
        <f>'数据-取费表'!AN9</f>
        <v>0</v>
      </c>
      <c r="B9" s="2595" t="e">
        <f ca="1">IF(F9="是",'数据-取费表'!AO9,0)</f>
        <v>#REF!</v>
      </c>
      <c r="C9" s="1870" t="s">
        <v>1649</v>
      </c>
      <c r="D9" s="2702"/>
      <c r="E9" s="2599">
        <f>IF(OR(A9=0,F9="否"),0,'数据-取费表'!K9+'数据-取费表'!S9)</f>
        <v>0</v>
      </c>
      <c r="F9" s="1874" t="s">
        <v>1655</v>
      </c>
      <c r="G9" s="1487"/>
      <c r="H9" s="1487"/>
      <c r="I9" s="1487"/>
      <c r="J9" s="1487"/>
      <c r="K9" s="1487"/>
      <c r="L9" s="1487"/>
      <c r="M9" s="1487"/>
      <c r="N9" s="1487"/>
      <c r="O9" s="1487"/>
      <c r="P9" s="1487"/>
      <c r="Q9" s="1487"/>
      <c r="R9" s="1487"/>
      <c r="S9" s="1487"/>
    </row>
    <row r="10" spans="1:22" ht="14.4">
      <c r="A10" s="2597">
        <f>'数据-取费表'!AN10</f>
        <v>0</v>
      </c>
      <c r="B10" s="2595" t="e">
        <f ca="1">IF(F10="是",'数据-取费表'!AO10,0)</f>
        <v>#REF!</v>
      </c>
      <c r="C10" s="1870" t="s">
        <v>1649</v>
      </c>
      <c r="D10" s="2702"/>
      <c r="E10" s="2599">
        <f>IF(OR(A10=0,F10="否"),0,'数据-取费表'!K10+'数据-取费表'!S10)</f>
        <v>0</v>
      </c>
      <c r="F10" s="1874" t="s">
        <v>1655</v>
      </c>
      <c r="G10" s="1487"/>
      <c r="H10" s="1487"/>
      <c r="I10" s="1487"/>
      <c r="J10" s="1487"/>
      <c r="K10" s="1487"/>
      <c r="L10" s="1487"/>
      <c r="M10" s="1487"/>
      <c r="N10" s="1487"/>
      <c r="O10" s="1487"/>
      <c r="P10" s="1487"/>
      <c r="Q10" s="1487"/>
      <c r="R10" s="1487"/>
      <c r="S10" s="1487"/>
    </row>
    <row r="11" spans="1:22" ht="14.4">
      <c r="A11" s="2597">
        <f>'数据-取费表'!AN11</f>
        <v>0</v>
      </c>
      <c r="B11" s="2595" t="e">
        <f ca="1">IF(F11="是",'数据-取费表'!AO11,0)</f>
        <v>#REF!</v>
      </c>
      <c r="C11" s="1870" t="s">
        <v>1649</v>
      </c>
      <c r="D11" s="2702"/>
      <c r="E11" s="2599">
        <f>IF(OR(A11=0,F11="否"),0,'数据-取费表'!K11+'数据-取费表'!S11)</f>
        <v>0</v>
      </c>
      <c r="F11" s="1874" t="s">
        <v>1655</v>
      </c>
      <c r="G11" s="1487"/>
      <c r="H11" s="1487"/>
      <c r="I11" s="1487"/>
      <c r="J11" s="1487"/>
      <c r="K11" s="1487"/>
      <c r="L11" s="1487"/>
      <c r="M11" s="1487"/>
      <c r="N11" s="1487"/>
      <c r="O11" s="1487"/>
      <c r="P11" s="1487"/>
      <c r="Q11" s="1487"/>
      <c r="R11" s="1487"/>
      <c r="S11" s="1487"/>
    </row>
    <row r="12" spans="1:22" ht="14.4">
      <c r="A12" s="2597">
        <f>'数据-取费表'!AN12</f>
        <v>0</v>
      </c>
      <c r="B12" s="2595" t="e">
        <f ca="1">IF(F12="是",'数据-取费表'!AO12,0)</f>
        <v>#REF!</v>
      </c>
      <c r="C12" s="1870" t="s">
        <v>1649</v>
      </c>
      <c r="D12" s="2702"/>
      <c r="E12" s="2599">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8">
        <f>'数据-取费表'!AN13</f>
        <v>0</v>
      </c>
      <c r="B13" s="2595" t="e">
        <f ca="1">IF(F13="是",'数据-取费表'!AO13,0)</f>
        <v>#REF!</v>
      </c>
      <c r="C13" s="1875" t="s">
        <v>1649</v>
      </c>
      <c r="D13" s="2703"/>
      <c r="E13" s="2599">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建设银行：</v>
      </c>
    </row>
    <row r="4" spans="1:1" ht="34.799999999999997">
      <c r="A4" s="1478" t="str">
        <f>"受贵公司委托，我公司对"&amp;项目基本情况!S1&amp;"进行了预评估。"</f>
        <v>受贵公司委托，我公司对北京市通州区新华东街289号院2号楼-3至29层101等7套房地产市场价值进行了预评估。</v>
      </c>
    </row>
    <row r="5" spans="1:1" ht="17.399999999999999">
      <c r="A5" s="1479" t="s">
        <v>899</v>
      </c>
    </row>
    <row r="6" spans="1:1" ht="17.399999999999999">
      <c r="A6" s="1480" t="s">
        <v>900</v>
      </c>
    </row>
    <row r="7" spans="1:1" ht="69.59999999999999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-3至29层101等7套房地产，为北京东部绿城置业有限公司所有。根据《国有土地使用证》[]，估价对象（分摊）出让国有建设用地使用权面积为10479.05平方米，建筑面积为48491.65平方米。</v>
      </c>
    </row>
    <row r="8" spans="1:1" ht="54.6">
      <c r="A8" s="1481" t="s">
        <v>901</v>
      </c>
    </row>
    <row r="9" spans="1:1" ht="17.399999999999999">
      <c r="A9" s="1480" t="s">
        <v>902</v>
      </c>
    </row>
    <row r="10" spans="1:1" ht="69.59999999999999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-3至29层101等7套房地产,为北京东部绿城置业有限公司开发建设的商业项目，该项目尚在开发建设中。根据《国有土地使用证》[]，估价对象（分摊）出让国有建设用地使用权面积为10479.05平方米，规划建筑面积为48491.65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北京东部绿城置业有限公司拟使用北京市通州区新华东街289号院2号楼-3至29层101等7套房地产作为抵押担保物，向建设银行办理贷款手续。建设银行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2023年8月8日（评估专业人员实地查勘之日）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8" t="str">
        <f>IF(项目基本情况!B9="房地产市场价值","——",IF(项目基本情况!E8="房地产抵押价值",定义!C54,IF(项目基本情况!E8="已注销",定义!C55,定义!C56)))</f>
        <v>——</v>
      </c>
    </row>
    <row r="21" spans="1:1" ht="17.399999999999999">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8" t="str">
        <f>IF(项目基本情况!B9="房地产市场价值","——",IF(项目基本情况!E9="——","",定义!C57))</f>
        <v>——</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876" t="s">
        <v>1659</v>
      </c>
      <c r="C1" s="1236" t="s">
        <v>1660</v>
      </c>
      <c r="D1" s="1223"/>
      <c r="E1" s="3419"/>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0"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48491.65</v>
      </c>
      <c r="E3" s="906"/>
      <c r="F3" s="1886"/>
      <c r="G3" s="906"/>
      <c r="H3" s="906"/>
      <c r="I3" s="906"/>
      <c r="J3" s="906"/>
      <c r="K3" s="1882"/>
      <c r="L3" s="2706"/>
      <c r="M3" s="2707"/>
      <c r="N3" s="2707"/>
      <c r="O3" s="2707"/>
      <c r="P3" s="1883"/>
      <c r="Q3" s="1884"/>
      <c r="R3" s="1884"/>
      <c r="S3" s="1884"/>
      <c r="T3" s="1884"/>
      <c r="U3" s="1884"/>
      <c r="V3" s="1884"/>
      <c r="W3" s="1884"/>
      <c r="X3" s="1884"/>
      <c r="Y3" s="1884"/>
      <c r="Z3" s="1884"/>
      <c r="AA3" s="1884"/>
      <c r="AB3" s="1884"/>
      <c r="AC3" s="1060"/>
    </row>
    <row r="4" spans="1:29" ht="14.4">
      <c r="A4" s="355" t="s">
        <v>1664</v>
      </c>
      <c r="B4" s="356"/>
      <c r="C4" s="3757" t="s">
        <v>1665</v>
      </c>
      <c r="D4" s="3758"/>
      <c r="E4" s="3759" t="s">
        <v>1666</v>
      </c>
      <c r="F4" s="3760"/>
      <c r="G4" s="3757" t="s">
        <v>1667</v>
      </c>
      <c r="H4" s="3758"/>
      <c r="I4" s="3757" t="s">
        <v>1668</v>
      </c>
      <c r="J4" s="3758"/>
      <c r="K4" s="1887" t="s">
        <v>1669</v>
      </c>
      <c r="L4" s="2708"/>
      <c r="M4" s="2709"/>
      <c r="N4" s="2709"/>
      <c r="O4" s="2709"/>
      <c r="P4" s="3761" t="s">
        <v>1670</v>
      </c>
      <c r="Q4" s="3762"/>
      <c r="R4" s="3744" t="s">
        <v>1666</v>
      </c>
      <c r="S4" s="3745"/>
      <c r="T4" s="3744" t="s">
        <v>1667</v>
      </c>
      <c r="U4" s="3745"/>
      <c r="V4" s="3769" t="s">
        <v>1668</v>
      </c>
      <c r="W4" s="3769"/>
      <c r="X4" s="1353"/>
      <c r="Y4" s="3744" t="s">
        <v>1670</v>
      </c>
      <c r="Z4" s="3745"/>
      <c r="AA4" s="3739" t="s">
        <v>1666</v>
      </c>
      <c r="AB4" s="3739" t="s">
        <v>1667</v>
      </c>
      <c r="AC4" s="3739" t="s">
        <v>1668</v>
      </c>
    </row>
    <row r="5" spans="1:29">
      <c r="A5" s="358"/>
      <c r="B5" s="359"/>
      <c r="C5" s="3750" t="s">
        <v>1671</v>
      </c>
      <c r="D5" s="3751"/>
      <c r="E5" s="3748" t="s">
        <v>1672</v>
      </c>
      <c r="F5" s="3749"/>
      <c r="G5" s="3750" t="s">
        <v>1673</v>
      </c>
      <c r="H5" s="3751"/>
      <c r="I5" s="3750" t="s">
        <v>1674</v>
      </c>
      <c r="J5" s="3751"/>
      <c r="K5" s="1888"/>
      <c r="L5" s="2708"/>
      <c r="M5" s="2709"/>
      <c r="N5" s="2709"/>
      <c r="O5" s="2709"/>
      <c r="P5" s="3763"/>
      <c r="Q5" s="3764"/>
      <c r="R5" s="3746"/>
      <c r="S5" s="3747"/>
      <c r="T5" s="3746"/>
      <c r="U5" s="3747"/>
      <c r="V5" s="3769"/>
      <c r="W5" s="3769"/>
      <c r="X5" s="1353"/>
      <c r="Y5" s="3746"/>
      <c r="Z5" s="3747"/>
      <c r="AA5" s="3740"/>
      <c r="AB5" s="3740"/>
      <c r="AC5" s="3740"/>
    </row>
    <row r="6" spans="1:29" ht="15" thickBot="1">
      <c r="A6" s="360"/>
      <c r="B6" s="361"/>
      <c r="C6" s="3752" t="s">
        <v>1675</v>
      </c>
      <c r="D6" s="3753"/>
      <c r="E6" s="3754" t="s">
        <v>1675</v>
      </c>
      <c r="F6" s="3755"/>
      <c r="G6" s="3752" t="s">
        <v>1675</v>
      </c>
      <c r="H6" s="3753"/>
      <c r="I6" s="3752" t="s">
        <v>1675</v>
      </c>
      <c r="J6" s="3753"/>
      <c r="K6" s="1888" t="s">
        <v>1676</v>
      </c>
      <c r="L6" s="2708"/>
      <c r="M6" s="2709"/>
      <c r="N6" s="2709"/>
      <c r="O6" s="2709"/>
      <c r="P6" s="3765"/>
      <c r="Q6" s="3766"/>
      <c r="R6" s="3746"/>
      <c r="S6" s="3747"/>
      <c r="T6" s="3767"/>
      <c r="U6" s="3768"/>
      <c r="V6" s="3769"/>
      <c r="W6" s="3769"/>
      <c r="X6" s="1353"/>
      <c r="Y6" s="3767"/>
      <c r="Z6" s="3768"/>
      <c r="AA6" s="3741"/>
      <c r="AB6" s="3741"/>
      <c r="AC6" s="3741"/>
    </row>
    <row r="7" spans="1:29" s="108" customFormat="1" ht="15" thickBot="1">
      <c r="A7" s="362" t="s">
        <v>1677</v>
      </c>
      <c r="B7" s="363"/>
      <c r="C7" s="364">
        <f>'数据-取费表'!B2</f>
        <v>45146</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42" t="s">
        <v>1678</v>
      </c>
      <c r="Q7" s="3770"/>
      <c r="R7" s="700" t="s">
        <v>20</v>
      </c>
      <c r="S7" s="701">
        <f t="shared" ref="S7:S15" si="0">F7</f>
        <v>0</v>
      </c>
      <c r="T7" s="700" t="s">
        <v>20</v>
      </c>
      <c r="U7" s="701">
        <f t="shared" ref="U7:U15" si="1">H7</f>
        <v>0</v>
      </c>
      <c r="V7" s="700" t="s">
        <v>20</v>
      </c>
      <c r="W7" s="701">
        <f t="shared" ref="W7:W15" si="2">J7</f>
        <v>0</v>
      </c>
      <c r="X7" s="702"/>
      <c r="Y7" s="3742" t="s">
        <v>1678</v>
      </c>
      <c r="Z7" s="3743"/>
      <c r="AA7" s="703" t="e">
        <f>D7/F7</f>
        <v>#DIV/0!</v>
      </c>
      <c r="AB7" s="703" t="e">
        <f>D7/H7</f>
        <v>#DIV/0!</v>
      </c>
      <c r="AC7" s="703" t="e">
        <f>D7/J7</f>
        <v>#DIV/0!</v>
      </c>
    </row>
    <row r="8" spans="1:29" s="108" customFormat="1" ht="15" thickBot="1">
      <c r="A8" s="362" t="s">
        <v>1679</v>
      </c>
      <c r="B8" s="363"/>
      <c r="C8" s="368" t="s">
        <v>3396</v>
      </c>
      <c r="D8" s="365">
        <v>100</v>
      </c>
      <c r="E8" s="1890" t="s">
        <v>3408</v>
      </c>
      <c r="F8" s="367">
        <f>SUMIF(61:61,E8,62:62)-SUMIF(61:61,C8,62:62)+100</f>
        <v>102</v>
      </c>
      <c r="G8" s="1890" t="s">
        <v>3408</v>
      </c>
      <c r="H8" s="365">
        <f>SUMIF(61:61,G8,62:62)-SUMIF(61:61,C8,62:62)+100</f>
        <v>102</v>
      </c>
      <c r="I8" s="1890" t="s">
        <v>3408</v>
      </c>
      <c r="J8" s="365">
        <f>SUMIF(61:61,I8,62:62)-SUMIF(61:61,C8,62:62)+100</f>
        <v>102</v>
      </c>
      <c r="K8" s="1889"/>
      <c r="L8" s="2710"/>
      <c r="M8" s="2711"/>
      <c r="N8" s="2711"/>
      <c r="O8" s="2711"/>
      <c r="P8" s="3742" t="s">
        <v>1681</v>
      </c>
      <c r="Q8" s="3743"/>
      <c r="R8" s="700" t="s">
        <v>20</v>
      </c>
      <c r="S8" s="701">
        <f t="shared" si="0"/>
        <v>102</v>
      </c>
      <c r="T8" s="700" t="s">
        <v>20</v>
      </c>
      <c r="U8" s="701">
        <f t="shared" si="1"/>
        <v>102</v>
      </c>
      <c r="V8" s="700" t="s">
        <v>20</v>
      </c>
      <c r="W8" s="701">
        <f t="shared" si="2"/>
        <v>102</v>
      </c>
      <c r="X8" s="702"/>
      <c r="Y8" s="3742" t="s">
        <v>1681</v>
      </c>
      <c r="Z8" s="3743"/>
      <c r="AA8" s="703">
        <f t="shared" ref="AA8:AA19" si="3">D8/F8</f>
        <v>0.98039215686274506</v>
      </c>
      <c r="AB8" s="703">
        <f t="shared" ref="AB8:AB19" si="4">D8/H8</f>
        <v>0.98039215686274506</v>
      </c>
      <c r="AC8" s="703">
        <f t="shared" ref="AC8:AC19" si="5">D8/J8</f>
        <v>0.98039215686274506</v>
      </c>
    </row>
    <row r="9" spans="1:29" s="108" customFormat="1" ht="14.4">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80" t="s">
        <v>1684</v>
      </c>
      <c r="Q9" s="1341" t="str">
        <f t="shared" ref="Q9:Q15" si="6">B9</f>
        <v>用途</v>
      </c>
      <c r="R9" s="700" t="s">
        <v>14</v>
      </c>
      <c r="S9" s="701">
        <f t="shared" si="0"/>
        <v>100</v>
      </c>
      <c r="T9" s="700" t="s">
        <v>14</v>
      </c>
      <c r="U9" s="701">
        <f t="shared" si="1"/>
        <v>100</v>
      </c>
      <c r="V9" s="700" t="s">
        <v>14</v>
      </c>
      <c r="W9" s="701">
        <f t="shared" si="2"/>
        <v>100</v>
      </c>
      <c r="X9" s="702"/>
      <c r="Y9" s="3688" t="s">
        <v>1685</v>
      </c>
      <c r="Z9" s="52" t="str">
        <f t="shared" ref="Z9:Z15" si="7">Q9</f>
        <v>用途</v>
      </c>
      <c r="AA9" s="703">
        <f t="shared" si="3"/>
        <v>1</v>
      </c>
      <c r="AB9" s="703">
        <f t="shared" si="4"/>
        <v>1</v>
      </c>
      <c r="AC9" s="703">
        <f t="shared" si="5"/>
        <v>1</v>
      </c>
    </row>
    <row r="10" spans="1:29" s="378" customFormat="1" ht="28.8">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9"/>
      <c r="L10" s="2712"/>
      <c r="M10" s="2713"/>
      <c r="N10" s="2713"/>
      <c r="O10" s="2713"/>
      <c r="P10" s="3780"/>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780"/>
      <c r="Q11" s="1341" t="str">
        <f t="shared" si="6"/>
        <v>容积率</v>
      </c>
      <c r="R11" s="700" t="s">
        <v>18</v>
      </c>
      <c r="S11" s="701">
        <f t="shared" si="0"/>
        <v>100</v>
      </c>
      <c r="T11" s="700" t="s">
        <v>18</v>
      </c>
      <c r="U11" s="701">
        <f t="shared" si="1"/>
        <v>100</v>
      </c>
      <c r="V11" s="700" t="s">
        <v>18</v>
      </c>
      <c r="W11" s="701">
        <f t="shared" si="2"/>
        <v>100</v>
      </c>
      <c r="X11" s="702"/>
      <c r="Y11" s="3688"/>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80"/>
      <c r="Q12" s="1341">
        <f t="shared" si="6"/>
        <v>111</v>
      </c>
      <c r="R12" s="700" t="s">
        <v>18</v>
      </c>
      <c r="S12" s="701">
        <f t="shared" si="0"/>
        <v>100</v>
      </c>
      <c r="T12" s="700" t="s">
        <v>18</v>
      </c>
      <c r="U12" s="701">
        <f t="shared" si="1"/>
        <v>100</v>
      </c>
      <c r="V12" s="700" t="s">
        <v>18</v>
      </c>
      <c r="W12" s="701">
        <f t="shared" si="2"/>
        <v>100</v>
      </c>
      <c r="X12" s="702"/>
      <c r="Y12" s="368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80"/>
      <c r="Q13" s="1341">
        <f t="shared" si="6"/>
        <v>111</v>
      </c>
      <c r="R13" s="700" t="s">
        <v>18</v>
      </c>
      <c r="S13" s="701">
        <f t="shared" si="0"/>
        <v>100</v>
      </c>
      <c r="T13" s="700" t="s">
        <v>18</v>
      </c>
      <c r="U13" s="701">
        <f t="shared" si="1"/>
        <v>100</v>
      </c>
      <c r="V13" s="700" t="s">
        <v>18</v>
      </c>
      <c r="W13" s="701">
        <f t="shared" si="2"/>
        <v>100</v>
      </c>
      <c r="X13" s="702"/>
      <c r="Y13" s="3688"/>
      <c r="Z13" s="52">
        <f t="shared" si="7"/>
        <v>111</v>
      </c>
      <c r="AA13" s="703">
        <f t="shared" si="3"/>
        <v>1</v>
      </c>
      <c r="AB13" s="703">
        <f t="shared" si="4"/>
        <v>1</v>
      </c>
      <c r="AC13" s="703">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80"/>
      <c r="Q14" s="1341">
        <f t="shared" si="6"/>
        <v>111</v>
      </c>
      <c r="R14" s="700" t="s">
        <v>18</v>
      </c>
      <c r="S14" s="701">
        <f t="shared" si="0"/>
        <v>100</v>
      </c>
      <c r="T14" s="700" t="s">
        <v>18</v>
      </c>
      <c r="U14" s="701">
        <f t="shared" si="1"/>
        <v>100</v>
      </c>
      <c r="V14" s="700" t="s">
        <v>18</v>
      </c>
      <c r="W14" s="701">
        <f t="shared" si="2"/>
        <v>100</v>
      </c>
      <c r="X14" s="702"/>
      <c r="Y14" s="3688"/>
      <c r="Z14" s="52">
        <f t="shared" si="7"/>
        <v>111</v>
      </c>
      <c r="AA14" s="703">
        <f t="shared" si="3"/>
        <v>1</v>
      </c>
      <c r="AB14" s="703">
        <f t="shared" si="4"/>
        <v>1</v>
      </c>
      <c r="AC14" s="703">
        <f t="shared" si="5"/>
        <v>1</v>
      </c>
    </row>
    <row r="15" spans="1:29" ht="15">
      <c r="A15" s="391" t="s">
        <v>1688</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808" t="s">
        <v>1689</v>
      </c>
      <c r="Q15" s="1350" t="str">
        <f t="shared" si="6"/>
        <v>居住社区成熟度</v>
      </c>
      <c r="R15" s="704" t="s">
        <v>18</v>
      </c>
      <c r="S15" s="705">
        <f t="shared" si="0"/>
        <v>2</v>
      </c>
      <c r="T15" s="704" t="s">
        <v>18</v>
      </c>
      <c r="U15" s="705">
        <f t="shared" si="1"/>
        <v>2</v>
      </c>
      <c r="V15" s="704" t="s">
        <v>18</v>
      </c>
      <c r="W15" s="705">
        <f t="shared" si="2"/>
        <v>2</v>
      </c>
      <c r="X15" s="1353"/>
      <c r="Y15" s="3771" t="s">
        <v>1689</v>
      </c>
      <c r="Z15" s="1354" t="str">
        <f t="shared" si="7"/>
        <v>居住社区成熟度</v>
      </c>
      <c r="AA15" s="1351">
        <f t="shared" si="3"/>
        <v>50</v>
      </c>
      <c r="AB15" s="1351">
        <f t="shared" si="4"/>
        <v>50</v>
      </c>
      <c r="AC15" s="1351">
        <f t="shared" si="5"/>
        <v>50</v>
      </c>
    </row>
    <row r="16" spans="1:29" ht="15">
      <c r="A16" s="379"/>
      <c r="B16" s="397"/>
      <c r="C16" s="398" t="s">
        <v>3389</v>
      </c>
      <c r="D16" s="399"/>
      <c r="E16" s="1895"/>
      <c r="F16" s="399"/>
      <c r="G16" s="1896"/>
      <c r="H16" s="401"/>
      <c r="I16" s="1896"/>
      <c r="J16" s="399"/>
      <c r="K16" s="1897"/>
      <c r="L16" s="2715"/>
      <c r="M16" s="2709"/>
      <c r="N16" s="2709"/>
      <c r="O16" s="2709"/>
      <c r="P16" s="3809"/>
      <c r="Q16" s="1350"/>
      <c r="R16" s="704"/>
      <c r="S16" s="705"/>
      <c r="T16" s="704"/>
      <c r="U16" s="705"/>
      <c r="V16" s="704"/>
      <c r="W16" s="705"/>
      <c r="X16" s="1353"/>
      <c r="Y16" s="3772"/>
      <c r="Z16" s="1354"/>
      <c r="AA16" s="1351">
        <v>1</v>
      </c>
      <c r="AB16" s="1351">
        <v>1</v>
      </c>
      <c r="AC16" s="1351">
        <v>1</v>
      </c>
    </row>
    <row r="17" spans="1:29" ht="15">
      <c r="A17" s="379"/>
      <c r="B17" s="402" t="s">
        <v>1257</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809"/>
      <c r="Q17" s="1350" t="str">
        <f>B17</f>
        <v>交通便捷度</v>
      </c>
      <c r="R17" s="704" t="s">
        <v>18</v>
      </c>
      <c r="S17" s="705">
        <f>F17</f>
        <v>2</v>
      </c>
      <c r="T17" s="704" t="s">
        <v>18</v>
      </c>
      <c r="U17" s="705">
        <f>H17</f>
        <v>2</v>
      </c>
      <c r="V17" s="704" t="s">
        <v>18</v>
      </c>
      <c r="W17" s="705">
        <f>J17</f>
        <v>2</v>
      </c>
      <c r="X17" s="1353"/>
      <c r="Y17" s="3772"/>
      <c r="Z17" s="1354" t="str">
        <f>Q17</f>
        <v>交通便捷度</v>
      </c>
      <c r="AA17" s="1351">
        <f t="shared" si="3"/>
        <v>50</v>
      </c>
      <c r="AB17" s="1351">
        <f t="shared" si="4"/>
        <v>50</v>
      </c>
      <c r="AC17" s="1351">
        <f t="shared" si="5"/>
        <v>50</v>
      </c>
    </row>
    <row r="18" spans="1:29" ht="15">
      <c r="A18" s="379"/>
      <c r="B18" s="407"/>
      <c r="C18" s="1899" t="s">
        <v>3389</v>
      </c>
      <c r="D18" s="401"/>
      <c r="E18" s="1900"/>
      <c r="F18" s="401"/>
      <c r="G18" s="1901"/>
      <c r="H18" s="399"/>
      <c r="I18" s="1901"/>
      <c r="J18" s="399"/>
      <c r="K18" s="1897"/>
      <c r="L18" s="2715"/>
      <c r="M18" s="2709"/>
      <c r="N18" s="2709"/>
      <c r="O18" s="2709"/>
      <c r="P18" s="3809"/>
      <c r="Q18" s="1350"/>
      <c r="R18" s="704"/>
      <c r="S18" s="705"/>
      <c r="T18" s="704"/>
      <c r="U18" s="705"/>
      <c r="V18" s="704"/>
      <c r="W18" s="705"/>
      <c r="X18" s="1353"/>
      <c r="Y18" s="3772"/>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809"/>
      <c r="Q19" s="1350" t="str">
        <f>B19</f>
        <v>公共配套设施</v>
      </c>
      <c r="R19" s="704" t="s">
        <v>18</v>
      </c>
      <c r="S19" s="705">
        <f>F19</f>
        <v>2</v>
      </c>
      <c r="T19" s="704" t="s">
        <v>18</v>
      </c>
      <c r="U19" s="705">
        <f>H19</f>
        <v>2</v>
      </c>
      <c r="V19" s="704" t="s">
        <v>18</v>
      </c>
      <c r="W19" s="705">
        <f>J19</f>
        <v>2</v>
      </c>
      <c r="X19" s="1353"/>
      <c r="Y19" s="3772"/>
      <c r="Z19" s="1354" t="str">
        <f>Q19</f>
        <v>公共配套设施</v>
      </c>
      <c r="AA19" s="1351">
        <f t="shared" si="3"/>
        <v>50</v>
      </c>
      <c r="AB19" s="1351">
        <f t="shared" si="4"/>
        <v>50</v>
      </c>
      <c r="AC19" s="1351">
        <f t="shared" si="5"/>
        <v>50</v>
      </c>
    </row>
    <row r="20" spans="1:29" ht="15">
      <c r="A20" s="379"/>
      <c r="B20" s="407"/>
      <c r="C20" s="398" t="s">
        <v>3389</v>
      </c>
      <c r="D20" s="399"/>
      <c r="E20" s="1895"/>
      <c r="F20" s="399"/>
      <c r="G20" s="1896"/>
      <c r="H20" s="399"/>
      <c r="I20" s="1896"/>
      <c r="J20" s="399"/>
      <c r="K20" s="1897"/>
      <c r="L20" s="2715"/>
      <c r="M20" s="2709"/>
      <c r="N20" s="2709"/>
      <c r="O20" s="2709"/>
      <c r="P20" s="3809"/>
      <c r="Q20" s="1350"/>
      <c r="R20" s="704"/>
      <c r="S20" s="705"/>
      <c r="T20" s="704"/>
      <c r="U20" s="705"/>
      <c r="V20" s="704"/>
      <c r="W20" s="705"/>
      <c r="X20" s="1353"/>
      <c r="Y20" s="3772"/>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809"/>
      <c r="Q21" s="1350" t="str">
        <f>B21</f>
        <v>基础设施水平</v>
      </c>
      <c r="R21" s="704" t="s">
        <v>14</v>
      </c>
      <c r="S21" s="705">
        <f>F21</f>
        <v>0</v>
      </c>
      <c r="T21" s="704" t="s">
        <v>14</v>
      </c>
      <c r="U21" s="705">
        <f>H21</f>
        <v>0</v>
      </c>
      <c r="V21" s="704" t="s">
        <v>14</v>
      </c>
      <c r="W21" s="705">
        <f>J21</f>
        <v>0</v>
      </c>
      <c r="X21" s="1353"/>
      <c r="Y21" s="3772"/>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3390</v>
      </c>
      <c r="D22" s="399"/>
      <c r="E22" s="398"/>
      <c r="F22" s="399"/>
      <c r="G22" s="1902"/>
      <c r="H22" s="399"/>
      <c r="I22" s="398"/>
      <c r="J22" s="399"/>
      <c r="K22" s="1903"/>
      <c r="L22" s="2715"/>
      <c r="M22" s="2709"/>
      <c r="N22" s="2709"/>
      <c r="O22" s="2709"/>
      <c r="P22" s="3809"/>
      <c r="Q22" s="1350"/>
      <c r="R22" s="704"/>
      <c r="S22" s="705"/>
      <c r="T22" s="704"/>
      <c r="U22" s="705"/>
      <c r="V22" s="704"/>
      <c r="W22" s="705"/>
      <c r="X22" s="1353"/>
      <c r="Y22" s="3772"/>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809"/>
      <c r="Q23" s="1350" t="str">
        <f>B23</f>
        <v>自然及人文环境</v>
      </c>
      <c r="R23" s="704" t="s">
        <v>18</v>
      </c>
      <c r="S23" s="705">
        <f>F23</f>
        <v>1</v>
      </c>
      <c r="T23" s="704" t="s">
        <v>18</v>
      </c>
      <c r="U23" s="705">
        <f>H23</f>
        <v>1</v>
      </c>
      <c r="V23" s="704" t="s">
        <v>18</v>
      </c>
      <c r="W23" s="705">
        <f>J23</f>
        <v>1</v>
      </c>
      <c r="X23" s="1353"/>
      <c r="Y23" s="3772"/>
      <c r="Z23" s="1354" t="str">
        <f>Q23</f>
        <v>自然及人文环境</v>
      </c>
      <c r="AA23" s="1351">
        <f>D23/F23</f>
        <v>100</v>
      </c>
      <c r="AB23" s="1351">
        <f>D23/H23</f>
        <v>100</v>
      </c>
      <c r="AC23" s="1351">
        <f>D23/J23</f>
        <v>100</v>
      </c>
    </row>
    <row r="24" spans="1:29" ht="15">
      <c r="A24" s="379"/>
      <c r="B24" s="407"/>
      <c r="C24" s="398" t="s">
        <v>3389</v>
      </c>
      <c r="D24" s="399"/>
      <c r="E24" s="1895"/>
      <c r="F24" s="399"/>
      <c r="G24" s="1896"/>
      <c r="H24" s="399"/>
      <c r="I24" s="1896"/>
      <c r="J24" s="399"/>
      <c r="K24" s="1897"/>
      <c r="L24" s="2715"/>
      <c r="M24" s="2709"/>
      <c r="N24" s="2709"/>
      <c r="O24" s="2709"/>
      <c r="P24" s="3809"/>
      <c r="Q24" s="1350"/>
      <c r="R24" s="704"/>
      <c r="S24" s="705"/>
      <c r="T24" s="704"/>
      <c r="U24" s="705"/>
      <c r="V24" s="704"/>
      <c r="W24" s="705"/>
      <c r="X24" s="1353"/>
      <c r="Y24" s="3772"/>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5"/>
      <c r="M25" s="2709"/>
      <c r="N25" s="2709"/>
      <c r="O25" s="2709"/>
      <c r="P25" s="3809"/>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72"/>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5"/>
      <c r="M26" s="2709"/>
      <c r="N26" s="2709"/>
      <c r="O26" s="2709"/>
      <c r="P26" s="3809"/>
      <c r="Q26" s="1350" t="str">
        <f t="shared" si="11"/>
        <v>朝向</v>
      </c>
      <c r="R26" s="704" t="s">
        <v>18</v>
      </c>
      <c r="S26" s="705">
        <f t="shared" si="12"/>
        <v>100</v>
      </c>
      <c r="T26" s="704" t="s">
        <v>18</v>
      </c>
      <c r="U26" s="705">
        <f t="shared" si="13"/>
        <v>100</v>
      </c>
      <c r="V26" s="704" t="s">
        <v>18</v>
      </c>
      <c r="W26" s="705">
        <f t="shared" si="14"/>
        <v>100</v>
      </c>
      <c r="X26" s="1353"/>
      <c r="Y26" s="3772"/>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809"/>
      <c r="Q27" s="1341">
        <f t="shared" si="11"/>
        <v>111</v>
      </c>
      <c r="R27" s="700" t="s">
        <v>18</v>
      </c>
      <c r="S27" s="701">
        <f t="shared" si="12"/>
        <v>100</v>
      </c>
      <c r="T27" s="700" t="s">
        <v>18</v>
      </c>
      <c r="U27" s="701">
        <f t="shared" si="13"/>
        <v>100</v>
      </c>
      <c r="V27" s="700" t="s">
        <v>18</v>
      </c>
      <c r="W27" s="701">
        <f t="shared" si="14"/>
        <v>100</v>
      </c>
      <c r="X27" s="702"/>
      <c r="Y27" s="3772"/>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809"/>
      <c r="Q28" s="1350">
        <f t="shared" si="11"/>
        <v>111</v>
      </c>
      <c r="R28" s="704" t="s">
        <v>18</v>
      </c>
      <c r="S28" s="705">
        <f t="shared" si="12"/>
        <v>100</v>
      </c>
      <c r="T28" s="704" t="s">
        <v>18</v>
      </c>
      <c r="U28" s="705">
        <f t="shared" si="13"/>
        <v>100</v>
      </c>
      <c r="V28" s="704" t="s">
        <v>18</v>
      </c>
      <c r="W28" s="705">
        <f t="shared" si="14"/>
        <v>100</v>
      </c>
      <c r="X28" s="1353"/>
      <c r="Y28" s="3772"/>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809"/>
      <c r="Q29" s="1350">
        <f t="shared" si="11"/>
        <v>111</v>
      </c>
      <c r="R29" s="704" t="s">
        <v>18</v>
      </c>
      <c r="S29" s="705">
        <f t="shared" si="12"/>
        <v>100</v>
      </c>
      <c r="T29" s="704" t="s">
        <v>18</v>
      </c>
      <c r="U29" s="705">
        <f t="shared" si="13"/>
        <v>100</v>
      </c>
      <c r="V29" s="704" t="s">
        <v>18</v>
      </c>
      <c r="W29" s="705">
        <f t="shared" si="14"/>
        <v>100</v>
      </c>
      <c r="X29" s="1353"/>
      <c r="Y29" s="3772"/>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809"/>
      <c r="Q30" s="1350">
        <f t="shared" si="11"/>
        <v>111</v>
      </c>
      <c r="R30" s="704" t="s">
        <v>18</v>
      </c>
      <c r="S30" s="705">
        <f t="shared" si="12"/>
        <v>100</v>
      </c>
      <c r="T30" s="704" t="s">
        <v>18</v>
      </c>
      <c r="U30" s="705">
        <f t="shared" si="13"/>
        <v>100</v>
      </c>
      <c r="V30" s="704" t="s">
        <v>18</v>
      </c>
      <c r="W30" s="705">
        <f t="shared" si="14"/>
        <v>100</v>
      </c>
      <c r="X30" s="1353"/>
      <c r="Y30" s="3772"/>
      <c r="Z30" s="1354">
        <f t="shared" si="18"/>
        <v>111</v>
      </c>
      <c r="AA30" s="1351">
        <f t="shared" si="15"/>
        <v>1</v>
      </c>
      <c r="AB30" s="1351">
        <f t="shared" si="16"/>
        <v>1</v>
      </c>
      <c r="AC30" s="1351">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809"/>
      <c r="Q31" s="1350">
        <f t="shared" si="11"/>
        <v>111</v>
      </c>
      <c r="R31" s="704" t="s">
        <v>18</v>
      </c>
      <c r="S31" s="705">
        <f t="shared" si="12"/>
        <v>100</v>
      </c>
      <c r="T31" s="704" t="s">
        <v>18</v>
      </c>
      <c r="U31" s="705">
        <f t="shared" si="13"/>
        <v>100</v>
      </c>
      <c r="V31" s="704" t="s">
        <v>18</v>
      </c>
      <c r="W31" s="705">
        <f t="shared" si="14"/>
        <v>100</v>
      </c>
      <c r="X31" s="1353"/>
      <c r="Y31" s="3772"/>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5"/>
      <c r="M32" s="2709"/>
      <c r="N32" s="2709"/>
      <c r="O32" s="2709"/>
      <c r="P32" s="3804" t="s">
        <v>1694</v>
      </c>
      <c r="Q32" s="1350" t="str">
        <f t="shared" si="11"/>
        <v>建筑类型</v>
      </c>
      <c r="R32" s="704" t="s">
        <v>18</v>
      </c>
      <c r="S32" s="705">
        <f t="shared" si="12"/>
        <v>100</v>
      </c>
      <c r="T32" s="704" t="s">
        <v>18</v>
      </c>
      <c r="U32" s="705">
        <f t="shared" si="13"/>
        <v>100</v>
      </c>
      <c r="V32" s="704" t="s">
        <v>18</v>
      </c>
      <c r="W32" s="705">
        <f t="shared" si="14"/>
        <v>100</v>
      </c>
      <c r="X32" s="1353"/>
      <c r="Y32" s="3774"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4"/>
      <c r="M33" s="2716"/>
      <c r="N33" s="2716"/>
      <c r="O33" s="2716"/>
      <c r="P33" s="3805"/>
      <c r="Q33" s="706" t="str">
        <f t="shared" si="11"/>
        <v>项目建筑规模</v>
      </c>
      <c r="R33" s="707" t="s">
        <v>18</v>
      </c>
      <c r="S33" s="708">
        <f t="shared" si="12"/>
        <v>100</v>
      </c>
      <c r="T33" s="707" t="s">
        <v>18</v>
      </c>
      <c r="U33" s="708">
        <f t="shared" si="13"/>
        <v>100</v>
      </c>
      <c r="V33" s="707" t="s">
        <v>18</v>
      </c>
      <c r="W33" s="708">
        <f t="shared" si="14"/>
        <v>100</v>
      </c>
      <c r="X33" s="709"/>
      <c r="Y33" s="3774"/>
      <c r="Z33" s="710" t="str">
        <f t="shared" si="18"/>
        <v>项目建筑规模</v>
      </c>
      <c r="AA33" s="1351">
        <f t="shared" si="15"/>
        <v>1</v>
      </c>
      <c r="AB33" s="1351">
        <f t="shared" si="16"/>
        <v>1</v>
      </c>
      <c r="AC33" s="1351">
        <f t="shared" si="17"/>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377">
        <v>2</v>
      </c>
      <c r="L34" s="2715"/>
      <c r="M34" s="2709"/>
      <c r="N34" s="2709"/>
      <c r="O34" s="2709"/>
      <c r="P34" s="3805"/>
      <c r="Q34" s="1350" t="str">
        <f t="shared" si="11"/>
        <v>建筑结构</v>
      </c>
      <c r="R34" s="704" t="s">
        <v>18</v>
      </c>
      <c r="S34" s="705">
        <f t="shared" si="12"/>
        <v>100</v>
      </c>
      <c r="T34" s="704" t="s">
        <v>18</v>
      </c>
      <c r="U34" s="705">
        <f t="shared" si="13"/>
        <v>100</v>
      </c>
      <c r="V34" s="704" t="s">
        <v>18</v>
      </c>
      <c r="W34" s="705">
        <f t="shared" si="14"/>
        <v>100</v>
      </c>
      <c r="X34" s="1353"/>
      <c r="Y34" s="3774"/>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5"/>
      <c r="M35" s="2709"/>
      <c r="N35" s="2709"/>
      <c r="O35" s="2709"/>
      <c r="P35" s="3805"/>
      <c r="Q35" s="1350" t="str">
        <f t="shared" si="11"/>
        <v>建筑品质</v>
      </c>
      <c r="R35" s="704" t="s">
        <v>18</v>
      </c>
      <c r="S35" s="705">
        <f t="shared" si="12"/>
        <v>100</v>
      </c>
      <c r="T35" s="704" t="s">
        <v>18</v>
      </c>
      <c r="U35" s="705">
        <f t="shared" si="13"/>
        <v>100</v>
      </c>
      <c r="V35" s="704" t="s">
        <v>18</v>
      </c>
      <c r="W35" s="705">
        <f t="shared" si="14"/>
        <v>100</v>
      </c>
      <c r="X35" s="1353"/>
      <c r="Y35" s="3774"/>
      <c r="Z35" s="1354" t="str">
        <f t="shared" si="18"/>
        <v>建筑品质</v>
      </c>
      <c r="AA35" s="1351">
        <f t="shared" si="15"/>
        <v>1</v>
      </c>
      <c r="AB35" s="1351">
        <f t="shared" si="16"/>
        <v>1</v>
      </c>
      <c r="AC35" s="1351">
        <f t="shared" si="17"/>
        <v>1</v>
      </c>
    </row>
    <row r="36" spans="1:29" ht="15">
      <c r="A36" s="423"/>
      <c r="B36" s="375" t="s">
        <v>1698</v>
      </c>
      <c r="C36" s="1904" t="s">
        <v>3452</v>
      </c>
      <c r="D36" s="386">
        <v>100</v>
      </c>
      <c r="E36" s="1904" t="s">
        <v>3452</v>
      </c>
      <c r="F36" s="412">
        <f>SUMIF(109:109,E36,110:110)-SUMIF(109:109,C36,110:110)+100</f>
        <v>100</v>
      </c>
      <c r="G36" s="1904" t="s">
        <v>3452</v>
      </c>
      <c r="H36" s="386">
        <f>SUMIF(109:109,G36,110:110)-SUMIF(109:109,C36,110:110)+100</f>
        <v>100</v>
      </c>
      <c r="I36" s="1904" t="s">
        <v>3452</v>
      </c>
      <c r="J36" s="386">
        <f>SUMIF(109:109,I36,110:110)-SUMIF(109:109,C36,110:110)+100</f>
        <v>100</v>
      </c>
      <c r="K36" s="377">
        <v>2</v>
      </c>
      <c r="L36" s="2715"/>
      <c r="M36" s="2709"/>
      <c r="N36" s="2709"/>
      <c r="O36" s="2709"/>
      <c r="P36" s="3805"/>
      <c r="Q36" s="1350" t="str">
        <f t="shared" si="11"/>
        <v>公共部分装修</v>
      </c>
      <c r="R36" s="704" t="s">
        <v>18</v>
      </c>
      <c r="S36" s="705">
        <f t="shared" si="12"/>
        <v>100</v>
      </c>
      <c r="T36" s="704" t="s">
        <v>18</v>
      </c>
      <c r="U36" s="705">
        <f t="shared" si="13"/>
        <v>100</v>
      </c>
      <c r="V36" s="704" t="s">
        <v>18</v>
      </c>
      <c r="W36" s="705">
        <f t="shared" si="14"/>
        <v>100</v>
      </c>
      <c r="X36" s="1353"/>
      <c r="Y36" s="3774"/>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805"/>
      <c r="Q37" s="1341" t="str">
        <f t="shared" si="11"/>
        <v>成新度</v>
      </c>
      <c r="R37" s="700" t="s">
        <v>18</v>
      </c>
      <c r="S37" s="701" t="e">
        <f t="shared" si="12"/>
        <v>#N/A</v>
      </c>
      <c r="T37" s="700" t="s">
        <v>18</v>
      </c>
      <c r="U37" s="701" t="e">
        <f t="shared" si="13"/>
        <v>#N/A</v>
      </c>
      <c r="V37" s="700" t="s">
        <v>18</v>
      </c>
      <c r="W37" s="701" t="e">
        <f t="shared" si="14"/>
        <v>#N/A</v>
      </c>
      <c r="X37" s="702"/>
      <c r="Y37" s="3774"/>
      <c r="Z37" s="52" t="str">
        <f t="shared" si="18"/>
        <v>成新度</v>
      </c>
      <c r="AA37" s="703" t="e">
        <f t="shared" si="15"/>
        <v>#N/A</v>
      </c>
      <c r="AB37" s="703" t="e">
        <f t="shared" si="16"/>
        <v>#N/A</v>
      </c>
      <c r="AC37" s="703" t="e">
        <f t="shared" si="17"/>
        <v>#N/A</v>
      </c>
    </row>
    <row r="38" spans="1:29" ht="15">
      <c r="A38" s="423"/>
      <c r="B38" s="375" t="s">
        <v>1700</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377">
        <v>2</v>
      </c>
      <c r="L38" s="2715"/>
      <c r="M38" s="2709"/>
      <c r="N38" s="2709"/>
      <c r="O38" s="2709"/>
      <c r="P38" s="3805" t="s">
        <v>1694</v>
      </c>
      <c r="Q38" s="1350" t="str">
        <f t="shared" si="11"/>
        <v>物业管理</v>
      </c>
      <c r="R38" s="704" t="s">
        <v>18</v>
      </c>
      <c r="S38" s="705">
        <f t="shared" si="12"/>
        <v>100</v>
      </c>
      <c r="T38" s="704" t="s">
        <v>18</v>
      </c>
      <c r="U38" s="705">
        <f t="shared" si="13"/>
        <v>100</v>
      </c>
      <c r="V38" s="704" t="s">
        <v>18</v>
      </c>
      <c r="W38" s="705">
        <f t="shared" si="14"/>
        <v>100</v>
      </c>
      <c r="X38" s="1353"/>
      <c r="Y38" s="3774" t="s">
        <v>1694</v>
      </c>
      <c r="Z38" s="1354" t="str">
        <f t="shared" si="18"/>
        <v>物业管理</v>
      </c>
      <c r="AA38" s="1351">
        <f t="shared" si="15"/>
        <v>1</v>
      </c>
      <c r="AB38" s="1351">
        <f t="shared" si="16"/>
        <v>1</v>
      </c>
      <c r="AC38" s="1351">
        <f t="shared" si="17"/>
        <v>1</v>
      </c>
    </row>
    <row r="39" spans="1:29" ht="15">
      <c r="A39" s="423"/>
      <c r="B39" s="375" t="s">
        <v>1701</v>
      </c>
      <c r="C39" s="1904" t="s">
        <v>3390</v>
      </c>
      <c r="D39" s="386">
        <v>100</v>
      </c>
      <c r="E39" s="1904" t="s">
        <v>3390</v>
      </c>
      <c r="F39" s="412">
        <f>SUMIF(116:116,E39,117:117)-SUMIF(116:116,C39,117:117)+100</f>
        <v>100</v>
      </c>
      <c r="G39" s="1904" t="s">
        <v>3390</v>
      </c>
      <c r="H39" s="386">
        <f>SUMIF(116:116,G39,117:117)-SUMIF(116:116,C39,117:117)+100</f>
        <v>100</v>
      </c>
      <c r="I39" s="1904" t="s">
        <v>3390</v>
      </c>
      <c r="J39" s="386">
        <f>SUMIF(116:116,I39,117:117)-SUMIF(116:116,C39,117:117)+100</f>
        <v>100</v>
      </c>
      <c r="K39" s="377">
        <v>1</v>
      </c>
      <c r="L39" s="2715"/>
      <c r="M39" s="2709"/>
      <c r="N39" s="2709"/>
      <c r="O39" s="2709"/>
      <c r="P39" s="3805"/>
      <c r="Q39" s="1350" t="str">
        <f t="shared" si="11"/>
        <v>市政基础设施</v>
      </c>
      <c r="R39" s="704" t="s">
        <v>18</v>
      </c>
      <c r="S39" s="705">
        <f t="shared" si="12"/>
        <v>100</v>
      </c>
      <c r="T39" s="704" t="s">
        <v>18</v>
      </c>
      <c r="U39" s="705">
        <f t="shared" si="13"/>
        <v>100</v>
      </c>
      <c r="V39" s="704" t="s">
        <v>18</v>
      </c>
      <c r="W39" s="705">
        <f t="shared" si="14"/>
        <v>100</v>
      </c>
      <c r="X39" s="1353"/>
      <c r="Y39" s="3774"/>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5"/>
      <c r="M40" s="2709"/>
      <c r="N40" s="2709"/>
      <c r="O40" s="2709"/>
      <c r="P40" s="3805"/>
      <c r="Q40" s="1350" t="str">
        <f t="shared" si="11"/>
        <v>房型</v>
      </c>
      <c r="R40" s="704" t="s">
        <v>18</v>
      </c>
      <c r="S40" s="705">
        <f t="shared" si="12"/>
        <v>100</v>
      </c>
      <c r="T40" s="704" t="s">
        <v>18</v>
      </c>
      <c r="U40" s="705">
        <f t="shared" si="13"/>
        <v>100</v>
      </c>
      <c r="V40" s="704" t="s">
        <v>18</v>
      </c>
      <c r="W40" s="705">
        <f t="shared" si="14"/>
        <v>100</v>
      </c>
      <c r="X40" s="1353"/>
      <c r="Y40" s="3774"/>
      <c r="Z40" s="1354" t="str">
        <f t="shared" si="18"/>
        <v>房型</v>
      </c>
      <c r="AA40" s="1351">
        <f t="shared" si="15"/>
        <v>1</v>
      </c>
      <c r="AB40" s="1351">
        <f t="shared" si="16"/>
        <v>1</v>
      </c>
      <c r="AC40" s="1351">
        <f t="shared" si="17"/>
        <v>1</v>
      </c>
    </row>
    <row r="41" spans="1:29" s="422" customFormat="1" ht="28.8">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4"/>
      <c r="M41" s="2716"/>
      <c r="N41" s="2716"/>
      <c r="O41" s="2716"/>
      <c r="P41" s="3805"/>
      <c r="Q41" s="706" t="str">
        <f t="shared" si="11"/>
        <v>单套/主力户型建筑面积</v>
      </c>
      <c r="R41" s="707" t="s">
        <v>18</v>
      </c>
      <c r="S41" s="708">
        <f t="shared" si="12"/>
        <v>100</v>
      </c>
      <c r="T41" s="707" t="s">
        <v>18</v>
      </c>
      <c r="U41" s="708">
        <f t="shared" si="13"/>
        <v>100</v>
      </c>
      <c r="V41" s="707" t="s">
        <v>18</v>
      </c>
      <c r="W41" s="708">
        <f t="shared" si="14"/>
        <v>100</v>
      </c>
      <c r="X41" s="709"/>
      <c r="Y41" s="3774"/>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5"/>
      <c r="M42" s="2709"/>
      <c r="N42" s="2709"/>
      <c r="O42" s="2709"/>
      <c r="P42" s="3805"/>
      <c r="Q42" s="1350" t="str">
        <f t="shared" si="11"/>
        <v>内部装修</v>
      </c>
      <c r="R42" s="704" t="s">
        <v>18</v>
      </c>
      <c r="S42" s="705">
        <f t="shared" si="12"/>
        <v>100</v>
      </c>
      <c r="T42" s="704" t="s">
        <v>18</v>
      </c>
      <c r="U42" s="705">
        <f t="shared" si="13"/>
        <v>100</v>
      </c>
      <c r="V42" s="704" t="s">
        <v>18</v>
      </c>
      <c r="W42" s="705">
        <f t="shared" si="14"/>
        <v>100</v>
      </c>
      <c r="X42" s="1353"/>
      <c r="Y42" s="3774"/>
      <c r="Z42" s="1354" t="str">
        <f t="shared" si="18"/>
        <v>内部装修</v>
      </c>
      <c r="AA42" s="1351">
        <f t="shared" si="15"/>
        <v>1</v>
      </c>
      <c r="AB42" s="1351">
        <f t="shared" si="16"/>
        <v>1</v>
      </c>
      <c r="AC42" s="1351">
        <f t="shared" si="17"/>
        <v>1</v>
      </c>
    </row>
    <row r="43" spans="1:29" ht="28.8">
      <c r="A43" s="423"/>
      <c r="B43" s="375" t="s">
        <v>1705</v>
      </c>
      <c r="C43" s="1904" t="s">
        <v>3389</v>
      </c>
      <c r="D43" s="386">
        <v>100</v>
      </c>
      <c r="E43" s="1904" t="s">
        <v>3389</v>
      </c>
      <c r="F43" s="412">
        <f>SUMIF(124:124,E43,125:125)-SUMIF(124:124,C43,125:125)+100</f>
        <v>100</v>
      </c>
      <c r="G43" s="1904" t="s">
        <v>3389</v>
      </c>
      <c r="H43" s="386">
        <f>SUMIF(124:124,G43,125:125)-SUMIF(124:124,C43,125:125)+100</f>
        <v>100</v>
      </c>
      <c r="I43" s="1904" t="s">
        <v>3389</v>
      </c>
      <c r="J43" s="386">
        <f>SUMIF(124:124,I43,125:125)-SUMIF(124:124,C43,125:125)+100</f>
        <v>100</v>
      </c>
      <c r="K43" s="377">
        <v>2</v>
      </c>
      <c r="L43" s="2715"/>
      <c r="M43" s="2709"/>
      <c r="N43" s="2709"/>
      <c r="O43" s="2709"/>
      <c r="P43" s="3805"/>
      <c r="Q43" s="1350" t="str">
        <f t="shared" si="11"/>
        <v>内部装修维护情况</v>
      </c>
      <c r="R43" s="704" t="s">
        <v>18</v>
      </c>
      <c r="S43" s="705">
        <f t="shared" si="12"/>
        <v>100</v>
      </c>
      <c r="T43" s="704" t="s">
        <v>18</v>
      </c>
      <c r="U43" s="705">
        <f t="shared" si="13"/>
        <v>100</v>
      </c>
      <c r="V43" s="704" t="s">
        <v>18</v>
      </c>
      <c r="W43" s="705">
        <f t="shared" si="14"/>
        <v>100</v>
      </c>
      <c r="X43" s="1353"/>
      <c r="Y43" s="3774"/>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805"/>
      <c r="Q44" s="1341">
        <f t="shared" si="11"/>
        <v>111</v>
      </c>
      <c r="R44" s="700" t="s">
        <v>18</v>
      </c>
      <c r="S44" s="701">
        <f t="shared" si="12"/>
        <v>100</v>
      </c>
      <c r="T44" s="700" t="s">
        <v>18</v>
      </c>
      <c r="U44" s="701">
        <f t="shared" si="13"/>
        <v>100</v>
      </c>
      <c r="V44" s="700" t="s">
        <v>18</v>
      </c>
      <c r="W44" s="701">
        <f t="shared" si="14"/>
        <v>100</v>
      </c>
      <c r="X44" s="702"/>
      <c r="Y44" s="377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805"/>
      <c r="Q45" s="1350">
        <f t="shared" si="11"/>
        <v>111</v>
      </c>
      <c r="R45" s="704" t="s">
        <v>18</v>
      </c>
      <c r="S45" s="705">
        <f t="shared" si="12"/>
        <v>100</v>
      </c>
      <c r="T45" s="704" t="s">
        <v>18</v>
      </c>
      <c r="U45" s="705">
        <f t="shared" si="13"/>
        <v>100</v>
      </c>
      <c r="V45" s="704" t="s">
        <v>18</v>
      </c>
      <c r="W45" s="705">
        <f t="shared" si="14"/>
        <v>100</v>
      </c>
      <c r="X45" s="1353"/>
      <c r="Y45" s="3774"/>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806"/>
      <c r="Q46" s="1350">
        <f t="shared" si="11"/>
        <v>111</v>
      </c>
      <c r="R46" s="704" t="s">
        <v>17</v>
      </c>
      <c r="S46" s="705">
        <f t="shared" si="12"/>
        <v>100</v>
      </c>
      <c r="T46" s="704" t="s">
        <v>17</v>
      </c>
      <c r="U46" s="705">
        <f t="shared" si="13"/>
        <v>100</v>
      </c>
      <c r="V46" s="704" t="s">
        <v>17</v>
      </c>
      <c r="W46" s="705">
        <f t="shared" si="14"/>
        <v>100</v>
      </c>
      <c r="X46" s="1353"/>
      <c r="Y46" s="3807"/>
      <c r="Z46" s="1354">
        <f t="shared" si="18"/>
        <v>111</v>
      </c>
      <c r="AA46" s="1351">
        <f t="shared" si="15"/>
        <v>1</v>
      </c>
      <c r="AB46" s="1351">
        <f t="shared" si="16"/>
        <v>1</v>
      </c>
      <c r="AC46" s="1351">
        <f t="shared" si="17"/>
        <v>1</v>
      </c>
    </row>
    <row r="47" spans="1:29" ht="14.4">
      <c r="A47" s="430" t="s">
        <v>1706</v>
      </c>
      <c r="B47" s="431"/>
      <c r="C47" s="1153" t="s">
        <v>16</v>
      </c>
      <c r="D47" s="1154"/>
      <c r="E47" s="1155"/>
      <c r="F47" s="1156"/>
      <c r="G47" s="1157"/>
      <c r="H47" s="1158"/>
      <c r="I47" s="1155"/>
      <c r="J47" s="1158"/>
      <c r="K47" s="1910"/>
      <c r="L47" s="2717"/>
      <c r="M47" s="2718"/>
      <c r="N47" s="2709"/>
      <c r="O47" s="2718"/>
      <c r="P47" s="3756" t="str">
        <f>A47</f>
        <v>成交单价（元/平方米）</v>
      </c>
      <c r="Q47" s="3756"/>
      <c r="R47" s="3803">
        <f>E47</f>
        <v>0</v>
      </c>
      <c r="S47" s="3803"/>
      <c r="T47" s="3803">
        <f>G47</f>
        <v>0</v>
      </c>
      <c r="U47" s="3803"/>
      <c r="V47" s="3803">
        <f>I47</f>
        <v>0</v>
      </c>
      <c r="W47" s="3803"/>
      <c r="X47" s="689"/>
      <c r="Y47" s="711"/>
      <c r="Z47" s="689"/>
      <c r="AA47" s="689"/>
      <c r="AB47" s="689"/>
      <c r="AC47" s="689"/>
    </row>
    <row r="48" spans="1:29" ht="15" thickBot="1">
      <c r="A48" s="437" t="s">
        <v>1707</v>
      </c>
      <c r="B48" s="438"/>
      <c r="C48" s="1159" t="e">
        <f>R49</f>
        <v>#DIV/0!</v>
      </c>
      <c r="D48" s="2313" t="s">
        <v>2135</v>
      </c>
      <c r="E48" s="1160" t="e">
        <f>R48</f>
        <v>#DIV/0!</v>
      </c>
      <c r="F48" s="2314"/>
      <c r="G48" s="1159" t="e">
        <f>T48</f>
        <v>#DIV/0!</v>
      </c>
      <c r="H48" s="2314"/>
      <c r="I48" s="1160" t="e">
        <f>V48</f>
        <v>#DIV/0!</v>
      </c>
      <c r="J48" s="2314"/>
      <c r="K48" s="2315">
        <f>F48+H48+J48</f>
        <v>0</v>
      </c>
      <c r="L48" s="2717"/>
      <c r="M48" s="2718"/>
      <c r="N48" s="2718"/>
      <c r="O48" s="2718"/>
      <c r="P48" s="3756" t="str">
        <f>A48</f>
        <v>比较价值（元/平方米）</v>
      </c>
      <c r="Q48" s="375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89"/>
      <c r="Y48" s="689"/>
      <c r="Z48" s="689"/>
      <c r="AA48" s="689"/>
      <c r="AB48" s="689"/>
      <c r="AC48" s="689"/>
    </row>
    <row r="49" spans="1:29" ht="15" thickBot="1">
      <c r="A49" s="441" t="s">
        <v>1708</v>
      </c>
      <c r="B49" s="442"/>
      <c r="C49" s="1161" t="e">
        <f>R49</f>
        <v>#DIV/0!</v>
      </c>
      <c r="D49" s="1162"/>
      <c r="E49" s="1162"/>
      <c r="F49" s="1162"/>
      <c r="G49" s="1162"/>
      <c r="H49" s="1162"/>
      <c r="I49" s="1162"/>
      <c r="J49" s="1162"/>
      <c r="K49" s="1911"/>
      <c r="L49" s="2717"/>
      <c r="M49" s="2718"/>
      <c r="N49" s="2718"/>
      <c r="O49" s="2718"/>
      <c r="P49" s="3776" t="str">
        <f>A49</f>
        <v>估价对象XX用房的比较价值（楼面单价，元/平方米）</v>
      </c>
      <c r="Q49" s="3777"/>
      <c r="R49" s="3802" t="e">
        <f>IF(F1="售价",ROUND(IF(D48="简单平均",AVERAGE(R48:V48),R48*F48+T48*H48+V48*J48),0),ROUND(IF(D48="简单平均",AVERAGE(R48:V48),R48*F48+T48*H48+V48*J48),1))</f>
        <v>#DIV/0!</v>
      </c>
      <c r="S49" s="3802"/>
      <c r="T49" s="3802"/>
      <c r="U49" s="3802"/>
      <c r="V49" s="3802"/>
      <c r="W49" s="3802"/>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2.2" thickBot="1">
      <c r="A57" s="693" t="s">
        <v>1712</v>
      </c>
      <c r="B57" s="689"/>
      <c r="C57" s="694"/>
      <c r="D57" s="694"/>
      <c r="E57" s="694"/>
      <c r="F57" s="695"/>
      <c r="G57" s="695"/>
      <c r="H57" s="694"/>
      <c r="I57" s="694"/>
      <c r="J57" s="694"/>
      <c r="K57" s="940"/>
      <c r="L57" s="941"/>
      <c r="M57" s="939"/>
      <c r="N57" s="939"/>
      <c r="O57" s="939"/>
      <c r="P57" s="1914"/>
      <c r="Q57" s="453"/>
    </row>
    <row r="58" spans="1:29" s="457" customFormat="1" ht="14.4">
      <c r="A58" s="454" t="s">
        <v>1713</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 thickBot="1">
      <c r="A60" s="464" t="s">
        <v>1714</v>
      </c>
      <c r="B60" s="465"/>
      <c r="C60" s="466"/>
      <c r="D60" s="467"/>
      <c r="E60" s="467"/>
      <c r="F60" s="467"/>
      <c r="G60" s="467"/>
      <c r="H60" s="467"/>
      <c r="I60" s="467"/>
      <c r="J60" s="467"/>
      <c r="K60" s="467"/>
      <c r="L60" s="467"/>
      <c r="M60" s="468"/>
      <c r="N60" s="467"/>
      <c r="O60" s="468"/>
      <c r="P60" s="1916"/>
      <c r="Q60" s="453"/>
    </row>
    <row r="61" spans="1:29" s="108" customFormat="1" ht="14.4">
      <c r="A61" s="470" t="s">
        <v>1715</v>
      </c>
      <c r="B61" s="459"/>
      <c r="C61" s="471" t="s">
        <v>1716</v>
      </c>
      <c r="D61" s="472" t="s">
        <v>3408</v>
      </c>
      <c r="E61" s="472"/>
      <c r="F61" s="472"/>
      <c r="G61" s="472"/>
      <c r="H61" s="472"/>
      <c r="I61" s="472"/>
      <c r="J61" s="472"/>
      <c r="K61" s="472"/>
      <c r="L61" s="473"/>
      <c r="M61" s="474"/>
      <c r="N61" s="931"/>
      <c r="O61" s="931"/>
      <c r="P61" s="1917"/>
      <c r="Q61" s="453"/>
    </row>
    <row r="62" spans="1:29" s="108" customFormat="1" ht="14.4" thickBot="1">
      <c r="A62" s="470"/>
      <c r="B62" s="459"/>
      <c r="C62" s="460">
        <v>100</v>
      </c>
      <c r="D62" s="461">
        <v>102</v>
      </c>
      <c r="E62" s="461"/>
      <c r="F62" s="461"/>
      <c r="G62" s="461"/>
      <c r="H62" s="461"/>
      <c r="I62" s="461"/>
      <c r="J62" s="461"/>
      <c r="K62" s="461"/>
      <c r="L62" s="461"/>
      <c r="M62" s="463"/>
      <c r="N62" s="931"/>
      <c r="O62" s="931"/>
      <c r="P62" s="1916"/>
      <c r="Q62" s="453"/>
    </row>
    <row r="63" spans="1:29" ht="14.4">
      <c r="A63" s="476" t="s">
        <v>1717</v>
      </c>
      <c r="B63" s="477" t="s">
        <v>1683</v>
      </c>
      <c r="C63" s="478">
        <f>C9</f>
        <v>0</v>
      </c>
      <c r="D63" s="479"/>
      <c r="E63" s="479"/>
      <c r="F63" s="479"/>
      <c r="G63" s="479"/>
      <c r="H63" s="479"/>
      <c r="I63" s="479"/>
      <c r="J63" s="479"/>
      <c r="K63" s="480"/>
      <c r="L63" s="481"/>
      <c r="M63" s="482"/>
      <c r="N63" s="932"/>
      <c r="O63" s="932"/>
      <c r="P63" s="1918"/>
      <c r="Q63" s="453"/>
    </row>
    <row r="64" spans="1:29" ht="14.4" thickBot="1">
      <c r="A64" s="483"/>
      <c r="B64" s="484"/>
      <c r="C64" s="485">
        <v>100</v>
      </c>
      <c r="D64" s="485"/>
      <c r="E64" s="485"/>
      <c r="F64" s="485"/>
      <c r="G64" s="485"/>
      <c r="H64" s="485"/>
      <c r="I64" s="485"/>
      <c r="J64" s="485"/>
      <c r="K64" s="485"/>
      <c r="L64" s="485"/>
      <c r="M64" s="486"/>
      <c r="N64" s="933"/>
      <c r="O64" s="933"/>
      <c r="P64" s="1918"/>
      <c r="Q64" s="453"/>
    </row>
    <row r="65" spans="1:17" ht="29.4" thickTop="1">
      <c r="A65" s="483"/>
      <c r="B65" s="487" t="s">
        <v>1686</v>
      </c>
      <c r="C65" s="532" t="s">
        <v>3409</v>
      </c>
      <c r="D65" s="532" t="s">
        <v>3410</v>
      </c>
      <c r="E65" s="532" t="s">
        <v>3411</v>
      </c>
      <c r="F65" s="532" t="s">
        <v>3412</v>
      </c>
      <c r="G65" s="532" t="s">
        <v>3413</v>
      </c>
      <c r="H65" s="532" t="s">
        <v>3414</v>
      </c>
      <c r="I65" s="532" t="s">
        <v>3415</v>
      </c>
      <c r="J65" s="532"/>
      <c r="K65" s="532"/>
      <c r="L65" s="532"/>
      <c r="M65" s="532"/>
      <c r="N65" s="933"/>
      <c r="O65" s="933"/>
      <c r="P65" s="1918"/>
      <c r="Q65" s="453"/>
    </row>
    <row r="66" spans="1:17" ht="14.4"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c r="A68" s="483"/>
      <c r="B68" s="497"/>
      <c r="C68" s="498">
        <v>0</v>
      </c>
      <c r="D68" s="498">
        <v>0.5</v>
      </c>
      <c r="E68" s="498">
        <v>1</v>
      </c>
      <c r="F68" s="498">
        <v>1.5</v>
      </c>
      <c r="G68" s="498">
        <v>2</v>
      </c>
      <c r="H68" s="498">
        <v>2.5</v>
      </c>
      <c r="I68" s="498">
        <v>3</v>
      </c>
      <c r="J68" s="498"/>
      <c r="K68" s="499"/>
      <c r="L68" s="500"/>
      <c r="M68" s="501"/>
      <c r="N68" s="932"/>
      <c r="O68" s="932"/>
      <c r="P68" s="1918"/>
      <c r="Q68" s="453"/>
    </row>
    <row r="69" spans="1:17" ht="14.4"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4.4" thickTop="1">
      <c r="A70" s="502"/>
      <c r="B70" s="487">
        <f>B12</f>
        <v>111</v>
      </c>
      <c r="C70" s="503" t="s">
        <v>3381</v>
      </c>
      <c r="D70" s="503" t="s">
        <v>3373</v>
      </c>
      <c r="E70" s="503"/>
      <c r="F70" s="503"/>
      <c r="G70" s="503"/>
      <c r="H70" s="504"/>
      <c r="I70" s="504"/>
      <c r="J70" s="504"/>
      <c r="K70" s="504"/>
      <c r="L70" s="505"/>
      <c r="M70" s="506"/>
      <c r="N70" s="934"/>
      <c r="O70" s="934"/>
      <c r="P70" s="1919"/>
      <c r="Q70" s="508"/>
    </row>
    <row r="71" spans="1:17" s="422" customFormat="1" ht="14.4" thickBot="1">
      <c r="A71" s="502"/>
      <c r="B71" s="492"/>
      <c r="C71" s="509">
        <v>95</v>
      </c>
      <c r="D71" s="485">
        <v>100</v>
      </c>
      <c r="E71" s="485"/>
      <c r="F71" s="485"/>
      <c r="G71" s="485"/>
      <c r="H71" s="485"/>
      <c r="I71" s="485"/>
      <c r="J71" s="485"/>
      <c r="K71" s="485"/>
      <c r="L71" s="485"/>
      <c r="M71" s="486"/>
      <c r="N71" s="933"/>
      <c r="O71" s="933"/>
      <c r="P71" s="1919"/>
      <c r="Q71" s="508"/>
    </row>
    <row r="72" spans="1:17" s="422" customFormat="1" ht="14.4" thickTop="1">
      <c r="A72" s="502"/>
      <c r="B72" s="487">
        <f>B13</f>
        <v>111</v>
      </c>
      <c r="C72" s="503"/>
      <c r="D72" s="503"/>
      <c r="E72" s="503"/>
      <c r="F72" s="503"/>
      <c r="G72" s="503"/>
      <c r="H72" s="504"/>
      <c r="I72" s="504"/>
      <c r="J72" s="504"/>
      <c r="K72" s="504"/>
      <c r="L72" s="505"/>
      <c r="M72" s="506"/>
      <c r="N72" s="934"/>
      <c r="O72" s="934"/>
      <c r="P72" s="1920"/>
      <c r="Q72" s="510"/>
    </row>
    <row r="73" spans="1:17" s="422" customFormat="1" ht="14.4" thickBot="1">
      <c r="A73" s="502"/>
      <c r="B73" s="492"/>
      <c r="C73" s="509"/>
      <c r="D73" s="509"/>
      <c r="E73" s="509"/>
      <c r="F73" s="509"/>
      <c r="G73" s="509"/>
      <c r="H73" s="511"/>
      <c r="I73" s="511"/>
      <c r="J73" s="511"/>
      <c r="K73" s="511"/>
      <c r="L73" s="511"/>
      <c r="M73" s="512"/>
      <c r="N73" s="934"/>
      <c r="O73" s="934"/>
      <c r="P73" s="1919"/>
      <c r="Q73" s="508"/>
    </row>
    <row r="74" spans="1:17" s="422" customFormat="1" ht="14.4" thickTop="1">
      <c r="A74" s="502"/>
      <c r="B74" s="495">
        <f>B14</f>
        <v>111</v>
      </c>
      <c r="C74" s="503"/>
      <c r="D74" s="503"/>
      <c r="E74" s="503"/>
      <c r="F74" s="503"/>
      <c r="G74" s="472"/>
      <c r="H74" s="513"/>
      <c r="I74" s="513"/>
      <c r="J74" s="513"/>
      <c r="K74" s="513"/>
      <c r="L74" s="514"/>
      <c r="M74" s="515"/>
      <c r="N74" s="934"/>
      <c r="O74" s="934"/>
      <c r="P74" s="1921"/>
      <c r="Q74" s="508"/>
    </row>
    <row r="75" spans="1:17" s="422" customFormat="1" ht="14.4" thickBot="1">
      <c r="A75" s="517"/>
      <c r="B75" s="518"/>
      <c r="C75" s="519"/>
      <c r="D75" s="519"/>
      <c r="E75" s="519"/>
      <c r="F75" s="519"/>
      <c r="G75" s="519"/>
      <c r="H75" s="520"/>
      <c r="I75" s="520"/>
      <c r="J75" s="520"/>
      <c r="K75" s="520"/>
      <c r="L75" s="520"/>
      <c r="M75" s="521"/>
      <c r="N75" s="934"/>
      <c r="O75" s="934"/>
      <c r="P75" s="1919"/>
      <c r="Q75" s="508"/>
    </row>
    <row r="76" spans="1:17" ht="14.4">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 thickTop="1">
      <c r="A82" s="483"/>
      <c r="B82" s="495" t="s">
        <v>1258</v>
      </c>
      <c r="C82" s="488" t="s">
        <v>1726</v>
      </c>
      <c r="D82" s="488" t="s">
        <v>1727</v>
      </c>
      <c r="E82" s="488" t="s">
        <v>1728</v>
      </c>
      <c r="F82" s="488" t="s">
        <v>1729</v>
      </c>
      <c r="G82" s="488" t="s">
        <v>1730</v>
      </c>
      <c r="H82" s="488"/>
      <c r="I82" s="488"/>
      <c r="J82" s="488"/>
      <c r="K82" s="488"/>
      <c r="L82" s="488"/>
      <c r="M82" s="1128"/>
      <c r="N82" s="933"/>
      <c r="O82" s="933"/>
      <c r="P82" s="1918"/>
      <c r="Q82" s="453"/>
    </row>
    <row r="83" spans="1:17" ht="14.4"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4.4"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 thickTop="1">
      <c r="A86" s="528"/>
      <c r="B86" s="487" t="s">
        <v>1732</v>
      </c>
      <c r="C86" s="503" t="s">
        <v>3416</v>
      </c>
      <c r="D86" s="503" t="s">
        <v>3417</v>
      </c>
      <c r="E86" s="503" t="s">
        <v>3418</v>
      </c>
      <c r="F86" s="503"/>
      <c r="G86" s="503"/>
      <c r="H86" s="503"/>
      <c r="I86" s="503"/>
      <c r="J86" s="503"/>
      <c r="K86" s="503"/>
      <c r="L86" s="529"/>
      <c r="M86" s="530"/>
      <c r="N86" s="931"/>
      <c r="O86" s="931"/>
      <c r="P86" s="1918"/>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 thickTop="1">
      <c r="A88" s="528"/>
      <c r="B88" s="487" t="s">
        <v>1733</v>
      </c>
      <c r="C88" s="503" t="s">
        <v>3419</v>
      </c>
      <c r="D88" s="503" t="s">
        <v>3420</v>
      </c>
      <c r="E88" s="503" t="s">
        <v>3421</v>
      </c>
      <c r="F88" s="1923" t="s">
        <v>3422</v>
      </c>
      <c r="G88" s="503" t="s">
        <v>3423</v>
      </c>
      <c r="H88" s="503" t="s">
        <v>3424</v>
      </c>
      <c r="I88" s="503" t="s">
        <v>3425</v>
      </c>
      <c r="J88" s="503" t="s">
        <v>3426</v>
      </c>
      <c r="K88" s="503" t="s">
        <v>3427</v>
      </c>
      <c r="L88" s="503" t="s">
        <v>3428</v>
      </c>
      <c r="M88" s="530"/>
      <c r="N88" s="931"/>
      <c r="O88" s="931"/>
      <c r="P88" s="1918"/>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4.4" thickTop="1">
      <c r="A90" s="502"/>
      <c r="B90" s="487">
        <f>B27</f>
        <v>111</v>
      </c>
      <c r="C90" s="503"/>
      <c r="D90" s="503"/>
      <c r="E90" s="503"/>
      <c r="F90" s="503"/>
      <c r="G90" s="503"/>
      <c r="H90" s="504"/>
      <c r="I90" s="504"/>
      <c r="J90" s="504"/>
      <c r="K90" s="504"/>
      <c r="L90" s="505"/>
      <c r="M90" s="506"/>
      <c r="N90" s="934"/>
      <c r="O90" s="934"/>
      <c r="P90" s="1919"/>
      <c r="Q90" s="508"/>
    </row>
    <row r="91" spans="1:17" s="422" customFormat="1" ht="14.4" thickBot="1">
      <c r="A91" s="502"/>
      <c r="B91" s="492"/>
      <c r="C91" s="509"/>
      <c r="D91" s="509"/>
      <c r="E91" s="509"/>
      <c r="F91" s="509"/>
      <c r="G91" s="509"/>
      <c r="H91" s="511"/>
      <c r="I91" s="511"/>
      <c r="J91" s="511"/>
      <c r="K91" s="511"/>
      <c r="L91" s="511"/>
      <c r="M91" s="512"/>
      <c r="N91" s="934"/>
      <c r="O91" s="934"/>
      <c r="P91" s="1919"/>
      <c r="Q91" s="508"/>
    </row>
    <row r="92" spans="1:17" ht="14.4" thickTop="1">
      <c r="A92" s="483"/>
      <c r="B92" s="487">
        <f>B28</f>
        <v>111</v>
      </c>
      <c r="C92" s="503"/>
      <c r="D92" s="503"/>
      <c r="E92" s="503"/>
      <c r="F92" s="503"/>
      <c r="G92" s="532"/>
      <c r="H92" s="532"/>
      <c r="I92" s="532"/>
      <c r="J92" s="532"/>
      <c r="K92" s="533"/>
      <c r="L92" s="534"/>
      <c r="M92" s="535"/>
      <c r="N92" s="932"/>
      <c r="O92" s="932"/>
      <c r="P92" s="1918"/>
      <c r="Q92" s="453"/>
    </row>
    <row r="93" spans="1:17" ht="14.4" thickBot="1">
      <c r="A93" s="483"/>
      <c r="B93" s="492"/>
      <c r="C93" s="509"/>
      <c r="D93" s="485"/>
      <c r="E93" s="485"/>
      <c r="F93" s="485"/>
      <c r="G93" s="485"/>
      <c r="H93" s="485"/>
      <c r="I93" s="485"/>
      <c r="J93" s="485"/>
      <c r="K93" s="485"/>
      <c r="L93" s="485"/>
      <c r="M93" s="486"/>
      <c r="N93" s="933"/>
      <c r="O93" s="933"/>
      <c r="P93" s="1918"/>
      <c r="Q93" s="453"/>
    </row>
    <row r="94" spans="1:17" ht="14.4" thickTop="1">
      <c r="A94" s="483"/>
      <c r="B94" s="487">
        <f>B29</f>
        <v>111</v>
      </c>
      <c r="C94" s="503"/>
      <c r="D94" s="503"/>
      <c r="E94" s="503"/>
      <c r="F94" s="503"/>
      <c r="G94" s="532"/>
      <c r="H94" s="532"/>
      <c r="I94" s="532"/>
      <c r="J94" s="532"/>
      <c r="K94" s="533"/>
      <c r="L94" s="534"/>
      <c r="M94" s="535"/>
      <c r="N94" s="932"/>
      <c r="O94" s="932"/>
      <c r="P94" s="1918"/>
      <c r="Q94" s="453"/>
    </row>
    <row r="95" spans="1:17" ht="14.4" thickBot="1">
      <c r="A95" s="483"/>
      <c r="B95" s="492"/>
      <c r="C95" s="509"/>
      <c r="D95" s="509"/>
      <c r="E95" s="509"/>
      <c r="F95" s="509"/>
      <c r="G95" s="485"/>
      <c r="H95" s="485"/>
      <c r="I95" s="485"/>
      <c r="J95" s="485"/>
      <c r="K95" s="485"/>
      <c r="L95" s="485"/>
      <c r="M95" s="486"/>
      <c r="N95" s="933"/>
      <c r="O95" s="933"/>
      <c r="P95" s="1918"/>
      <c r="Q95" s="453"/>
    </row>
    <row r="96" spans="1:17" ht="14.4" thickTop="1">
      <c r="A96" s="483"/>
      <c r="B96" s="487">
        <f>B30</f>
        <v>111</v>
      </c>
      <c r="C96" s="503"/>
      <c r="D96" s="503"/>
      <c r="E96" s="503"/>
      <c r="F96" s="503"/>
      <c r="G96" s="532"/>
      <c r="H96" s="532"/>
      <c r="I96" s="532"/>
      <c r="J96" s="532"/>
      <c r="K96" s="533"/>
      <c r="L96" s="534"/>
      <c r="M96" s="535"/>
      <c r="N96" s="932"/>
      <c r="O96" s="932"/>
      <c r="P96" s="1918"/>
      <c r="Q96" s="453"/>
    </row>
    <row r="97" spans="1:17" ht="14.4" thickBot="1">
      <c r="A97" s="483"/>
      <c r="B97" s="492"/>
      <c r="C97" s="519"/>
      <c r="D97" s="519"/>
      <c r="E97" s="519"/>
      <c r="F97" s="519"/>
      <c r="G97" s="485"/>
      <c r="H97" s="485"/>
      <c r="I97" s="485"/>
      <c r="J97" s="485"/>
      <c r="K97" s="485"/>
      <c r="L97" s="485"/>
      <c r="M97" s="486"/>
      <c r="N97" s="933"/>
      <c r="O97" s="933"/>
      <c r="P97" s="1918"/>
      <c r="Q97" s="453"/>
    </row>
    <row r="98" spans="1:17" ht="14.4" thickTop="1">
      <c r="A98" s="483"/>
      <c r="B98" s="495">
        <f>B31</f>
        <v>111</v>
      </c>
      <c r="C98" s="536"/>
      <c r="D98" s="536"/>
      <c r="E98" s="536"/>
      <c r="F98" s="536"/>
      <c r="G98" s="536"/>
      <c r="H98" s="536"/>
      <c r="I98" s="536"/>
      <c r="J98" s="536"/>
      <c r="K98" s="537"/>
      <c r="L98" s="538"/>
      <c r="M98" s="539"/>
      <c r="N98" s="932"/>
      <c r="O98" s="932"/>
      <c r="P98" s="1918"/>
      <c r="Q98" s="453"/>
    </row>
    <row r="99" spans="1:17" ht="14.4" thickBot="1">
      <c r="A99" s="1924"/>
      <c r="B99" s="518"/>
      <c r="C99" s="540"/>
      <c r="D99" s="540"/>
      <c r="E99" s="540"/>
      <c r="F99" s="540"/>
      <c r="G99" s="540"/>
      <c r="H99" s="540"/>
      <c r="I99" s="540"/>
      <c r="J99" s="540"/>
      <c r="K99" s="540"/>
      <c r="L99" s="540"/>
      <c r="M99" s="541"/>
      <c r="N99" s="933"/>
      <c r="O99" s="933"/>
      <c r="P99" s="1918"/>
      <c r="Q99" s="453"/>
    </row>
    <row r="100" spans="1:17" ht="14.4">
      <c r="A100" s="476" t="s">
        <v>1692</v>
      </c>
      <c r="B100" s="477" t="s">
        <v>1734</v>
      </c>
      <c r="C100" s="479" t="s">
        <v>3429</v>
      </c>
      <c r="D100" s="479" t="s">
        <v>3430</v>
      </c>
      <c r="E100" s="479" t="s">
        <v>3431</v>
      </c>
      <c r="F100" s="479" t="s">
        <v>3432</v>
      </c>
      <c r="G100" s="479" t="s">
        <v>3433</v>
      </c>
      <c r="H100" s="479" t="s">
        <v>3434</v>
      </c>
      <c r="I100" s="479" t="s">
        <v>3435</v>
      </c>
      <c r="J100" s="479"/>
      <c r="K100" s="480"/>
      <c r="L100" s="481"/>
      <c r="M100" s="482"/>
      <c r="N100" s="932"/>
      <c r="O100" s="932"/>
      <c r="P100" s="1918"/>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8.2"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4.4"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5" t="s">
        <v>3436</v>
      </c>
      <c r="D105" s="503"/>
      <c r="E105" s="532"/>
      <c r="F105" s="532"/>
      <c r="G105" s="532"/>
      <c r="H105" s="532"/>
      <c r="I105" s="532"/>
      <c r="J105" s="532"/>
      <c r="K105" s="533"/>
      <c r="L105" s="534"/>
      <c r="M105" s="535"/>
      <c r="N105" s="932"/>
      <c r="O105" s="932"/>
      <c r="P105" s="1918"/>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6" t="s">
        <v>3441</v>
      </c>
      <c r="D107" s="3446" t="s">
        <v>3442</v>
      </c>
      <c r="E107" s="3446" t="s">
        <v>3443</v>
      </c>
      <c r="F107" s="532"/>
      <c r="G107" s="532"/>
      <c r="H107" s="532"/>
      <c r="I107" s="532"/>
      <c r="J107" s="532"/>
      <c r="K107" s="533"/>
      <c r="L107" s="534"/>
      <c r="M107" s="535"/>
      <c r="N107" s="932"/>
      <c r="O107" s="932"/>
      <c r="P107" s="1918"/>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5" t="s">
        <v>3437</v>
      </c>
      <c r="D109" s="3445" t="s">
        <v>3438</v>
      </c>
      <c r="E109" s="3445" t="s">
        <v>3439</v>
      </c>
      <c r="F109" s="3446" t="s">
        <v>3440</v>
      </c>
      <c r="G109" s="532"/>
      <c r="H109" s="532"/>
      <c r="I109" s="532"/>
      <c r="J109" s="532"/>
      <c r="K109" s="533"/>
      <c r="L109" s="534"/>
      <c r="M109" s="535"/>
      <c r="N109" s="932"/>
      <c r="O109" s="932"/>
      <c r="P109" s="1918"/>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4.4"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5" t="s">
        <v>3444</v>
      </c>
      <c r="D114" s="3445" t="s">
        <v>3445</v>
      </c>
      <c r="E114" s="532"/>
      <c r="F114" s="532"/>
      <c r="G114" s="532"/>
      <c r="H114" s="532"/>
      <c r="I114" s="532"/>
      <c r="J114" s="532"/>
      <c r="K114" s="533"/>
      <c r="L114" s="534"/>
      <c r="M114" s="535"/>
      <c r="N114" s="932"/>
      <c r="O114" s="932"/>
      <c r="P114" s="1918"/>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6" t="s">
        <v>3446</v>
      </c>
      <c r="D118" s="3446" t="s">
        <v>3447</v>
      </c>
      <c r="E118" s="3446" t="s">
        <v>3448</v>
      </c>
      <c r="F118" s="3446" t="s">
        <v>3449</v>
      </c>
      <c r="G118" s="3446" t="s">
        <v>3450</v>
      </c>
      <c r="H118" s="3446" t="s">
        <v>3451</v>
      </c>
      <c r="I118" s="532"/>
      <c r="J118" s="532"/>
      <c r="K118" s="533"/>
      <c r="L118" s="534"/>
      <c r="M118" s="535"/>
      <c r="N118" s="932"/>
      <c r="O118" s="932"/>
      <c r="P118" s="1918"/>
      <c r="Q118" s="453"/>
    </row>
    <row r="119" spans="1:17" ht="14.4"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9.4"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4.4"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29.4"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4.4"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4.4" thickBot="1">
      <c r="A127" s="502"/>
      <c r="B127" s="492"/>
      <c r="C127" s="509"/>
      <c r="D127" s="485"/>
      <c r="E127" s="485"/>
      <c r="F127" s="485"/>
      <c r="G127" s="509"/>
      <c r="H127" s="511"/>
      <c r="I127" s="511"/>
      <c r="J127" s="511"/>
      <c r="K127" s="511"/>
      <c r="L127" s="511"/>
      <c r="M127" s="512"/>
      <c r="N127" s="934"/>
      <c r="O127" s="934"/>
      <c r="P127" s="1919"/>
      <c r="Q127" s="508"/>
    </row>
    <row r="128" spans="1:17" ht="14.4" thickTop="1">
      <c r="A128" s="548"/>
      <c r="B128" s="487">
        <f>B45</f>
        <v>111</v>
      </c>
      <c r="C128" s="503"/>
      <c r="D128" s="503"/>
      <c r="E128" s="503"/>
      <c r="F128" s="503"/>
      <c r="G128" s="532"/>
      <c r="H128" s="532"/>
      <c r="I128" s="532"/>
      <c r="J128" s="532"/>
      <c r="K128" s="533"/>
      <c r="L128" s="534"/>
      <c r="M128" s="535"/>
      <c r="N128" s="932"/>
      <c r="O128" s="932"/>
      <c r="P128" s="1918"/>
      <c r="Q128" s="453"/>
    </row>
    <row r="129" spans="1:17" ht="14.4" thickBot="1">
      <c r="A129" s="483"/>
      <c r="B129" s="492"/>
      <c r="C129" s="509"/>
      <c r="D129" s="509"/>
      <c r="E129" s="509"/>
      <c r="F129" s="509"/>
      <c r="G129" s="485"/>
      <c r="H129" s="485"/>
      <c r="I129" s="485"/>
      <c r="J129" s="485"/>
      <c r="K129" s="485"/>
      <c r="L129" s="485"/>
      <c r="M129" s="486"/>
      <c r="N129" s="933"/>
      <c r="O129" s="933"/>
      <c r="P129" s="1918"/>
      <c r="Q129" s="453"/>
    </row>
    <row r="130" spans="1:17" ht="14.4" thickTop="1">
      <c r="A130" s="548"/>
      <c r="B130" s="495">
        <f>B46</f>
        <v>111</v>
      </c>
      <c r="C130" s="503"/>
      <c r="D130" s="503"/>
      <c r="E130" s="503"/>
      <c r="F130" s="503"/>
      <c r="G130" s="536"/>
      <c r="H130" s="536"/>
      <c r="I130" s="536"/>
      <c r="J130" s="536"/>
      <c r="K130" s="472"/>
      <c r="L130" s="473"/>
      <c r="M130" s="539"/>
      <c r="N130" s="932"/>
      <c r="O130" s="932"/>
      <c r="P130" s="1918"/>
      <c r="Q130" s="453"/>
    </row>
    <row r="131" spans="1:17" ht="14.4"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6.2"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ht="14.4">
      <c r="B147" s="1925" t="s">
        <v>1762</v>
      </c>
    </row>
    <row r="148" spans="2:11" ht="14.4">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I53" activeCellId="1" sqref="K44 I5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876" t="s">
        <v>1764</v>
      </c>
      <c r="C1" s="1236" t="s">
        <v>1660</v>
      </c>
      <c r="D1" s="1223"/>
      <c r="E1" s="3419" t="s">
        <v>3491</v>
      </c>
      <c r="F1" s="1877" t="s">
        <v>3492</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1948"/>
      <c r="Q2" s="911"/>
      <c r="R2" s="911"/>
      <c r="S2" s="911"/>
      <c r="T2" s="911"/>
      <c r="U2" s="911"/>
      <c r="V2" s="911"/>
      <c r="W2" s="911"/>
      <c r="X2" s="911"/>
      <c r="Y2" s="911"/>
      <c r="Z2" s="911"/>
      <c r="AA2" s="911"/>
      <c r="AB2" s="911"/>
      <c r="AC2" s="1949"/>
    </row>
    <row r="3" spans="1:29" s="352" customFormat="1" ht="28.5" customHeight="1" thickBot="1">
      <c r="A3" s="203" t="s">
        <v>1462</v>
      </c>
      <c r="B3" s="558" t="e">
        <f>IF(C2="——",C49,ROUND(B2*10000/D3,0))</f>
        <v>#DIV/0!</v>
      </c>
      <c r="C3" s="354" t="s">
        <v>1766</v>
      </c>
      <c r="D3" s="353">
        <f>IF(D1="",'数据-汇总表'!E3,SUMIF('数据-汇总表'!$C19:$C33,D1,'数据-汇总表'!$E19:$E33))</f>
        <v>48491.65</v>
      </c>
      <c r="E3" s="1950"/>
      <c r="F3" s="908"/>
      <c r="G3" s="907"/>
      <c r="H3" s="907"/>
      <c r="I3" s="907"/>
      <c r="J3" s="907"/>
      <c r="K3" s="909"/>
      <c r="L3" s="2727"/>
      <c r="M3" s="2728"/>
      <c r="N3" s="2728"/>
      <c r="O3" s="2728"/>
      <c r="P3" s="1948"/>
      <c r="Q3" s="911"/>
      <c r="R3" s="911"/>
      <c r="S3" s="911"/>
      <c r="T3" s="911"/>
      <c r="U3" s="911"/>
      <c r="V3" s="911"/>
      <c r="W3" s="911"/>
      <c r="X3" s="911"/>
      <c r="Y3" s="911"/>
      <c r="Z3" s="911"/>
      <c r="AA3" s="911"/>
      <c r="AB3" s="911"/>
      <c r="AC3" s="1950"/>
    </row>
    <row r="4" spans="1:29" ht="14.4">
      <c r="A4" s="355" t="s">
        <v>1767</v>
      </c>
      <c r="B4" s="356"/>
      <c r="C4" s="3757" t="s">
        <v>1768</v>
      </c>
      <c r="D4" s="3758"/>
      <c r="E4" s="3759" t="s">
        <v>1769</v>
      </c>
      <c r="F4" s="3760"/>
      <c r="G4" s="3757" t="s">
        <v>1770</v>
      </c>
      <c r="H4" s="3758"/>
      <c r="I4" s="3757" t="s">
        <v>1771</v>
      </c>
      <c r="J4" s="3758"/>
      <c r="K4" s="559" t="s">
        <v>1772</v>
      </c>
      <c r="L4" s="2708"/>
      <c r="M4" s="2709"/>
      <c r="N4" s="2709"/>
      <c r="O4" s="2709"/>
      <c r="P4" s="3761" t="s">
        <v>1773</v>
      </c>
      <c r="Q4" s="3762"/>
      <c r="R4" s="3744" t="s">
        <v>1769</v>
      </c>
      <c r="S4" s="3745"/>
      <c r="T4" s="3744" t="s">
        <v>1770</v>
      </c>
      <c r="U4" s="3745"/>
      <c r="V4" s="3769" t="s">
        <v>1771</v>
      </c>
      <c r="W4" s="3769"/>
      <c r="X4" s="1353"/>
      <c r="Y4" s="3744" t="s">
        <v>1773</v>
      </c>
      <c r="Z4" s="3745"/>
      <c r="AA4" s="3739" t="s">
        <v>1769</v>
      </c>
      <c r="AB4" s="3769" t="s">
        <v>1770</v>
      </c>
      <c r="AC4" s="3739" t="s">
        <v>1771</v>
      </c>
    </row>
    <row r="5" spans="1:29">
      <c r="A5" s="358"/>
      <c r="B5" s="359"/>
      <c r="C5" s="3750" t="s">
        <v>1671</v>
      </c>
      <c r="D5" s="3751"/>
      <c r="E5" s="3748" t="s">
        <v>1672</v>
      </c>
      <c r="F5" s="3749"/>
      <c r="G5" s="3750" t="s">
        <v>1673</v>
      </c>
      <c r="H5" s="3751"/>
      <c r="I5" s="3750" t="s">
        <v>1674</v>
      </c>
      <c r="J5" s="3751"/>
      <c r="K5" s="559"/>
      <c r="L5" s="2708"/>
      <c r="M5" s="2709"/>
      <c r="N5" s="2709"/>
      <c r="O5" s="2709"/>
      <c r="P5" s="3763"/>
      <c r="Q5" s="3764"/>
      <c r="R5" s="3746"/>
      <c r="S5" s="3747"/>
      <c r="T5" s="3746"/>
      <c r="U5" s="3747"/>
      <c r="V5" s="3769"/>
      <c r="W5" s="3769"/>
      <c r="X5" s="1353"/>
      <c r="Y5" s="3746"/>
      <c r="Z5" s="3747"/>
      <c r="AA5" s="3740"/>
      <c r="AB5" s="3769"/>
      <c r="AC5" s="3740"/>
    </row>
    <row r="6" spans="1:29" ht="15" thickBot="1">
      <c r="A6" s="360"/>
      <c r="B6" s="361"/>
      <c r="C6" s="3752" t="s">
        <v>1675</v>
      </c>
      <c r="D6" s="3753"/>
      <c r="E6" s="3754" t="s">
        <v>1675</v>
      </c>
      <c r="F6" s="3755"/>
      <c r="G6" s="3752" t="s">
        <v>1675</v>
      </c>
      <c r="H6" s="3753"/>
      <c r="I6" s="3752" t="s">
        <v>1675</v>
      </c>
      <c r="J6" s="3753"/>
      <c r="K6" s="559" t="s">
        <v>1676</v>
      </c>
      <c r="L6" s="2708"/>
      <c r="M6" s="2709"/>
      <c r="N6" s="2709"/>
      <c r="O6" s="2709"/>
      <c r="P6" s="3765"/>
      <c r="Q6" s="3766"/>
      <c r="R6" s="3746"/>
      <c r="S6" s="3747"/>
      <c r="T6" s="3767"/>
      <c r="U6" s="3768"/>
      <c r="V6" s="3769"/>
      <c r="W6" s="3769"/>
      <c r="X6" s="1353"/>
      <c r="Y6" s="3767"/>
      <c r="Z6" s="3768"/>
      <c r="AA6" s="3741"/>
      <c r="AB6" s="3769"/>
      <c r="AC6" s="3741"/>
    </row>
    <row r="7" spans="1:29" s="108" customFormat="1" ht="15" thickBot="1">
      <c r="A7" s="362" t="s">
        <v>1677</v>
      </c>
      <c r="B7" s="363"/>
      <c r="C7" s="364">
        <f>'数据-取费表'!B2</f>
        <v>45146</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42" t="s">
        <v>1678</v>
      </c>
      <c r="Q7" s="3770"/>
      <c r="R7" s="700" t="s">
        <v>14</v>
      </c>
      <c r="S7" s="701">
        <f t="shared" ref="S7:S15" si="0">F7</f>
        <v>0</v>
      </c>
      <c r="T7" s="700" t="s">
        <v>14</v>
      </c>
      <c r="U7" s="701">
        <f t="shared" ref="U7:U15" si="1">H7</f>
        <v>0</v>
      </c>
      <c r="V7" s="700" t="s">
        <v>14</v>
      </c>
      <c r="W7" s="701">
        <f t="shared" ref="W7:W15" si="2">J7</f>
        <v>0</v>
      </c>
      <c r="X7" s="702"/>
      <c r="Y7" s="3742" t="s">
        <v>1678</v>
      </c>
      <c r="Z7" s="3743"/>
      <c r="AA7" s="703" t="e">
        <f>D7/F7</f>
        <v>#DIV/0!</v>
      </c>
      <c r="AB7" s="703" t="e">
        <f>D7/H7</f>
        <v>#DIV/0!</v>
      </c>
      <c r="AC7" s="703" t="e">
        <f>D7/J7</f>
        <v>#DIV/0!</v>
      </c>
    </row>
    <row r="8" spans="1:29" s="108" customFormat="1" ht="1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60"/>
      <c r="L8" s="2710"/>
      <c r="M8" s="2711"/>
      <c r="N8" s="2711"/>
      <c r="O8" s="2711"/>
      <c r="P8" s="3742" t="s">
        <v>1681</v>
      </c>
      <c r="Q8" s="3743"/>
      <c r="R8" s="700" t="s">
        <v>14</v>
      </c>
      <c r="S8" s="701">
        <f t="shared" si="0"/>
        <v>102</v>
      </c>
      <c r="T8" s="700" t="s">
        <v>14</v>
      </c>
      <c r="U8" s="701">
        <f t="shared" si="1"/>
        <v>102</v>
      </c>
      <c r="V8" s="700" t="s">
        <v>14</v>
      </c>
      <c r="W8" s="701">
        <f t="shared" si="2"/>
        <v>102</v>
      </c>
      <c r="X8" s="702"/>
      <c r="Y8" s="3742" t="s">
        <v>1681</v>
      </c>
      <c r="Z8" s="3743"/>
      <c r="AA8" s="703">
        <f t="shared" ref="AA8:AA46" si="3">D8/F8</f>
        <v>0.98039215686274506</v>
      </c>
      <c r="AB8" s="703">
        <f t="shared" ref="AB8:AB46" si="4">D8/H8</f>
        <v>0.98039215686274506</v>
      </c>
      <c r="AC8" s="703">
        <f t="shared" ref="AC8:AC46" si="5">D8/J8</f>
        <v>0.98039215686274506</v>
      </c>
    </row>
    <row r="9" spans="1:29" s="108" customFormat="1" ht="14.4">
      <c r="A9" s="369" t="s">
        <v>1682</v>
      </c>
      <c r="B9" s="63" t="s">
        <v>1683</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80" t="s">
        <v>1684</v>
      </c>
      <c r="Q9" s="1341" t="str">
        <f t="shared" ref="Q9:Q15" si="6">B9</f>
        <v>用途</v>
      </c>
      <c r="R9" s="700" t="s">
        <v>14</v>
      </c>
      <c r="S9" s="701">
        <f t="shared" si="0"/>
        <v>100</v>
      </c>
      <c r="T9" s="700" t="s">
        <v>14</v>
      </c>
      <c r="U9" s="701">
        <f t="shared" si="1"/>
        <v>100</v>
      </c>
      <c r="V9" s="700" t="s">
        <v>14</v>
      </c>
      <c r="W9" s="701">
        <f t="shared" si="2"/>
        <v>100</v>
      </c>
      <c r="X9" s="702"/>
      <c r="Y9" s="3688" t="s">
        <v>1685</v>
      </c>
      <c r="Z9" s="52" t="str">
        <f t="shared" ref="Z9:Z15" si="7">Q9</f>
        <v>用途</v>
      </c>
      <c r="AA9" s="703">
        <f t="shared" si="3"/>
        <v>1</v>
      </c>
      <c r="AB9" s="703">
        <f t="shared" si="4"/>
        <v>1</v>
      </c>
      <c r="AC9" s="703">
        <f t="shared" si="5"/>
        <v>1</v>
      </c>
    </row>
    <row r="10" spans="1:29" s="378" customFormat="1" ht="28.8">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80"/>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80"/>
      <c r="Q11" s="1341"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80"/>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80"/>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80"/>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5"/>
      <c r="M15" s="2709"/>
      <c r="N15" s="2709"/>
      <c r="O15" s="2709"/>
      <c r="P15" s="3808" t="s">
        <v>1689</v>
      </c>
      <c r="Q15" s="1350" t="str">
        <f t="shared" si="6"/>
        <v>商业繁华度</v>
      </c>
      <c r="R15" s="704" t="s">
        <v>14</v>
      </c>
      <c r="S15" s="705">
        <f t="shared" si="0"/>
        <v>100</v>
      </c>
      <c r="T15" s="704" t="s">
        <v>14</v>
      </c>
      <c r="U15" s="705">
        <f t="shared" si="1"/>
        <v>100</v>
      </c>
      <c r="V15" s="704" t="s">
        <v>14</v>
      </c>
      <c r="W15" s="705">
        <f t="shared" si="2"/>
        <v>100</v>
      </c>
      <c r="X15" s="1353"/>
      <c r="Y15" s="3771"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809"/>
      <c r="Q16" s="1350"/>
      <c r="R16" s="704"/>
      <c r="S16" s="705"/>
      <c r="T16" s="704"/>
      <c r="U16" s="705"/>
      <c r="V16" s="704"/>
      <c r="W16" s="705"/>
      <c r="X16" s="1353"/>
      <c r="Y16" s="3772"/>
      <c r="Z16" s="1354"/>
      <c r="AA16" s="1351">
        <v>1</v>
      </c>
      <c r="AB16" s="1351">
        <v>1</v>
      </c>
      <c r="AC16" s="1351">
        <v>1</v>
      </c>
    </row>
    <row r="17" spans="1:29" ht="15">
      <c r="A17" s="379"/>
      <c r="B17" s="402" t="s">
        <v>1257</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809"/>
      <c r="Q17" s="1350" t="str">
        <f>B17</f>
        <v>交通便捷度</v>
      </c>
      <c r="R17" s="704" t="s">
        <v>14</v>
      </c>
      <c r="S17" s="705">
        <f>F17</f>
        <v>100</v>
      </c>
      <c r="T17" s="704" t="s">
        <v>14</v>
      </c>
      <c r="U17" s="705">
        <f>H17</f>
        <v>100</v>
      </c>
      <c r="V17" s="704" t="s">
        <v>14</v>
      </c>
      <c r="W17" s="705">
        <f>J17</f>
        <v>100</v>
      </c>
      <c r="X17" s="1353"/>
      <c r="Y17" s="377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809"/>
      <c r="Q18" s="1350"/>
      <c r="R18" s="704"/>
      <c r="S18" s="705"/>
      <c r="T18" s="704"/>
      <c r="U18" s="705"/>
      <c r="V18" s="704"/>
      <c r="W18" s="705"/>
      <c r="X18" s="1353"/>
      <c r="Y18" s="3772"/>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09"/>
      <c r="Q19" s="1350" t="str">
        <f>B19</f>
        <v>公共配套设施</v>
      </c>
      <c r="R19" s="704" t="s">
        <v>14</v>
      </c>
      <c r="S19" s="705">
        <f>F19</f>
        <v>100</v>
      </c>
      <c r="T19" s="704" t="s">
        <v>14</v>
      </c>
      <c r="U19" s="705">
        <f>H19</f>
        <v>100</v>
      </c>
      <c r="V19" s="704" t="s">
        <v>14</v>
      </c>
      <c r="W19" s="705">
        <f>J19</f>
        <v>100</v>
      </c>
      <c r="X19" s="1353"/>
      <c r="Y19" s="377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809"/>
      <c r="Q20" s="1350"/>
      <c r="R20" s="704"/>
      <c r="S20" s="705"/>
      <c r="T20" s="704"/>
      <c r="U20" s="705"/>
      <c r="V20" s="704"/>
      <c r="W20" s="705"/>
      <c r="X20" s="1353"/>
      <c r="Y20" s="3772"/>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09"/>
      <c r="Q21" s="1350" t="str">
        <f>B21</f>
        <v>基础设施水平</v>
      </c>
      <c r="R21" s="704" t="s">
        <v>14</v>
      </c>
      <c r="S21" s="705">
        <f>F21</f>
        <v>100</v>
      </c>
      <c r="T21" s="704" t="s">
        <v>14</v>
      </c>
      <c r="U21" s="705">
        <f>H21</f>
        <v>100</v>
      </c>
      <c r="V21" s="704" t="s">
        <v>14</v>
      </c>
      <c r="W21" s="705">
        <f>J21</f>
        <v>100</v>
      </c>
      <c r="X21" s="1353"/>
      <c r="Y21" s="377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5"/>
      <c r="M22" s="2709"/>
      <c r="N22" s="2709"/>
      <c r="O22" s="2709"/>
      <c r="P22" s="3809"/>
      <c r="Q22" s="1350"/>
      <c r="R22" s="704"/>
      <c r="S22" s="705"/>
      <c r="T22" s="704"/>
      <c r="U22" s="705"/>
      <c r="V22" s="704"/>
      <c r="W22" s="705"/>
      <c r="X22" s="1353"/>
      <c r="Y22" s="3772"/>
      <c r="Z22" s="1354"/>
      <c r="AA22" s="1351">
        <v>1</v>
      </c>
      <c r="AB22" s="1351">
        <v>1</v>
      </c>
      <c r="AC22" s="1351">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09"/>
      <c r="Q23" s="1350" t="str">
        <f>B23</f>
        <v>自然及人文环境</v>
      </c>
      <c r="R23" s="704" t="s">
        <v>14</v>
      </c>
      <c r="S23" s="705">
        <f>F23</f>
        <v>100</v>
      </c>
      <c r="T23" s="704" t="s">
        <v>14</v>
      </c>
      <c r="U23" s="705">
        <f>H23</f>
        <v>100</v>
      </c>
      <c r="V23" s="704" t="s">
        <v>14</v>
      </c>
      <c r="W23" s="705">
        <f>J23</f>
        <v>100</v>
      </c>
      <c r="X23" s="1353"/>
      <c r="Y23" s="377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809"/>
      <c r="Q24" s="1350"/>
      <c r="R24" s="704"/>
      <c r="S24" s="705"/>
      <c r="T24" s="704"/>
      <c r="U24" s="705"/>
      <c r="V24" s="704"/>
      <c r="W24" s="705"/>
      <c r="X24" s="1353"/>
      <c r="Y24" s="3772"/>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809"/>
      <c r="Q25" s="1350" t="str">
        <f t="shared" ref="Q25:Q46" si="11">B25</f>
        <v>临街状况</v>
      </c>
      <c r="R25" s="704" t="s">
        <v>14</v>
      </c>
      <c r="S25" s="705">
        <f>F25</f>
        <v>100</v>
      </c>
      <c r="T25" s="704" t="s">
        <v>14</v>
      </c>
      <c r="U25" s="705">
        <f>H25</f>
        <v>100</v>
      </c>
      <c r="V25" s="704" t="s">
        <v>14</v>
      </c>
      <c r="W25" s="705">
        <f>J25</f>
        <v>100</v>
      </c>
      <c r="X25" s="1353"/>
      <c r="Y25" s="3772"/>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809"/>
      <c r="Q26" s="1350" t="str">
        <f t="shared" si="11"/>
        <v>平面位置/可视性</v>
      </c>
      <c r="R26" s="704" t="s">
        <v>14</v>
      </c>
      <c r="S26" s="705">
        <f>F26</f>
        <v>100</v>
      </c>
      <c r="T26" s="704" t="s">
        <v>14</v>
      </c>
      <c r="U26" s="705">
        <f>H26</f>
        <v>100</v>
      </c>
      <c r="V26" s="704" t="s">
        <v>14</v>
      </c>
      <c r="W26" s="705">
        <f>J26</f>
        <v>100</v>
      </c>
      <c r="X26" s="1353"/>
      <c r="Y26" s="3772"/>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0"/>
      <c r="M27" s="2711"/>
      <c r="N27" s="2711"/>
      <c r="O27" s="2711"/>
      <c r="P27" s="3809"/>
      <c r="Q27" s="1341" t="str">
        <f t="shared" si="11"/>
        <v>人流量</v>
      </c>
      <c r="R27" s="700" t="s">
        <v>14</v>
      </c>
      <c r="S27" s="701">
        <f>F27</f>
        <v>100</v>
      </c>
      <c r="T27" s="700" t="s">
        <v>14</v>
      </c>
      <c r="U27" s="701">
        <f>H27</f>
        <v>100</v>
      </c>
      <c r="V27" s="700" t="s">
        <v>14</v>
      </c>
      <c r="W27" s="701">
        <f>J27</f>
        <v>100</v>
      </c>
      <c r="X27" s="702"/>
      <c r="Y27" s="3772"/>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809"/>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72"/>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9"/>
      <c r="Q29" s="1350">
        <f t="shared" si="11"/>
        <v>111</v>
      </c>
      <c r="R29" s="704" t="s">
        <v>14</v>
      </c>
      <c r="S29" s="705">
        <f t="shared" si="12"/>
        <v>100</v>
      </c>
      <c r="T29" s="704" t="s">
        <v>14</v>
      </c>
      <c r="U29" s="705">
        <f t="shared" si="13"/>
        <v>100</v>
      </c>
      <c r="V29" s="704" t="s">
        <v>14</v>
      </c>
      <c r="W29" s="705">
        <f t="shared" si="14"/>
        <v>100</v>
      </c>
      <c r="X29" s="1353"/>
      <c r="Y29" s="3772"/>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9"/>
      <c r="Q30" s="1350">
        <f t="shared" si="11"/>
        <v>111</v>
      </c>
      <c r="R30" s="704" t="s">
        <v>14</v>
      </c>
      <c r="S30" s="705">
        <f t="shared" si="12"/>
        <v>100</v>
      </c>
      <c r="T30" s="704" t="s">
        <v>14</v>
      </c>
      <c r="U30" s="705">
        <f t="shared" si="13"/>
        <v>100</v>
      </c>
      <c r="V30" s="704" t="s">
        <v>14</v>
      </c>
      <c r="W30" s="705">
        <f t="shared" si="14"/>
        <v>100</v>
      </c>
      <c r="X30" s="1353"/>
      <c r="Y30" s="3772"/>
      <c r="Z30" s="1354">
        <f t="shared" si="15"/>
        <v>111</v>
      </c>
      <c r="AA30" s="1351">
        <f t="shared" si="3"/>
        <v>1</v>
      </c>
      <c r="AB30" s="1351">
        <f t="shared" si="4"/>
        <v>1</v>
      </c>
      <c r="AC30" s="135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9"/>
      <c r="Q31" s="1350">
        <f t="shared" si="11"/>
        <v>111</v>
      </c>
      <c r="R31" s="704" t="s">
        <v>14</v>
      </c>
      <c r="S31" s="705">
        <f t="shared" si="12"/>
        <v>100</v>
      </c>
      <c r="T31" s="704" t="s">
        <v>14</v>
      </c>
      <c r="U31" s="705">
        <f t="shared" si="13"/>
        <v>100</v>
      </c>
      <c r="V31" s="704" t="s">
        <v>14</v>
      </c>
      <c r="W31" s="705">
        <f t="shared" si="14"/>
        <v>100</v>
      </c>
      <c r="X31" s="1353"/>
      <c r="Y31" s="3772"/>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5"/>
      <c r="M32" s="2709"/>
      <c r="N32" s="2709"/>
      <c r="O32" s="2709"/>
      <c r="P32" s="3804" t="s">
        <v>1694</v>
      </c>
      <c r="Q32" s="1350" t="str">
        <f t="shared" si="11"/>
        <v>商业类型</v>
      </c>
      <c r="R32" s="704" t="s">
        <v>14</v>
      </c>
      <c r="S32" s="705">
        <f t="shared" si="12"/>
        <v>100</v>
      </c>
      <c r="T32" s="704" t="s">
        <v>14</v>
      </c>
      <c r="U32" s="705">
        <f t="shared" si="13"/>
        <v>100</v>
      </c>
      <c r="V32" s="704" t="s">
        <v>14</v>
      </c>
      <c r="W32" s="705">
        <f t="shared" si="14"/>
        <v>100</v>
      </c>
      <c r="X32" s="1353"/>
      <c r="Y32" s="3774"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4"/>
      <c r="M33" s="2716"/>
      <c r="N33" s="2716"/>
      <c r="O33" s="2716"/>
      <c r="P33" s="3805"/>
      <c r="Q33" s="706" t="str">
        <f t="shared" si="11"/>
        <v>项目建筑规模</v>
      </c>
      <c r="R33" s="707" t="s">
        <v>14</v>
      </c>
      <c r="S33" s="708">
        <f t="shared" si="12"/>
        <v>100</v>
      </c>
      <c r="T33" s="707" t="s">
        <v>14</v>
      </c>
      <c r="U33" s="708">
        <f t="shared" si="13"/>
        <v>100</v>
      </c>
      <c r="V33" s="707" t="s">
        <v>14</v>
      </c>
      <c r="W33" s="708">
        <f t="shared" si="14"/>
        <v>100</v>
      </c>
      <c r="X33" s="709"/>
      <c r="Y33" s="3774"/>
      <c r="Z33" s="710" t="str">
        <f t="shared" si="15"/>
        <v>项目建筑规模</v>
      </c>
      <c r="AA33" s="1351">
        <f t="shared" si="3"/>
        <v>1</v>
      </c>
      <c r="AB33" s="1351">
        <f t="shared" si="4"/>
        <v>1</v>
      </c>
      <c r="AC33" s="1351">
        <f t="shared" si="5"/>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561">
        <v>2</v>
      </c>
      <c r="L34" s="2715"/>
      <c r="M34" s="2709"/>
      <c r="N34" s="2709"/>
      <c r="O34" s="2709"/>
      <c r="P34" s="3805"/>
      <c r="Q34" s="1350" t="str">
        <f t="shared" si="11"/>
        <v>建筑结构</v>
      </c>
      <c r="R34" s="704" t="s">
        <v>14</v>
      </c>
      <c r="S34" s="705">
        <f t="shared" si="12"/>
        <v>100</v>
      </c>
      <c r="T34" s="704" t="s">
        <v>14</v>
      </c>
      <c r="U34" s="705">
        <f t="shared" si="13"/>
        <v>100</v>
      </c>
      <c r="V34" s="704" t="s">
        <v>14</v>
      </c>
      <c r="W34" s="705">
        <f t="shared" si="14"/>
        <v>100</v>
      </c>
      <c r="X34" s="1353"/>
      <c r="Y34" s="3774"/>
      <c r="Z34" s="1354" t="str">
        <f t="shared" si="15"/>
        <v>建筑结构</v>
      </c>
      <c r="AA34" s="1351">
        <f t="shared" si="3"/>
        <v>1</v>
      </c>
      <c r="AB34" s="1351">
        <f t="shared" si="4"/>
        <v>1</v>
      </c>
      <c r="AC34" s="1351">
        <f t="shared" si="5"/>
        <v>1</v>
      </c>
    </row>
    <row r="35" spans="1:29" ht="15">
      <c r="A35" s="423"/>
      <c r="B35" s="375" t="s">
        <v>1783</v>
      </c>
      <c r="C35" s="1904" t="s">
        <v>3452</v>
      </c>
      <c r="D35" s="386">
        <v>100</v>
      </c>
      <c r="E35" s="1904" t="s">
        <v>3452</v>
      </c>
      <c r="F35" s="412">
        <f>SUMIF(107:107,E35,108:108)-SUMIF(107:107,C35,108:108)+100</f>
        <v>100</v>
      </c>
      <c r="G35" s="1904" t="s">
        <v>3452</v>
      </c>
      <c r="H35" s="386">
        <f>SUMIF(107:107,G35,108:108)-SUMIF(107:107,C35,108:108)+100</f>
        <v>100</v>
      </c>
      <c r="I35" s="1904" t="s">
        <v>3452</v>
      </c>
      <c r="J35" s="386">
        <f>SUMIF(107:107,I35,108:108)-SUMIF(107:107,C35,108:108)+100</f>
        <v>100</v>
      </c>
      <c r="K35" s="561">
        <v>2</v>
      </c>
      <c r="L35" s="2715"/>
      <c r="M35" s="2709"/>
      <c r="N35" s="2709"/>
      <c r="O35" s="2709"/>
      <c r="P35" s="3805"/>
      <c r="Q35" s="1350" t="str">
        <f t="shared" si="11"/>
        <v>公共部分装修</v>
      </c>
      <c r="R35" s="704" t="s">
        <v>14</v>
      </c>
      <c r="S35" s="705">
        <f t="shared" si="12"/>
        <v>100</v>
      </c>
      <c r="T35" s="704" t="s">
        <v>14</v>
      </c>
      <c r="U35" s="705">
        <f t="shared" si="13"/>
        <v>100</v>
      </c>
      <c r="V35" s="704" t="s">
        <v>14</v>
      </c>
      <c r="W35" s="705">
        <f t="shared" si="14"/>
        <v>100</v>
      </c>
      <c r="X35" s="1353"/>
      <c r="Y35" s="3774"/>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5"/>
      <c r="M36" s="2709"/>
      <c r="N36" s="2709"/>
      <c r="O36" s="2709"/>
      <c r="P36" s="3805"/>
      <c r="Q36" s="1350" t="str">
        <f t="shared" si="11"/>
        <v>成新度</v>
      </c>
      <c r="R36" s="704" t="s">
        <v>14</v>
      </c>
      <c r="S36" s="705" t="e">
        <f t="shared" si="12"/>
        <v>#N/A</v>
      </c>
      <c r="T36" s="704" t="s">
        <v>14</v>
      </c>
      <c r="U36" s="705" t="e">
        <f t="shared" si="13"/>
        <v>#N/A</v>
      </c>
      <c r="V36" s="704" t="s">
        <v>14</v>
      </c>
      <c r="W36" s="705" t="e">
        <f t="shared" si="14"/>
        <v>#N/A</v>
      </c>
      <c r="X36" s="1353"/>
      <c r="Y36" s="3774"/>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0"/>
      <c r="M37" s="2711"/>
      <c r="N37" s="2711"/>
      <c r="O37" s="2711"/>
      <c r="P37" s="3805"/>
      <c r="Q37" s="1341" t="str">
        <f t="shared" si="11"/>
        <v>市政基础设施</v>
      </c>
      <c r="R37" s="700" t="s">
        <v>14</v>
      </c>
      <c r="S37" s="701">
        <f t="shared" si="12"/>
        <v>100</v>
      </c>
      <c r="T37" s="700" t="s">
        <v>14</v>
      </c>
      <c r="U37" s="701">
        <f t="shared" si="13"/>
        <v>100</v>
      </c>
      <c r="V37" s="700" t="s">
        <v>14</v>
      </c>
      <c r="W37" s="701">
        <f t="shared" si="14"/>
        <v>100</v>
      </c>
      <c r="X37" s="702"/>
      <c r="Y37" s="3774"/>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5"/>
      <c r="M38" s="2709"/>
      <c r="N38" s="2709"/>
      <c r="O38" s="2709"/>
      <c r="P38" s="3805" t="s">
        <v>1694</v>
      </c>
      <c r="Q38" s="1350" t="str">
        <f t="shared" si="11"/>
        <v>业态</v>
      </c>
      <c r="R38" s="704" t="s">
        <v>14</v>
      </c>
      <c r="S38" s="705">
        <f t="shared" si="12"/>
        <v>100</v>
      </c>
      <c r="T38" s="704" t="s">
        <v>14</v>
      </c>
      <c r="U38" s="705">
        <f t="shared" si="13"/>
        <v>100</v>
      </c>
      <c r="V38" s="704" t="s">
        <v>14</v>
      </c>
      <c r="W38" s="705">
        <f t="shared" si="14"/>
        <v>100</v>
      </c>
      <c r="X38" s="1353"/>
      <c r="Y38" s="3774"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5"/>
      <c r="M39" s="2709"/>
      <c r="N39" s="2709"/>
      <c r="O39" s="2709"/>
      <c r="P39" s="3805"/>
      <c r="Q39" s="1350" t="str">
        <f t="shared" si="11"/>
        <v>层高</v>
      </c>
      <c r="R39" s="704" t="s">
        <v>14</v>
      </c>
      <c r="S39" s="705">
        <f t="shared" si="12"/>
        <v>100</v>
      </c>
      <c r="T39" s="704" t="s">
        <v>14</v>
      </c>
      <c r="U39" s="705">
        <f t="shared" si="13"/>
        <v>100</v>
      </c>
      <c r="V39" s="704" t="s">
        <v>14</v>
      </c>
      <c r="W39" s="705">
        <f t="shared" si="14"/>
        <v>100</v>
      </c>
      <c r="X39" s="1353"/>
      <c r="Y39" s="3774"/>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805"/>
      <c r="Q40" s="1350" t="str">
        <f t="shared" si="11"/>
        <v>单套建筑面积</v>
      </c>
      <c r="R40" s="704" t="s">
        <v>14</v>
      </c>
      <c r="S40" s="705">
        <f t="shared" si="12"/>
        <v>100</v>
      </c>
      <c r="T40" s="704" t="s">
        <v>14</v>
      </c>
      <c r="U40" s="705">
        <f t="shared" si="13"/>
        <v>100</v>
      </c>
      <c r="V40" s="704" t="s">
        <v>14</v>
      </c>
      <c r="W40" s="705">
        <f t="shared" si="14"/>
        <v>100</v>
      </c>
      <c r="X40" s="1353"/>
      <c r="Y40" s="3774"/>
      <c r="Z40" s="1354" t="str">
        <f t="shared" si="15"/>
        <v>单套建筑面积</v>
      </c>
      <c r="AA40" s="1351">
        <f t="shared" si="3"/>
        <v>1</v>
      </c>
      <c r="AB40" s="1351">
        <f t="shared" si="4"/>
        <v>1</v>
      </c>
      <c r="AC40" s="1351">
        <f t="shared" si="5"/>
        <v>1</v>
      </c>
    </row>
    <row r="41" spans="1:29" s="422" customFormat="1" ht="15">
      <c r="A41" s="419"/>
      <c r="B41" s="1352" t="s">
        <v>1789</v>
      </c>
      <c r="C41" s="565" t="s">
        <v>3490</v>
      </c>
      <c r="D41" s="386">
        <v>100</v>
      </c>
      <c r="E41" s="565" t="s">
        <v>3490</v>
      </c>
      <c r="F41" s="412">
        <f>SUMIF(120:120,E41,121:121)-SUMIF(120:120,C41,121:121)+100</f>
        <v>100</v>
      </c>
      <c r="G41" s="565" t="s">
        <v>3490</v>
      </c>
      <c r="H41" s="386">
        <f>SUMIF(120:120,G41,121:121)-SUMIF(120:120,C41,121:121)+100</f>
        <v>100</v>
      </c>
      <c r="I41" s="565" t="s">
        <v>3490</v>
      </c>
      <c r="J41" s="386">
        <f>SUMIF(120:120,I41,121:121)-SUMIF(120:120,C41,121:121)+100</f>
        <v>100</v>
      </c>
      <c r="K41" s="561">
        <v>2</v>
      </c>
      <c r="L41" s="2714"/>
      <c r="M41" s="2716"/>
      <c r="N41" s="2716"/>
      <c r="O41" s="2716"/>
      <c r="P41" s="3805"/>
      <c r="Q41" s="706" t="str">
        <f t="shared" si="11"/>
        <v>进深比</v>
      </c>
      <c r="R41" s="707" t="s">
        <v>14</v>
      </c>
      <c r="S41" s="708">
        <f t="shared" si="12"/>
        <v>100</v>
      </c>
      <c r="T41" s="707" t="s">
        <v>14</v>
      </c>
      <c r="U41" s="708">
        <f t="shared" si="13"/>
        <v>100</v>
      </c>
      <c r="V41" s="707" t="s">
        <v>14</v>
      </c>
      <c r="W41" s="708">
        <f t="shared" si="14"/>
        <v>100</v>
      </c>
      <c r="X41" s="709"/>
      <c r="Y41" s="3774"/>
      <c r="Z41" s="710"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5"/>
      <c r="M42" s="2709"/>
      <c r="N42" s="2709"/>
      <c r="O42" s="2709"/>
      <c r="P42" s="3805"/>
      <c r="Q42" s="1350" t="str">
        <f t="shared" si="11"/>
        <v>内部装修</v>
      </c>
      <c r="R42" s="704" t="s">
        <v>14</v>
      </c>
      <c r="S42" s="705">
        <f t="shared" si="12"/>
        <v>100</v>
      </c>
      <c r="T42" s="704" t="s">
        <v>14</v>
      </c>
      <c r="U42" s="705">
        <f t="shared" si="13"/>
        <v>100</v>
      </c>
      <c r="V42" s="704" t="s">
        <v>14</v>
      </c>
      <c r="W42" s="705">
        <f t="shared" si="14"/>
        <v>100</v>
      </c>
      <c r="X42" s="1353"/>
      <c r="Y42" s="3774"/>
      <c r="Z42" s="1354" t="str">
        <f t="shared" si="15"/>
        <v>内部装修</v>
      </c>
      <c r="AA42" s="1351">
        <f t="shared" si="3"/>
        <v>1</v>
      </c>
      <c r="AB42" s="1351">
        <f t="shared" si="4"/>
        <v>1</v>
      </c>
      <c r="AC42" s="1351">
        <f t="shared" si="5"/>
        <v>1</v>
      </c>
    </row>
    <row r="43" spans="1:29" ht="28.8">
      <c r="A43" s="423"/>
      <c r="B43" s="375" t="s">
        <v>1705</v>
      </c>
      <c r="C43" s="1904" t="s">
        <v>3389</v>
      </c>
      <c r="D43" s="386">
        <v>100</v>
      </c>
      <c r="E43" s="1904" t="s">
        <v>3389</v>
      </c>
      <c r="F43" s="412">
        <f>SUMIF(124:124,E43,125:125)-SUMIF(124:124,C43,125:125)+100</f>
        <v>100</v>
      </c>
      <c r="G43" s="1904" t="s">
        <v>3389</v>
      </c>
      <c r="H43" s="386">
        <f>SUMIF(124:124,G43,125:125)-SUMIF(124:124,C43,125:125)+100</f>
        <v>100</v>
      </c>
      <c r="I43" s="1904" t="s">
        <v>3389</v>
      </c>
      <c r="J43" s="386">
        <f>SUMIF(124:124,I43,125:125)-SUMIF(124:124,C43,125:125)+100</f>
        <v>100</v>
      </c>
      <c r="K43" s="561">
        <v>2</v>
      </c>
      <c r="L43" s="2715"/>
      <c r="M43" s="2709"/>
      <c r="N43" s="2709"/>
      <c r="O43" s="2709"/>
      <c r="P43" s="3805"/>
      <c r="Q43" s="1350" t="str">
        <f t="shared" si="11"/>
        <v>内部装修维护情况</v>
      </c>
      <c r="R43" s="704" t="s">
        <v>14</v>
      </c>
      <c r="S43" s="705">
        <f t="shared" si="12"/>
        <v>100</v>
      </c>
      <c r="T43" s="704" t="s">
        <v>14</v>
      </c>
      <c r="U43" s="705">
        <f t="shared" si="13"/>
        <v>100</v>
      </c>
      <c r="V43" s="704" t="s">
        <v>14</v>
      </c>
      <c r="W43" s="705">
        <f t="shared" si="14"/>
        <v>100</v>
      </c>
      <c r="X43" s="1353"/>
      <c r="Y43" s="3774"/>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05"/>
      <c r="Q44" s="1341">
        <f t="shared" si="11"/>
        <v>111</v>
      </c>
      <c r="R44" s="700" t="s">
        <v>14</v>
      </c>
      <c r="S44" s="701">
        <f t="shared" si="12"/>
        <v>100</v>
      </c>
      <c r="T44" s="700" t="s">
        <v>14</v>
      </c>
      <c r="U44" s="701">
        <f t="shared" si="13"/>
        <v>100</v>
      </c>
      <c r="V44" s="700" t="s">
        <v>14</v>
      </c>
      <c r="W44" s="701">
        <f t="shared" si="14"/>
        <v>100</v>
      </c>
      <c r="X44" s="702"/>
      <c r="Y44" s="377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05"/>
      <c r="Q45" s="1350">
        <f t="shared" si="11"/>
        <v>111</v>
      </c>
      <c r="R45" s="704" t="s">
        <v>14</v>
      </c>
      <c r="S45" s="705">
        <f t="shared" si="12"/>
        <v>100</v>
      </c>
      <c r="T45" s="704" t="s">
        <v>14</v>
      </c>
      <c r="U45" s="705">
        <f t="shared" si="13"/>
        <v>100</v>
      </c>
      <c r="V45" s="704" t="s">
        <v>14</v>
      </c>
      <c r="W45" s="705">
        <f t="shared" si="14"/>
        <v>100</v>
      </c>
      <c r="X45" s="1353"/>
      <c r="Y45" s="3774"/>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06"/>
      <c r="Q46" s="1350">
        <f t="shared" si="11"/>
        <v>111</v>
      </c>
      <c r="R46" s="704" t="s">
        <v>14</v>
      </c>
      <c r="S46" s="705">
        <f t="shared" si="12"/>
        <v>100</v>
      </c>
      <c r="T46" s="704" t="s">
        <v>14</v>
      </c>
      <c r="U46" s="705">
        <f t="shared" si="13"/>
        <v>100</v>
      </c>
      <c r="V46" s="704" t="s">
        <v>14</v>
      </c>
      <c r="W46" s="705">
        <f t="shared" si="14"/>
        <v>100</v>
      </c>
      <c r="X46" s="1353"/>
      <c r="Y46" s="3807"/>
      <c r="Z46" s="1354">
        <f t="shared" si="15"/>
        <v>111</v>
      </c>
      <c r="AA46" s="1351">
        <f t="shared" si="3"/>
        <v>1</v>
      </c>
      <c r="AB46" s="1351">
        <f t="shared" si="4"/>
        <v>1</v>
      </c>
      <c r="AC46" s="1351">
        <f t="shared" si="5"/>
        <v>1</v>
      </c>
    </row>
    <row r="47" spans="1:29" ht="14.4">
      <c r="A47" s="430" t="s">
        <v>1706</v>
      </c>
      <c r="B47" s="431"/>
      <c r="C47" s="1153" t="s">
        <v>0</v>
      </c>
      <c r="D47" s="1154"/>
      <c r="E47" s="1155"/>
      <c r="F47" s="1156"/>
      <c r="G47" s="1157"/>
      <c r="H47" s="1158"/>
      <c r="I47" s="1155"/>
      <c r="J47" s="1158"/>
      <c r="K47" s="713"/>
      <c r="L47" s="2717"/>
      <c r="M47" s="2718"/>
      <c r="N47" s="2709"/>
      <c r="O47" s="2718"/>
      <c r="P47" s="3756" t="str">
        <f>A47</f>
        <v>成交单价（元/平方米）</v>
      </c>
      <c r="Q47" s="3756"/>
      <c r="R47" s="3769">
        <f>E47</f>
        <v>0</v>
      </c>
      <c r="S47" s="3769"/>
      <c r="T47" s="3769">
        <f>G47</f>
        <v>0</v>
      </c>
      <c r="U47" s="3769"/>
      <c r="V47" s="3769">
        <f>I47</f>
        <v>0</v>
      </c>
      <c r="W47" s="3769"/>
      <c r="X47" s="689"/>
      <c r="Y47" s="711"/>
      <c r="Z47" s="689"/>
      <c r="AA47" s="689"/>
      <c r="AB47" s="689"/>
      <c r="AC47" s="689"/>
    </row>
    <row r="48" spans="1:29" ht="15" thickBot="1">
      <c r="A48" s="437" t="s">
        <v>1791</v>
      </c>
      <c r="B48" s="438"/>
      <c r="C48" s="1159" t="e">
        <f>R49</f>
        <v>#DIV/0!</v>
      </c>
      <c r="D48" s="2313" t="s">
        <v>2135</v>
      </c>
      <c r="E48" s="1160" t="e">
        <f>R48</f>
        <v>#DIV/0!</v>
      </c>
      <c r="F48" s="2314"/>
      <c r="G48" s="1159" t="e">
        <f>T48</f>
        <v>#DIV/0!</v>
      </c>
      <c r="H48" s="2314"/>
      <c r="I48" s="1160" t="e">
        <f>V48</f>
        <v>#DIV/0!</v>
      </c>
      <c r="J48" s="2314"/>
      <c r="K48" s="2316">
        <f>F48+H48+J48</f>
        <v>0</v>
      </c>
      <c r="L48" s="2717"/>
      <c r="M48" s="2718"/>
      <c r="N48" s="2709"/>
      <c r="O48" s="2718"/>
      <c r="P48" s="3756" t="str">
        <f>A48</f>
        <v>比较价值（元/平方米）</v>
      </c>
      <c r="Q48" s="375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89"/>
      <c r="Y48" s="689"/>
      <c r="Z48" s="689"/>
      <c r="AA48" s="689"/>
      <c r="AB48" s="689"/>
      <c r="AC48" s="689"/>
    </row>
    <row r="49" spans="1:29" ht="15" thickBot="1">
      <c r="A49" s="441" t="s">
        <v>1792</v>
      </c>
      <c r="B49" s="442"/>
      <c r="C49" s="1162" t="e">
        <f>R49</f>
        <v>#DIV/0!</v>
      </c>
      <c r="D49" s="1162"/>
      <c r="E49" s="1162"/>
      <c r="F49" s="1162"/>
      <c r="G49" s="1162"/>
      <c r="H49" s="1162"/>
      <c r="I49" s="1162"/>
      <c r="J49" s="1162"/>
      <c r="K49" s="714"/>
      <c r="L49" s="2717"/>
      <c r="M49" s="2718"/>
      <c r="N49" s="2709"/>
      <c r="O49" s="2718"/>
      <c r="P49" s="3776" t="str">
        <f>A49</f>
        <v>估价对象XX用房的比较价值（楼面单价，元/平方米）</v>
      </c>
      <c r="Q49" s="3777"/>
      <c r="R49" s="3802" t="e">
        <f>IF(F1="售价",ROUND(IF(D48="简单平均",AVERAGE(R48:V48),R48*F48+T48*H48+V48*J48),0),ROUND(IF(D48="简单平均",AVERAGE(R48:V48),R48*F48+T48*H48+V48*J48),1))</f>
        <v>#DIV/0!</v>
      </c>
      <c r="S49" s="3802"/>
      <c r="T49" s="3802"/>
      <c r="U49" s="3802"/>
      <c r="V49" s="3802"/>
      <c r="W49" s="3802"/>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2.2"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29" s="457" customFormat="1" ht="14.4">
      <c r="A58" s="454" t="s">
        <v>1677</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3"/>
      <c r="Q58" s="2734"/>
      <c r="R58" s="2734"/>
      <c r="S58" s="2734"/>
      <c r="T58" s="2734"/>
      <c r="U58" s="2734"/>
      <c r="V58" s="2734"/>
      <c r="W58" s="2734"/>
      <c r="X58" s="2734"/>
      <c r="Y58" s="2734"/>
      <c r="Z58" s="2734"/>
      <c r="AA58" s="2734"/>
      <c r="AB58" s="2734"/>
      <c r="AC58" s="2734"/>
    </row>
    <row r="59" spans="1:29" s="108" customFormat="1">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5"/>
      <c r="Q59" s="2654"/>
      <c r="R59" s="2654"/>
      <c r="S59" s="2654"/>
      <c r="T59" s="2654"/>
      <c r="U59" s="2654"/>
      <c r="V59" s="2654"/>
      <c r="W59" s="2654"/>
      <c r="X59" s="2654"/>
      <c r="Y59" s="2654"/>
      <c r="Z59" s="2654"/>
      <c r="AA59" s="2654"/>
      <c r="AB59" s="2654"/>
      <c r="AC59" s="2654"/>
    </row>
    <row r="60" spans="1:29" s="108" customFormat="1" ht="1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4.4">
      <c r="A61" s="470" t="s">
        <v>1679</v>
      </c>
      <c r="B61" s="459"/>
      <c r="C61" s="471" t="s">
        <v>1774</v>
      </c>
      <c r="D61" s="3447" t="s">
        <v>3454</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4.4"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ht="14.4">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4.4"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9.4" thickTop="1">
      <c r="A65" s="483"/>
      <c r="B65" s="487" t="s">
        <v>1686</v>
      </c>
      <c r="C65" s="532" t="s">
        <v>3455</v>
      </c>
      <c r="D65" s="532" t="s">
        <v>3456</v>
      </c>
      <c r="E65" s="3448" t="s">
        <v>3457</v>
      </c>
      <c r="F65" s="532" t="s">
        <v>3458</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4.4" thickBot="1">
      <c r="A66" s="483"/>
      <c r="B66" s="492"/>
      <c r="C66" s="485">
        <v>100</v>
      </c>
      <c r="D66" s="485">
        <f t="shared" ref="D66:F66" si="17">C66-2</f>
        <v>98</v>
      </c>
      <c r="E66" s="485">
        <f t="shared" si="17"/>
        <v>96</v>
      </c>
      <c r="F66" s="485">
        <f t="shared" si="17"/>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c r="A68" s="483"/>
      <c r="B68" s="497"/>
      <c r="C68" s="498">
        <v>0</v>
      </c>
      <c r="D68" s="498">
        <v>0.5</v>
      </c>
      <c r="E68" s="498">
        <v>1</v>
      </c>
      <c r="F68" s="498">
        <v>1.5</v>
      </c>
      <c r="G68" s="498">
        <v>2</v>
      </c>
      <c r="H68" s="498">
        <v>2.5</v>
      </c>
      <c r="I68" s="498">
        <v>3</v>
      </c>
      <c r="J68" s="498">
        <v>3.5</v>
      </c>
      <c r="K68" s="499"/>
      <c r="L68" s="500"/>
      <c r="M68" s="501"/>
      <c r="N68" s="2746"/>
      <c r="O68" s="2746"/>
      <c r="P68" s="2737"/>
      <c r="Q68" s="2732"/>
      <c r="R68" s="2718"/>
      <c r="S68" s="2718"/>
      <c r="T68" s="2718"/>
      <c r="U68" s="2718"/>
      <c r="V68" s="2718"/>
      <c r="W68" s="2718"/>
      <c r="X68" s="2718"/>
      <c r="Y68" s="2718"/>
      <c r="Z68" s="2718"/>
      <c r="AA68" s="2718"/>
      <c r="AB68" s="2718"/>
      <c r="AC68" s="2718"/>
    </row>
    <row r="69" spans="1:29" ht="14.4"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4.4"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4.4"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4.4"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4.4"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4.4"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4.4"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ht="14.4">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4.4"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4.4"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4.4"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 thickTop="1">
      <c r="A82" s="483"/>
      <c r="B82" s="495" t="s">
        <v>1777</v>
      </c>
      <c r="C82" s="607" t="s">
        <v>1797</v>
      </c>
      <c r="D82" s="607" t="s">
        <v>1798</v>
      </c>
      <c r="E82" s="607" t="s">
        <v>1799</v>
      </c>
      <c r="F82" s="607" t="s">
        <v>1800</v>
      </c>
      <c r="G82" s="607" t="s">
        <v>1801</v>
      </c>
      <c r="H82" s="488"/>
      <c r="I82" s="488"/>
      <c r="J82" s="488"/>
      <c r="K82" s="488"/>
      <c r="L82" s="488"/>
      <c r="M82" s="1128"/>
      <c r="N82" s="2747"/>
      <c r="O82" s="2747"/>
      <c r="P82" s="2737"/>
      <c r="Q82" s="2732"/>
      <c r="R82" s="2718"/>
      <c r="S82" s="2718"/>
      <c r="T82" s="2718"/>
      <c r="U82" s="2718"/>
      <c r="V82" s="2718"/>
      <c r="W82" s="2718"/>
      <c r="X82" s="2718"/>
      <c r="Y82" s="2718"/>
      <c r="Z82" s="2718"/>
      <c r="AA82" s="2718"/>
      <c r="AB82" s="2718"/>
      <c r="AC82" s="2718"/>
    </row>
    <row r="83" spans="1:29" ht="14.4"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4.4"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 thickTop="1">
      <c r="A86" s="528"/>
      <c r="B86" s="487" t="s">
        <v>1802</v>
      </c>
      <c r="C86" s="3445" t="s">
        <v>3459</v>
      </c>
      <c r="D86" s="3445" t="s">
        <v>3460</v>
      </c>
      <c r="E86" s="3445" t="s">
        <v>3461</v>
      </c>
      <c r="F86" s="3445" t="s">
        <v>3462</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4.4"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7"/>
      <c r="O87" s="2747"/>
      <c r="P87" s="2737"/>
      <c r="Q87" s="2732"/>
      <c r="R87" s="2654"/>
      <c r="S87" s="2654"/>
      <c r="T87" s="2654"/>
      <c r="U87" s="2654"/>
      <c r="V87" s="2654"/>
      <c r="W87" s="2654"/>
      <c r="X87" s="2654"/>
      <c r="Y87" s="2654"/>
      <c r="Z87" s="2654"/>
      <c r="AA87" s="2654"/>
      <c r="AB87" s="2654"/>
      <c r="AC87" s="2654"/>
    </row>
    <row r="88" spans="1:29" s="108" customFormat="1" ht="15" thickTop="1">
      <c r="A88" s="528"/>
      <c r="B88" s="487" t="str">
        <f>B26</f>
        <v>平面位置/可视性</v>
      </c>
      <c r="C88" s="3445" t="s">
        <v>3463</v>
      </c>
      <c r="D88" s="3445" t="s">
        <v>3464</v>
      </c>
      <c r="E88" s="3445" t="s">
        <v>3465</v>
      </c>
      <c r="F88" s="3449" t="s">
        <v>3466</v>
      </c>
      <c r="G88" s="3445" t="s">
        <v>3467</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4.4"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 thickTop="1">
      <c r="A90" s="502"/>
      <c r="B90" s="487" t="str">
        <f>B27</f>
        <v>人流量</v>
      </c>
      <c r="C90" s="3445" t="s">
        <v>3468</v>
      </c>
      <c r="D90" s="3445" t="s">
        <v>3469</v>
      </c>
      <c r="E90" s="3445" t="s">
        <v>3465</v>
      </c>
      <c r="F90" s="3445" t="s">
        <v>3470</v>
      </c>
      <c r="G90" s="3445" t="s">
        <v>3471</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4.4"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 thickTop="1">
      <c r="A92" s="483"/>
      <c r="B92" s="487" t="str">
        <f>B28</f>
        <v>楼层</v>
      </c>
      <c r="C92" s="503" t="s">
        <v>3472</v>
      </c>
      <c r="D92" s="503" t="s">
        <v>3473</v>
      </c>
      <c r="E92" s="503" t="s">
        <v>3474</v>
      </c>
      <c r="F92" s="503" t="s">
        <v>3475</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4.4" thickBot="1">
      <c r="A93" s="483"/>
      <c r="B93" s="492"/>
      <c r="C93" s="485">
        <v>100</v>
      </c>
      <c r="D93" s="485">
        <v>85</v>
      </c>
      <c r="E93" s="485">
        <v>70</v>
      </c>
      <c r="F93" s="485">
        <v>60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4.4"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4.4"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4.4"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4.4"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4.4"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4.4"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ht="14.4">
      <c r="A100" s="476" t="s">
        <v>1692</v>
      </c>
      <c r="B100" s="477" t="s">
        <v>1803</v>
      </c>
      <c r="C100" s="3450" t="s">
        <v>3476</v>
      </c>
      <c r="D100" s="3450" t="s">
        <v>3477</v>
      </c>
      <c r="E100" s="3450" t="s">
        <v>3478</v>
      </c>
      <c r="F100" s="3450" t="s">
        <v>3479</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4.4"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7"/>
      <c r="O101" s="2747"/>
      <c r="P101" s="2737"/>
      <c r="Q101" s="2732"/>
      <c r="R101" s="2718"/>
      <c r="S101" s="2718"/>
      <c r="T101" s="2718"/>
      <c r="U101" s="2718"/>
      <c r="V101" s="2718"/>
      <c r="W101" s="2718"/>
      <c r="X101" s="2718"/>
      <c r="Y101" s="2718"/>
      <c r="Z101" s="2718"/>
      <c r="AA101" s="2718"/>
      <c r="AB101" s="2718"/>
      <c r="AC101" s="2718"/>
    </row>
    <row r="102" spans="1:29" ht="1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v>
      </c>
      <c r="E103" s="544">
        <v>50</v>
      </c>
      <c r="F103" s="544">
        <v>100</v>
      </c>
      <c r="G103" s="544">
        <v>500</v>
      </c>
      <c r="H103" s="544">
        <v>10000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4.4" thickBot="1">
      <c r="A104" s="502"/>
      <c r="B104" s="492"/>
      <c r="C104" s="509">
        <v>100</v>
      </c>
      <c r="D104" s="485">
        <f>C104-2</f>
        <v>98</v>
      </c>
      <c r="E104" s="485">
        <f>D104-2</f>
        <v>96</v>
      </c>
      <c r="F104" s="485">
        <f>E104-2</f>
        <v>94</v>
      </c>
      <c r="G104" s="485">
        <f>F104-2</f>
        <v>92</v>
      </c>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5" t="s">
        <v>3436</v>
      </c>
      <c r="D105" s="3445" t="s">
        <v>3480</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5" t="s">
        <v>3437</v>
      </c>
      <c r="D107" s="3445" t="s">
        <v>3438</v>
      </c>
      <c r="E107" s="3445" t="s">
        <v>3439</v>
      </c>
      <c r="F107" s="3446" t="s">
        <v>3440</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4.4"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4.4"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4.4"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5" t="s">
        <v>3481</v>
      </c>
      <c r="D114" s="3445" t="s">
        <v>3482</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4.4"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5" t="s">
        <v>3483</v>
      </c>
      <c r="D116" s="3445" t="s">
        <v>3484</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4.4"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4.4"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46" t="s">
        <v>3485</v>
      </c>
      <c r="D120" s="3446" t="s">
        <v>3486</v>
      </c>
      <c r="E120" s="3446" t="s">
        <v>3465</v>
      </c>
      <c r="F120" s="3446" t="s">
        <v>3487</v>
      </c>
      <c r="G120" s="3451" t="s">
        <v>3488</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4.4"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5" t="s">
        <v>3437</v>
      </c>
      <c r="D122" s="3445" t="s">
        <v>3438</v>
      </c>
      <c r="E122" s="3445" t="s">
        <v>3439</v>
      </c>
      <c r="F122" s="3446" t="s">
        <v>3440</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4.4"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4.4"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4.4"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4.4"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4.4"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4.4"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953" t="s">
        <v>1808</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48491.65</v>
      </c>
      <c r="E3" s="1950"/>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4.4">
      <c r="A4" s="355" t="s">
        <v>1767</v>
      </c>
      <c r="B4" s="356"/>
      <c r="C4" s="3757" t="s">
        <v>1768</v>
      </c>
      <c r="D4" s="3758"/>
      <c r="E4" s="3759" t="s">
        <v>1769</v>
      </c>
      <c r="F4" s="3760"/>
      <c r="G4" s="3757" t="s">
        <v>1770</v>
      </c>
      <c r="H4" s="3758"/>
      <c r="I4" s="3757" t="s">
        <v>1771</v>
      </c>
      <c r="J4" s="3758"/>
      <c r="K4" s="559" t="s">
        <v>1772</v>
      </c>
      <c r="L4" s="2708"/>
      <c r="M4" s="2709"/>
      <c r="N4" s="2709"/>
      <c r="O4" s="2709"/>
      <c r="P4" s="3816" t="s">
        <v>1773</v>
      </c>
      <c r="Q4" s="3817"/>
      <c r="R4" s="3811" t="s">
        <v>1769</v>
      </c>
      <c r="S4" s="3812"/>
      <c r="T4" s="3811" t="s">
        <v>1770</v>
      </c>
      <c r="U4" s="3812"/>
      <c r="V4" s="3820" t="s">
        <v>1771</v>
      </c>
      <c r="W4" s="3820"/>
      <c r="X4" s="1954"/>
      <c r="Y4" s="3811" t="s">
        <v>1773</v>
      </c>
      <c r="Z4" s="3812"/>
      <c r="AA4" s="3810" t="s">
        <v>1769</v>
      </c>
      <c r="AB4" s="3810" t="s">
        <v>1770</v>
      </c>
      <c r="AC4" s="3813" t="s">
        <v>1771</v>
      </c>
    </row>
    <row r="5" spans="1:29">
      <c r="A5" s="358"/>
      <c r="B5" s="359"/>
      <c r="C5" s="3750" t="s">
        <v>1671</v>
      </c>
      <c r="D5" s="3751"/>
      <c r="E5" s="3748" t="s">
        <v>1672</v>
      </c>
      <c r="F5" s="3749"/>
      <c r="G5" s="3750" t="s">
        <v>1673</v>
      </c>
      <c r="H5" s="3751"/>
      <c r="I5" s="3750" t="s">
        <v>1674</v>
      </c>
      <c r="J5" s="3751"/>
      <c r="K5" s="559"/>
      <c r="L5" s="2708"/>
      <c r="M5" s="2709"/>
      <c r="N5" s="2709"/>
      <c r="O5" s="2709"/>
      <c r="P5" s="3818"/>
      <c r="Q5" s="3764"/>
      <c r="R5" s="3746"/>
      <c r="S5" s="3747"/>
      <c r="T5" s="3746"/>
      <c r="U5" s="3747"/>
      <c r="V5" s="3769"/>
      <c r="W5" s="3769"/>
      <c r="X5" s="1353"/>
      <c r="Y5" s="3746"/>
      <c r="Z5" s="3747"/>
      <c r="AA5" s="3740"/>
      <c r="AB5" s="3740"/>
      <c r="AC5" s="3814"/>
    </row>
    <row r="6" spans="1:29" ht="15" thickBot="1">
      <c r="A6" s="360"/>
      <c r="B6" s="361"/>
      <c r="C6" s="3752" t="s">
        <v>1675</v>
      </c>
      <c r="D6" s="3753"/>
      <c r="E6" s="3754" t="s">
        <v>1675</v>
      </c>
      <c r="F6" s="3755"/>
      <c r="G6" s="3752" t="s">
        <v>1675</v>
      </c>
      <c r="H6" s="3753"/>
      <c r="I6" s="3752" t="s">
        <v>1675</v>
      </c>
      <c r="J6" s="3753"/>
      <c r="K6" s="559" t="s">
        <v>1676</v>
      </c>
      <c r="L6" s="2708"/>
      <c r="M6" s="2709"/>
      <c r="N6" s="2709"/>
      <c r="O6" s="2709"/>
      <c r="P6" s="3819"/>
      <c r="Q6" s="3766"/>
      <c r="R6" s="3746"/>
      <c r="S6" s="3747"/>
      <c r="T6" s="3767"/>
      <c r="U6" s="3768"/>
      <c r="V6" s="3769"/>
      <c r="W6" s="3769"/>
      <c r="X6" s="1353"/>
      <c r="Y6" s="3767"/>
      <c r="Z6" s="3768"/>
      <c r="AA6" s="3741"/>
      <c r="AB6" s="3741"/>
      <c r="AC6" s="3815"/>
    </row>
    <row r="7" spans="1:29" s="108" customFormat="1" ht="15" thickBot="1">
      <c r="A7" s="362" t="s">
        <v>1677</v>
      </c>
      <c r="B7" s="363"/>
      <c r="C7" s="364">
        <f>'数据-取费表'!B2</f>
        <v>45146</v>
      </c>
      <c r="D7" s="365">
        <v>100</v>
      </c>
      <c r="E7" s="366"/>
      <c r="F7" s="367">
        <f>SUMIF(59:59,YEAR(E7)&amp;"-"&amp;MONTH(E7),60:60)</f>
        <v>0</v>
      </c>
      <c r="G7" s="366"/>
      <c r="H7" s="365">
        <f>SUMIF(59:59,YEAR(G7)&amp;"-"&amp;MONTH(G7),60:60)</f>
        <v>0</v>
      </c>
      <c r="I7" s="366"/>
      <c r="J7" s="365">
        <f>SUMIF(59:59,YEAR(I7)&amp;"-"&amp;MONTH(I7),60:60)</f>
        <v>0</v>
      </c>
      <c r="K7" s="560"/>
      <c r="L7" s="2710"/>
      <c r="M7" s="2711"/>
      <c r="N7" s="2711"/>
      <c r="O7" s="2711"/>
      <c r="P7" s="3821" t="s">
        <v>1678</v>
      </c>
      <c r="Q7" s="3770"/>
      <c r="R7" s="700" t="s">
        <v>14</v>
      </c>
      <c r="S7" s="701">
        <f t="shared" ref="S7:S15" si="0">F7</f>
        <v>0</v>
      </c>
      <c r="T7" s="700" t="s">
        <v>14</v>
      </c>
      <c r="U7" s="701">
        <f t="shared" ref="U7:U15" si="1">H7</f>
        <v>0</v>
      </c>
      <c r="V7" s="700" t="s">
        <v>14</v>
      </c>
      <c r="W7" s="701">
        <f t="shared" ref="W7:W15" si="2">J7</f>
        <v>0</v>
      </c>
      <c r="X7" s="702"/>
      <c r="Y7" s="3742" t="s">
        <v>1678</v>
      </c>
      <c r="Z7" s="3743"/>
      <c r="AA7" s="703" t="e">
        <f>D7/F7</f>
        <v>#DIV/0!</v>
      </c>
      <c r="AB7" s="703" t="e">
        <f>D7/H7</f>
        <v>#DIV/0!</v>
      </c>
      <c r="AC7" s="1955" t="e">
        <f>D7/J7</f>
        <v>#DIV/0!</v>
      </c>
    </row>
    <row r="8" spans="1:29" s="108" customFormat="1" ht="1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821" t="s">
        <v>1681</v>
      </c>
      <c r="Q8" s="3743"/>
      <c r="R8" s="700" t="s">
        <v>14</v>
      </c>
      <c r="S8" s="701">
        <f t="shared" si="0"/>
        <v>100</v>
      </c>
      <c r="T8" s="700" t="s">
        <v>14</v>
      </c>
      <c r="U8" s="701">
        <f t="shared" si="1"/>
        <v>100</v>
      </c>
      <c r="V8" s="700" t="s">
        <v>14</v>
      </c>
      <c r="W8" s="701">
        <f t="shared" si="2"/>
        <v>100</v>
      </c>
      <c r="X8" s="702"/>
      <c r="Y8" s="3742" t="s">
        <v>1681</v>
      </c>
      <c r="Z8" s="3743"/>
      <c r="AA8" s="703">
        <f t="shared" ref="AA8:AA47" si="3">D8/F8</f>
        <v>1</v>
      </c>
      <c r="AB8" s="703">
        <f t="shared" ref="AB8:AB47" si="4">D8/H8</f>
        <v>1</v>
      </c>
      <c r="AC8" s="1955">
        <f t="shared" ref="AC8:AC47" si="5">D8/J8</f>
        <v>1</v>
      </c>
    </row>
    <row r="9" spans="1:29" s="108" customFormat="1" ht="14.4">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80" t="s">
        <v>1684</v>
      </c>
      <c r="Q9" s="1341" t="str">
        <f t="shared" ref="Q9:Q15" si="6">B9</f>
        <v>用途</v>
      </c>
      <c r="R9" s="700" t="s">
        <v>14</v>
      </c>
      <c r="S9" s="701">
        <f t="shared" si="0"/>
        <v>100</v>
      </c>
      <c r="T9" s="700" t="s">
        <v>14</v>
      </c>
      <c r="U9" s="701">
        <f t="shared" si="1"/>
        <v>100</v>
      </c>
      <c r="V9" s="700" t="s">
        <v>14</v>
      </c>
      <c r="W9" s="701">
        <f t="shared" si="2"/>
        <v>100</v>
      </c>
      <c r="X9" s="702"/>
      <c r="Y9" s="3688" t="s">
        <v>1685</v>
      </c>
      <c r="Z9" s="52" t="str">
        <f t="shared" ref="Z9:Z15" si="7">Q9</f>
        <v>用途</v>
      </c>
      <c r="AA9" s="703">
        <f t="shared" si="3"/>
        <v>1</v>
      </c>
      <c r="AB9" s="703">
        <f t="shared" si="4"/>
        <v>1</v>
      </c>
      <c r="AC9" s="1955">
        <f t="shared" si="5"/>
        <v>1</v>
      </c>
    </row>
    <row r="10" spans="1:29" s="378" customFormat="1" ht="28.8">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80"/>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80"/>
      <c r="Q11" s="1341"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80"/>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80"/>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1955">
        <f t="shared" si="5"/>
        <v>1</v>
      </c>
    </row>
    <row r="14" spans="1:29" ht="15.6"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5"/>
      <c r="M14" s="2709"/>
      <c r="N14" s="2709"/>
      <c r="O14" s="2709"/>
      <c r="P14" s="3780"/>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1955">
        <f t="shared" si="5"/>
        <v>1</v>
      </c>
    </row>
    <row r="15" spans="1:29" ht="15">
      <c r="A15" s="391" t="s">
        <v>1688</v>
      </c>
      <c r="B15" s="576" t="s">
        <v>1809</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808" t="s">
        <v>1689</v>
      </c>
      <c r="Q15" s="1350" t="str">
        <f t="shared" si="6"/>
        <v>办公集聚程度</v>
      </c>
      <c r="R15" s="704" t="s">
        <v>14</v>
      </c>
      <c r="S15" s="705">
        <f t="shared" si="0"/>
        <v>100</v>
      </c>
      <c r="T15" s="704" t="s">
        <v>14</v>
      </c>
      <c r="U15" s="705">
        <f t="shared" si="1"/>
        <v>100</v>
      </c>
      <c r="V15" s="704" t="s">
        <v>14</v>
      </c>
      <c r="W15" s="705">
        <f t="shared" si="2"/>
        <v>100</v>
      </c>
      <c r="X15" s="1353"/>
      <c r="Y15" s="3771"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5"/>
      <c r="M16" s="2709"/>
      <c r="N16" s="2709"/>
      <c r="O16" s="2709"/>
      <c r="P16" s="3809"/>
      <c r="Q16" s="1350"/>
      <c r="R16" s="704"/>
      <c r="S16" s="705"/>
      <c r="T16" s="704"/>
      <c r="U16" s="705"/>
      <c r="V16" s="704"/>
      <c r="W16" s="705"/>
      <c r="X16" s="1353"/>
      <c r="Y16" s="3772"/>
      <c r="Z16" s="1354"/>
      <c r="AA16" s="1351">
        <v>1</v>
      </c>
      <c r="AB16" s="1351">
        <v>1</v>
      </c>
      <c r="AC16" s="1958">
        <v>1</v>
      </c>
    </row>
    <row r="17" spans="1:29" ht="15">
      <c r="A17" s="379"/>
      <c r="B17" s="578" t="s">
        <v>1257</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809"/>
      <c r="Q17" s="1350" t="str">
        <f>B17</f>
        <v>交通便捷度</v>
      </c>
      <c r="R17" s="704" t="s">
        <v>14</v>
      </c>
      <c r="S17" s="705">
        <f>F17</f>
        <v>100</v>
      </c>
      <c r="T17" s="704" t="s">
        <v>14</v>
      </c>
      <c r="U17" s="705">
        <f>H17</f>
        <v>100</v>
      </c>
      <c r="V17" s="704" t="s">
        <v>14</v>
      </c>
      <c r="W17" s="705">
        <f>J17</f>
        <v>100</v>
      </c>
      <c r="X17" s="1353"/>
      <c r="Y17" s="3772"/>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5"/>
      <c r="M18" s="2709"/>
      <c r="N18" s="2709"/>
      <c r="O18" s="2709"/>
      <c r="P18" s="3809"/>
      <c r="Q18" s="1350"/>
      <c r="R18" s="704"/>
      <c r="S18" s="705"/>
      <c r="T18" s="704"/>
      <c r="U18" s="705"/>
      <c r="V18" s="704"/>
      <c r="W18" s="705"/>
      <c r="X18" s="1353"/>
      <c r="Y18" s="3772"/>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809"/>
      <c r="Q19" s="1350" t="str">
        <f>B19</f>
        <v>公共配套设施</v>
      </c>
      <c r="R19" s="704" t="s">
        <v>14</v>
      </c>
      <c r="S19" s="705">
        <f>F19</f>
        <v>100</v>
      </c>
      <c r="T19" s="704" t="s">
        <v>14</v>
      </c>
      <c r="U19" s="705">
        <f>H19</f>
        <v>100</v>
      </c>
      <c r="V19" s="704" t="s">
        <v>14</v>
      </c>
      <c r="W19" s="705">
        <f>J19</f>
        <v>100</v>
      </c>
      <c r="X19" s="1353"/>
      <c r="Y19" s="3772"/>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5"/>
      <c r="M20" s="2709"/>
      <c r="N20" s="2709"/>
      <c r="O20" s="2709"/>
      <c r="P20" s="3809"/>
      <c r="Q20" s="1350"/>
      <c r="R20" s="704"/>
      <c r="S20" s="705"/>
      <c r="T20" s="704"/>
      <c r="U20" s="705"/>
      <c r="V20" s="704"/>
      <c r="W20" s="705"/>
      <c r="X20" s="1353"/>
      <c r="Y20" s="3772"/>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809"/>
      <c r="Q21" s="1350" t="str">
        <f>B21</f>
        <v>基础设施水平</v>
      </c>
      <c r="R21" s="704" t="s">
        <v>14</v>
      </c>
      <c r="S21" s="705">
        <f>F21</f>
        <v>100</v>
      </c>
      <c r="T21" s="704" t="s">
        <v>14</v>
      </c>
      <c r="U21" s="705">
        <f>H21</f>
        <v>100</v>
      </c>
      <c r="V21" s="704" t="s">
        <v>14</v>
      </c>
      <c r="W21" s="705">
        <f>J21</f>
        <v>100</v>
      </c>
      <c r="X21" s="1353"/>
      <c r="Y21" s="3772"/>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5"/>
      <c r="M22" s="2709"/>
      <c r="N22" s="2709"/>
      <c r="O22" s="2709"/>
      <c r="P22" s="3809"/>
      <c r="Q22" s="1350"/>
      <c r="R22" s="704"/>
      <c r="S22" s="705"/>
      <c r="T22" s="704"/>
      <c r="U22" s="705"/>
      <c r="V22" s="704"/>
      <c r="W22" s="705"/>
      <c r="X22" s="1353"/>
      <c r="Y22" s="3772"/>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809"/>
      <c r="Q23" s="1350" t="str">
        <f>B23</f>
        <v>环境质量</v>
      </c>
      <c r="R23" s="704" t="s">
        <v>14</v>
      </c>
      <c r="S23" s="705">
        <f>F23</f>
        <v>100</v>
      </c>
      <c r="T23" s="704" t="s">
        <v>14</v>
      </c>
      <c r="U23" s="705">
        <f>H23</f>
        <v>100</v>
      </c>
      <c r="V23" s="704" t="s">
        <v>14</v>
      </c>
      <c r="W23" s="705">
        <f>J23</f>
        <v>100</v>
      </c>
      <c r="X23" s="1353"/>
      <c r="Y23" s="3772"/>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5"/>
      <c r="M24" s="2709"/>
      <c r="N24" s="2709"/>
      <c r="O24" s="2709"/>
      <c r="P24" s="3809"/>
      <c r="Q24" s="1350"/>
      <c r="R24" s="704"/>
      <c r="S24" s="705"/>
      <c r="T24" s="704"/>
      <c r="U24" s="705"/>
      <c r="V24" s="704"/>
      <c r="W24" s="705"/>
      <c r="X24" s="1353"/>
      <c r="Y24" s="3772"/>
      <c r="Z24" s="1354"/>
      <c r="AA24" s="1351">
        <v>1</v>
      </c>
      <c r="AB24" s="1351">
        <v>1</v>
      </c>
      <c r="AC24" s="1958">
        <v>1</v>
      </c>
    </row>
    <row r="25" spans="1:29" ht="28.8">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5"/>
      <c r="M25" s="2709"/>
      <c r="N25" s="2709"/>
      <c r="O25" s="2709"/>
      <c r="P25" s="3809"/>
      <c r="Q25" s="1350" t="str">
        <f>B25</f>
        <v>毗邻道路的类型与等级</v>
      </c>
      <c r="R25" s="704" t="s">
        <v>14</v>
      </c>
      <c r="S25" s="705">
        <f>F25</f>
        <v>100</v>
      </c>
      <c r="T25" s="704" t="s">
        <v>14</v>
      </c>
      <c r="U25" s="705">
        <f>H25</f>
        <v>100</v>
      </c>
      <c r="V25" s="704" t="s">
        <v>14</v>
      </c>
      <c r="W25" s="705">
        <f>J25</f>
        <v>100</v>
      </c>
      <c r="X25" s="1353"/>
      <c r="Y25" s="3772"/>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5"/>
      <c r="M26" s="2709"/>
      <c r="N26" s="2709"/>
      <c r="O26" s="2709"/>
      <c r="P26" s="3809"/>
      <c r="Q26" s="1350"/>
      <c r="R26" s="704"/>
      <c r="S26" s="705"/>
      <c r="T26" s="704"/>
      <c r="U26" s="705"/>
      <c r="V26" s="704"/>
      <c r="W26" s="705"/>
      <c r="X26" s="1353"/>
      <c r="Y26" s="3772"/>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809"/>
      <c r="Q27" s="1350" t="str">
        <f t="shared" ref="Q27:Q47" si="11">B27</f>
        <v>楼层</v>
      </c>
      <c r="R27" s="704" t="s">
        <v>14</v>
      </c>
      <c r="S27" s="705">
        <f>F27</f>
        <v>100</v>
      </c>
      <c r="T27" s="704" t="s">
        <v>14</v>
      </c>
      <c r="U27" s="705">
        <f>H27</f>
        <v>100</v>
      </c>
      <c r="V27" s="704" t="s">
        <v>14</v>
      </c>
      <c r="W27" s="705">
        <f>J27</f>
        <v>100</v>
      </c>
      <c r="X27" s="1353"/>
      <c r="Y27" s="3772"/>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809"/>
      <c r="Q28" s="1341" t="str">
        <f t="shared" si="11"/>
        <v>朝向</v>
      </c>
      <c r="R28" s="700" t="s">
        <v>14</v>
      </c>
      <c r="S28" s="701">
        <f>F28</f>
        <v>100</v>
      </c>
      <c r="T28" s="700" t="s">
        <v>14</v>
      </c>
      <c r="U28" s="701">
        <f>H28</f>
        <v>100</v>
      </c>
      <c r="V28" s="700" t="s">
        <v>14</v>
      </c>
      <c r="W28" s="701">
        <f>J28</f>
        <v>100</v>
      </c>
      <c r="X28" s="702"/>
      <c r="Y28" s="3772"/>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809"/>
      <c r="Q29" s="1350">
        <f t="shared" si="11"/>
        <v>111</v>
      </c>
      <c r="R29" s="704" t="s">
        <v>14</v>
      </c>
      <c r="S29" s="705">
        <f t="shared" ref="S29:S47" si="12">F29</f>
        <v>100</v>
      </c>
      <c r="T29" s="704" t="s">
        <v>14</v>
      </c>
      <c r="U29" s="705">
        <f t="shared" ref="U29:U47" si="13">H29</f>
        <v>100</v>
      </c>
      <c r="V29" s="704" t="s">
        <v>14</v>
      </c>
      <c r="W29" s="705">
        <f t="shared" ref="W29:W47" si="14">J29</f>
        <v>100</v>
      </c>
      <c r="X29" s="1353"/>
      <c r="Y29" s="3772"/>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809"/>
      <c r="Q30" s="1350">
        <f t="shared" si="11"/>
        <v>111</v>
      </c>
      <c r="R30" s="704" t="s">
        <v>14</v>
      </c>
      <c r="S30" s="705">
        <f t="shared" si="12"/>
        <v>100</v>
      </c>
      <c r="T30" s="704" t="s">
        <v>14</v>
      </c>
      <c r="U30" s="705">
        <f t="shared" si="13"/>
        <v>100</v>
      </c>
      <c r="V30" s="704" t="s">
        <v>14</v>
      </c>
      <c r="W30" s="705">
        <f t="shared" si="14"/>
        <v>100</v>
      </c>
      <c r="X30" s="1353"/>
      <c r="Y30" s="3772"/>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809"/>
      <c r="Q31" s="1350">
        <f t="shared" si="11"/>
        <v>111</v>
      </c>
      <c r="R31" s="704" t="s">
        <v>14</v>
      </c>
      <c r="S31" s="705">
        <f t="shared" si="12"/>
        <v>100</v>
      </c>
      <c r="T31" s="704" t="s">
        <v>14</v>
      </c>
      <c r="U31" s="705">
        <f t="shared" si="13"/>
        <v>100</v>
      </c>
      <c r="V31" s="704" t="s">
        <v>14</v>
      </c>
      <c r="W31" s="705">
        <f t="shared" si="14"/>
        <v>100</v>
      </c>
      <c r="X31" s="1353"/>
      <c r="Y31" s="3772"/>
      <c r="Z31" s="1354">
        <f t="shared" si="15"/>
        <v>111</v>
      </c>
      <c r="AA31" s="1351">
        <f t="shared" si="3"/>
        <v>1</v>
      </c>
      <c r="AB31" s="1351">
        <f t="shared" si="4"/>
        <v>1</v>
      </c>
      <c r="AC31" s="1958">
        <f t="shared" si="5"/>
        <v>1</v>
      </c>
    </row>
    <row r="32" spans="1:29" ht="15.6"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809"/>
      <c r="Q32" s="1350">
        <f t="shared" si="11"/>
        <v>111</v>
      </c>
      <c r="R32" s="704" t="s">
        <v>14</v>
      </c>
      <c r="S32" s="705">
        <f t="shared" si="12"/>
        <v>100</v>
      </c>
      <c r="T32" s="704" t="s">
        <v>14</v>
      </c>
      <c r="U32" s="705">
        <f t="shared" si="13"/>
        <v>100</v>
      </c>
      <c r="V32" s="704" t="s">
        <v>14</v>
      </c>
      <c r="W32" s="705">
        <f t="shared" si="14"/>
        <v>100</v>
      </c>
      <c r="X32" s="1353"/>
      <c r="Y32" s="3772"/>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5"/>
      <c r="M33" s="2709"/>
      <c r="N33" s="2709"/>
      <c r="O33" s="2709"/>
      <c r="P33" s="3804" t="s">
        <v>1694</v>
      </c>
      <c r="Q33" s="1350" t="str">
        <f t="shared" si="11"/>
        <v>建筑类型</v>
      </c>
      <c r="R33" s="704" t="s">
        <v>14</v>
      </c>
      <c r="S33" s="705">
        <f t="shared" si="12"/>
        <v>100</v>
      </c>
      <c r="T33" s="704" t="s">
        <v>14</v>
      </c>
      <c r="U33" s="705">
        <f t="shared" si="13"/>
        <v>100</v>
      </c>
      <c r="V33" s="704" t="s">
        <v>14</v>
      </c>
      <c r="W33" s="705">
        <f t="shared" si="14"/>
        <v>100</v>
      </c>
      <c r="X33" s="1353"/>
      <c r="Y33" s="3774"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805"/>
      <c r="Q34" s="706" t="str">
        <f t="shared" si="11"/>
        <v>项目建筑规模</v>
      </c>
      <c r="R34" s="707" t="s">
        <v>14</v>
      </c>
      <c r="S34" s="708" t="e">
        <f t="shared" si="12"/>
        <v>#N/A</v>
      </c>
      <c r="T34" s="707" t="s">
        <v>14</v>
      </c>
      <c r="U34" s="708" t="e">
        <f t="shared" si="13"/>
        <v>#N/A</v>
      </c>
      <c r="V34" s="707" t="s">
        <v>14</v>
      </c>
      <c r="W34" s="708" t="e">
        <f t="shared" si="14"/>
        <v>#N/A</v>
      </c>
      <c r="X34" s="709"/>
      <c r="Y34" s="3774"/>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805"/>
      <c r="Q35" s="1350" t="str">
        <f t="shared" si="11"/>
        <v>建筑结构</v>
      </c>
      <c r="R35" s="704" t="s">
        <v>14</v>
      </c>
      <c r="S35" s="705">
        <f t="shared" si="12"/>
        <v>100</v>
      </c>
      <c r="T35" s="704" t="s">
        <v>14</v>
      </c>
      <c r="U35" s="705">
        <f t="shared" si="13"/>
        <v>100</v>
      </c>
      <c r="V35" s="704" t="s">
        <v>14</v>
      </c>
      <c r="W35" s="705">
        <f t="shared" si="14"/>
        <v>100</v>
      </c>
      <c r="X35" s="1353"/>
      <c r="Y35" s="3774"/>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805"/>
      <c r="Q36" s="1350" t="str">
        <f t="shared" si="11"/>
        <v>公共部分装修</v>
      </c>
      <c r="R36" s="704" t="s">
        <v>14</v>
      </c>
      <c r="S36" s="705">
        <f t="shared" si="12"/>
        <v>100</v>
      </c>
      <c r="T36" s="704" t="s">
        <v>14</v>
      </c>
      <c r="U36" s="705">
        <f t="shared" si="13"/>
        <v>100</v>
      </c>
      <c r="V36" s="704" t="s">
        <v>14</v>
      </c>
      <c r="W36" s="705">
        <f t="shared" si="14"/>
        <v>100</v>
      </c>
      <c r="X36" s="1353"/>
      <c r="Y36" s="3774"/>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805"/>
      <c r="Q37" s="1350" t="str">
        <f t="shared" si="11"/>
        <v>成新度</v>
      </c>
      <c r="R37" s="704" t="s">
        <v>14</v>
      </c>
      <c r="S37" s="705" t="e">
        <f t="shared" si="12"/>
        <v>#N/A</v>
      </c>
      <c r="T37" s="704" t="s">
        <v>14</v>
      </c>
      <c r="U37" s="705" t="e">
        <f t="shared" si="13"/>
        <v>#N/A</v>
      </c>
      <c r="V37" s="704" t="s">
        <v>14</v>
      </c>
      <c r="W37" s="705" t="e">
        <f t="shared" si="14"/>
        <v>#N/A</v>
      </c>
      <c r="X37" s="1353"/>
      <c r="Y37" s="3774"/>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05"/>
      <c r="Q38" s="1341" t="str">
        <f t="shared" si="11"/>
        <v>写字楼等级</v>
      </c>
      <c r="R38" s="700" t="s">
        <v>14</v>
      </c>
      <c r="S38" s="701">
        <f t="shared" si="12"/>
        <v>100</v>
      </c>
      <c r="T38" s="700" t="s">
        <v>14</v>
      </c>
      <c r="U38" s="701">
        <f t="shared" si="13"/>
        <v>100</v>
      </c>
      <c r="V38" s="700" t="s">
        <v>14</v>
      </c>
      <c r="W38" s="701">
        <f t="shared" si="14"/>
        <v>100</v>
      </c>
      <c r="X38" s="702"/>
      <c r="Y38" s="3774"/>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805" t="s">
        <v>1694</v>
      </c>
      <c r="Q39" s="1350" t="str">
        <f t="shared" si="11"/>
        <v>物业管理</v>
      </c>
      <c r="R39" s="704" t="s">
        <v>14</v>
      </c>
      <c r="S39" s="705">
        <f t="shared" si="12"/>
        <v>100</v>
      </c>
      <c r="T39" s="704" t="s">
        <v>14</v>
      </c>
      <c r="U39" s="705">
        <f t="shared" si="13"/>
        <v>100</v>
      </c>
      <c r="V39" s="704" t="s">
        <v>14</v>
      </c>
      <c r="W39" s="705">
        <f t="shared" si="14"/>
        <v>100</v>
      </c>
      <c r="X39" s="1353"/>
      <c r="Y39" s="3774"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805"/>
      <c r="Q40" s="1350" t="str">
        <f t="shared" si="11"/>
        <v>市政基础设施</v>
      </c>
      <c r="R40" s="704" t="s">
        <v>14</v>
      </c>
      <c r="S40" s="705">
        <f t="shared" si="12"/>
        <v>100</v>
      </c>
      <c r="T40" s="704" t="s">
        <v>14</v>
      </c>
      <c r="U40" s="705">
        <f t="shared" si="13"/>
        <v>100</v>
      </c>
      <c r="V40" s="704" t="s">
        <v>14</v>
      </c>
      <c r="W40" s="705">
        <f t="shared" si="14"/>
        <v>100</v>
      </c>
      <c r="X40" s="1353"/>
      <c r="Y40" s="3774"/>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805"/>
      <c r="Q41" s="1350" t="str">
        <f t="shared" si="11"/>
        <v>层高</v>
      </c>
      <c r="R41" s="704" t="s">
        <v>14</v>
      </c>
      <c r="S41" s="705">
        <f t="shared" si="12"/>
        <v>100</v>
      </c>
      <c r="T41" s="704" t="s">
        <v>14</v>
      </c>
      <c r="U41" s="705">
        <f t="shared" si="13"/>
        <v>100</v>
      </c>
      <c r="V41" s="704" t="s">
        <v>14</v>
      </c>
      <c r="W41" s="705">
        <f t="shared" si="14"/>
        <v>100</v>
      </c>
      <c r="X41" s="1353"/>
      <c r="Y41" s="3774"/>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05"/>
      <c r="Q42" s="706" t="str">
        <f t="shared" si="11"/>
        <v>单套建筑面积</v>
      </c>
      <c r="R42" s="707" t="s">
        <v>14</v>
      </c>
      <c r="S42" s="708">
        <f t="shared" si="12"/>
        <v>100</v>
      </c>
      <c r="T42" s="707" t="s">
        <v>14</v>
      </c>
      <c r="U42" s="708">
        <f t="shared" si="13"/>
        <v>100</v>
      </c>
      <c r="V42" s="707" t="s">
        <v>14</v>
      </c>
      <c r="W42" s="708">
        <f t="shared" si="14"/>
        <v>100</v>
      </c>
      <c r="X42" s="709"/>
      <c r="Y42" s="3774"/>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805"/>
      <c r="Q43" s="1350" t="str">
        <f t="shared" si="11"/>
        <v>内部装修</v>
      </c>
      <c r="R43" s="704" t="s">
        <v>14</v>
      </c>
      <c r="S43" s="705">
        <f t="shared" si="12"/>
        <v>100</v>
      </c>
      <c r="T43" s="704" t="s">
        <v>14</v>
      </c>
      <c r="U43" s="705">
        <f t="shared" si="13"/>
        <v>100</v>
      </c>
      <c r="V43" s="704" t="s">
        <v>14</v>
      </c>
      <c r="W43" s="705">
        <f t="shared" si="14"/>
        <v>100</v>
      </c>
      <c r="X43" s="1353"/>
      <c r="Y43" s="3774"/>
      <c r="Z43" s="1354" t="str">
        <f t="shared" si="15"/>
        <v>内部装修</v>
      </c>
      <c r="AA43" s="1351">
        <f t="shared" si="3"/>
        <v>1</v>
      </c>
      <c r="AB43" s="1351">
        <f t="shared" si="4"/>
        <v>1</v>
      </c>
      <c r="AC43" s="1958">
        <f t="shared" si="5"/>
        <v>1</v>
      </c>
    </row>
    <row r="44" spans="1:29" ht="28.8">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5"/>
      <c r="M44" s="2709"/>
      <c r="N44" s="2709"/>
      <c r="O44" s="2709"/>
      <c r="P44" s="3805"/>
      <c r="Q44" s="1350" t="str">
        <f t="shared" si="11"/>
        <v>内部装修维护情况</v>
      </c>
      <c r="R44" s="704" t="s">
        <v>14</v>
      </c>
      <c r="S44" s="705">
        <f t="shared" si="12"/>
        <v>100</v>
      </c>
      <c r="T44" s="704" t="s">
        <v>14</v>
      </c>
      <c r="U44" s="705">
        <f t="shared" si="13"/>
        <v>100</v>
      </c>
      <c r="V44" s="704" t="s">
        <v>14</v>
      </c>
      <c r="W44" s="705">
        <f t="shared" si="14"/>
        <v>100</v>
      </c>
      <c r="X44" s="1353"/>
      <c r="Y44" s="3774"/>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05"/>
      <c r="Q45" s="1341">
        <f t="shared" si="11"/>
        <v>111</v>
      </c>
      <c r="R45" s="700" t="s">
        <v>14</v>
      </c>
      <c r="S45" s="701">
        <f t="shared" si="12"/>
        <v>100</v>
      </c>
      <c r="T45" s="700" t="s">
        <v>14</v>
      </c>
      <c r="U45" s="701">
        <f t="shared" si="13"/>
        <v>100</v>
      </c>
      <c r="V45" s="700" t="s">
        <v>14</v>
      </c>
      <c r="W45" s="701">
        <f t="shared" si="14"/>
        <v>100</v>
      </c>
      <c r="X45" s="702"/>
      <c r="Y45" s="3774"/>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05"/>
      <c r="Q46" s="1350">
        <f t="shared" si="11"/>
        <v>111</v>
      </c>
      <c r="R46" s="704" t="s">
        <v>14</v>
      </c>
      <c r="S46" s="705">
        <f t="shared" si="12"/>
        <v>100</v>
      </c>
      <c r="T46" s="704" t="s">
        <v>14</v>
      </c>
      <c r="U46" s="705">
        <f t="shared" si="13"/>
        <v>100</v>
      </c>
      <c r="V46" s="704" t="s">
        <v>14</v>
      </c>
      <c r="W46" s="705">
        <f t="shared" si="14"/>
        <v>100</v>
      </c>
      <c r="X46" s="1353"/>
      <c r="Y46" s="3774"/>
      <c r="Z46" s="1354">
        <f t="shared" si="15"/>
        <v>111</v>
      </c>
      <c r="AA46" s="1351">
        <f t="shared" si="3"/>
        <v>1</v>
      </c>
      <c r="AB46" s="1351">
        <f t="shared" si="4"/>
        <v>1</v>
      </c>
      <c r="AC46" s="1958">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06"/>
      <c r="Q47" s="1350">
        <f t="shared" si="11"/>
        <v>111</v>
      </c>
      <c r="R47" s="704" t="s">
        <v>14</v>
      </c>
      <c r="S47" s="705">
        <f t="shared" si="12"/>
        <v>100</v>
      </c>
      <c r="T47" s="704" t="s">
        <v>14</v>
      </c>
      <c r="U47" s="705">
        <f t="shared" si="13"/>
        <v>100</v>
      </c>
      <c r="V47" s="704" t="s">
        <v>14</v>
      </c>
      <c r="W47" s="705">
        <f t="shared" si="14"/>
        <v>100</v>
      </c>
      <c r="X47" s="1353"/>
      <c r="Y47" s="3807"/>
      <c r="Z47" s="1354">
        <f t="shared" si="15"/>
        <v>111</v>
      </c>
      <c r="AA47" s="1351">
        <f t="shared" si="3"/>
        <v>1</v>
      </c>
      <c r="AB47" s="1351">
        <f t="shared" si="4"/>
        <v>1</v>
      </c>
      <c r="AC47" s="1958">
        <f t="shared" si="5"/>
        <v>1</v>
      </c>
    </row>
    <row r="48" spans="1:29" ht="14.4">
      <c r="A48" s="430" t="s">
        <v>1706</v>
      </c>
      <c r="B48" s="431"/>
      <c r="C48" s="1153" t="s">
        <v>0</v>
      </c>
      <c r="D48" s="1154"/>
      <c r="E48" s="1155"/>
      <c r="F48" s="1156"/>
      <c r="G48" s="1157"/>
      <c r="H48" s="1158"/>
      <c r="I48" s="1155"/>
      <c r="J48" s="436"/>
      <c r="K48" s="713"/>
      <c r="L48" s="2717"/>
      <c r="M48" s="2709"/>
      <c r="N48" s="2709"/>
      <c r="O48" s="2709"/>
      <c r="P48" s="3780" t="str">
        <f>A48</f>
        <v>成交单价（元/平方米）</v>
      </c>
      <c r="Q48" s="3756"/>
      <c r="R48" s="3803">
        <f>E48</f>
        <v>0</v>
      </c>
      <c r="S48" s="3803"/>
      <c r="T48" s="3803">
        <f>G48</f>
        <v>0</v>
      </c>
      <c r="U48" s="3803"/>
      <c r="V48" s="3803">
        <f>I48</f>
        <v>0</v>
      </c>
      <c r="W48" s="3803"/>
      <c r="X48" s="397"/>
      <c r="Y48" s="711"/>
      <c r="Z48" s="397"/>
      <c r="AA48" s="397"/>
      <c r="AB48" s="397"/>
      <c r="AC48" s="577"/>
    </row>
    <row r="49" spans="1:29" ht="15" thickBot="1">
      <c r="A49" s="437" t="s">
        <v>1791</v>
      </c>
      <c r="B49" s="438"/>
      <c r="C49" s="1159" t="e">
        <f>R50</f>
        <v>#DIV/0!</v>
      </c>
      <c r="D49" s="2313" t="s">
        <v>2135</v>
      </c>
      <c r="E49" s="1160" t="e">
        <f>R49</f>
        <v>#DIV/0!</v>
      </c>
      <c r="F49" s="2314"/>
      <c r="G49" s="1159" t="e">
        <f>T49</f>
        <v>#DIV/0!</v>
      </c>
      <c r="H49" s="2314"/>
      <c r="I49" s="1160" t="e">
        <f>V49</f>
        <v>#DIV/0!</v>
      </c>
      <c r="J49" s="2314"/>
      <c r="K49" s="2316">
        <f>F49+H49+J49</f>
        <v>0</v>
      </c>
      <c r="L49" s="2717"/>
      <c r="M49" s="2709"/>
      <c r="N49" s="2709"/>
      <c r="O49" s="2709"/>
      <c r="P49" s="3780" t="str">
        <f>A49</f>
        <v>比较价值（元/平方米）</v>
      </c>
      <c r="Q49" s="3756"/>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397"/>
      <c r="Y49" s="397"/>
      <c r="Z49" s="397"/>
      <c r="AA49" s="397"/>
      <c r="AB49" s="397"/>
      <c r="AC49" s="577"/>
    </row>
    <row r="50" spans="1:29" ht="15" thickBot="1">
      <c r="A50" s="441" t="s">
        <v>1792</v>
      </c>
      <c r="B50" s="442"/>
      <c r="C50" s="1162" t="e">
        <f>R50</f>
        <v>#DIV/0!</v>
      </c>
      <c r="D50" s="1162"/>
      <c r="E50" s="1162"/>
      <c r="F50" s="1162"/>
      <c r="G50" s="1162"/>
      <c r="H50" s="1162"/>
      <c r="I50" s="1162"/>
      <c r="J50" s="443"/>
      <c r="K50" s="714"/>
      <c r="L50" s="2717"/>
      <c r="M50" s="2709"/>
      <c r="N50" s="2709"/>
      <c r="O50" s="2709"/>
      <c r="P50" s="3822" t="str">
        <f>A50</f>
        <v>估价对象XX用房的比较价值（楼面单价，元/平方米）</v>
      </c>
      <c r="Q50" s="3823"/>
      <c r="R50" s="3824" t="e">
        <f>IF(F1="售价",ROUND(IF(D49="简单平均",AVERAGE(R49:V49),R49*F49+T49*H49+V49*J49),0),ROUND(IF(D49="简单平均",AVERAGE(R49:V49),R49*F49+T49*H49+V49*J49),1))</f>
        <v>#DIV/0!</v>
      </c>
      <c r="S50" s="3824"/>
      <c r="T50" s="3824"/>
      <c r="U50" s="3824"/>
      <c r="V50" s="3824"/>
      <c r="W50" s="3824"/>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2.2" thickBot="1">
      <c r="A58" s="693" t="s">
        <v>1796</v>
      </c>
      <c r="B58" s="689"/>
      <c r="C58" s="694"/>
      <c r="D58" s="694"/>
      <c r="E58" s="694"/>
      <c r="F58" s="695"/>
      <c r="G58" s="695"/>
      <c r="H58" s="694"/>
      <c r="I58" s="694"/>
      <c r="J58" s="694"/>
      <c r="K58" s="696"/>
      <c r="L58" s="941"/>
      <c r="M58" s="939"/>
      <c r="N58" s="2762"/>
      <c r="O58" s="2762"/>
      <c r="P58" s="2751"/>
      <c r="Q58" s="2732"/>
      <c r="R58" s="2718"/>
      <c r="S58" s="2718"/>
      <c r="T58" s="2718"/>
      <c r="U58" s="2718"/>
      <c r="V58" s="2718"/>
      <c r="W58" s="2718"/>
      <c r="X58" s="2718"/>
      <c r="Y58" s="2718"/>
      <c r="Z58" s="2718"/>
      <c r="AA58" s="2718"/>
      <c r="AB58" s="2718"/>
      <c r="AC58" s="2718"/>
    </row>
    <row r="59" spans="1:29" s="457" customFormat="1" ht="14.4">
      <c r="A59" s="454" t="s">
        <v>1677</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2"/>
      <c r="Q59" s="2734"/>
      <c r="R59" s="2734"/>
      <c r="S59" s="2734"/>
      <c r="T59" s="2734"/>
      <c r="U59" s="2734"/>
      <c r="V59" s="2734"/>
      <c r="W59" s="2734"/>
      <c r="X59" s="2734"/>
      <c r="Y59" s="2734"/>
      <c r="Z59" s="2734"/>
      <c r="AA59" s="2734"/>
      <c r="AB59" s="2734"/>
      <c r="AC59" s="2734"/>
    </row>
    <row r="60" spans="1:29" s="108" customFormat="1">
      <c r="A60" s="458"/>
      <c r="B60" s="459"/>
      <c r="C60" s="1181">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4.4">
      <c r="A62" s="470" t="s">
        <v>1679</v>
      </c>
      <c r="B62" s="459"/>
      <c r="C62" s="471" t="s">
        <v>1774</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4.4"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ht="14.4">
      <c r="A64" s="476" t="s">
        <v>1717</v>
      </c>
      <c r="B64" s="477" t="s">
        <v>1683</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4.4"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9.4"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4.4"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4.4"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4.4"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4.4"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4.4"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4.4"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4.4"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ht="14.4">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 thickTop="1">
      <c r="A83" s="483"/>
      <c r="B83" s="495" t="s">
        <v>1811</v>
      </c>
      <c r="C83" s="607" t="s">
        <v>1797</v>
      </c>
      <c r="D83" s="607" t="s">
        <v>1798</v>
      </c>
      <c r="E83" s="607" t="s">
        <v>1799</v>
      </c>
      <c r="F83" s="607" t="s">
        <v>1800</v>
      </c>
      <c r="G83" s="607" t="s">
        <v>1801</v>
      </c>
      <c r="H83" s="488"/>
      <c r="I83" s="488"/>
      <c r="J83" s="488"/>
      <c r="K83" s="488"/>
      <c r="L83" s="488"/>
      <c r="M83" s="1128"/>
      <c r="N83" s="2747"/>
      <c r="O83" s="2747"/>
      <c r="P83" s="2755"/>
      <c r="Q83" s="2732"/>
      <c r="R83" s="2718"/>
      <c r="S83" s="2718"/>
      <c r="T83" s="2718"/>
      <c r="U83" s="2718"/>
      <c r="V83" s="2718"/>
      <c r="W83" s="2718"/>
      <c r="X83" s="2718"/>
      <c r="Y83" s="2718"/>
      <c r="Z83" s="2718"/>
      <c r="AA83" s="2718"/>
      <c r="AB83" s="2718"/>
      <c r="AC83" s="2718"/>
    </row>
    <row r="84" spans="1:29" ht="14.4" thickBot="1">
      <c r="A84" s="483"/>
      <c r="B84" s="495"/>
      <c r="C84" s="493">
        <v>100</v>
      </c>
      <c r="D84" s="493">
        <f>C84-$K21</f>
        <v>100</v>
      </c>
      <c r="E84" s="493">
        <f>D84-$K21</f>
        <v>100</v>
      </c>
      <c r="F84" s="493">
        <f>E84-$K21</f>
        <v>100</v>
      </c>
      <c r="G84" s="493">
        <f>F84-$K21</f>
        <v>100</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9.4"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4.4" thickTop="1">
      <c r="A89" s="528"/>
      <c r="B89" s="487" t="str">
        <f>B27</f>
        <v>楼层</v>
      </c>
      <c r="C89" s="503"/>
      <c r="D89" s="503"/>
      <c r="E89" s="503"/>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4.4"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4.4"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4.4"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4.4"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4.4"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4.4"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4.4"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4.4"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4.4"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ht="14.4">
      <c r="A101" s="476" t="s">
        <v>1692</v>
      </c>
      <c r="B101" s="477" t="s">
        <v>1734</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4.4"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4.4"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29.4"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4.4"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4.4"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4.4"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4.4"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4.4"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4.4"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953" t="s">
        <v>1824</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48491.65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5" t="s">
        <v>1767</v>
      </c>
      <c r="B4" s="356"/>
      <c r="C4" s="3757" t="s">
        <v>1768</v>
      </c>
      <c r="D4" s="3758"/>
      <c r="E4" s="3759" t="s">
        <v>1769</v>
      </c>
      <c r="F4" s="3760"/>
      <c r="G4" s="3757" t="s">
        <v>1770</v>
      </c>
      <c r="H4" s="3758"/>
      <c r="I4" s="3757" t="s">
        <v>1771</v>
      </c>
      <c r="J4" s="3758"/>
      <c r="K4" s="559" t="s">
        <v>1772</v>
      </c>
      <c r="L4" s="912"/>
      <c r="M4" s="913"/>
      <c r="N4" s="913"/>
      <c r="O4" s="913"/>
      <c r="P4" s="3761" t="s">
        <v>1773</v>
      </c>
      <c r="Q4" s="3762"/>
      <c r="R4" s="3744" t="s">
        <v>1769</v>
      </c>
      <c r="S4" s="3745"/>
      <c r="T4" s="3744" t="s">
        <v>1770</v>
      </c>
      <c r="U4" s="3745"/>
      <c r="V4" s="3769" t="s">
        <v>1771</v>
      </c>
      <c r="W4" s="3769"/>
      <c r="X4" s="1353"/>
      <c r="Y4" s="3744" t="s">
        <v>1773</v>
      </c>
      <c r="Z4" s="3745"/>
      <c r="AA4" s="3739" t="s">
        <v>1769</v>
      </c>
      <c r="AB4" s="3740" t="s">
        <v>1770</v>
      </c>
      <c r="AC4" s="3739" t="s">
        <v>1771</v>
      </c>
    </row>
    <row r="5" spans="1:29">
      <c r="A5" s="358"/>
      <c r="B5" s="359"/>
      <c r="C5" s="3750" t="s">
        <v>1671</v>
      </c>
      <c r="D5" s="3751"/>
      <c r="E5" s="3748" t="s">
        <v>1672</v>
      </c>
      <c r="F5" s="3749"/>
      <c r="G5" s="3750" t="s">
        <v>1673</v>
      </c>
      <c r="H5" s="3751"/>
      <c r="I5" s="3750" t="s">
        <v>1674</v>
      </c>
      <c r="J5" s="3751"/>
      <c r="K5" s="559"/>
      <c r="L5" s="912"/>
      <c r="M5" s="913"/>
      <c r="N5" s="913"/>
      <c r="O5" s="913"/>
      <c r="P5" s="3763"/>
      <c r="Q5" s="3764"/>
      <c r="R5" s="3746"/>
      <c r="S5" s="3747"/>
      <c r="T5" s="3746"/>
      <c r="U5" s="3747"/>
      <c r="V5" s="3769"/>
      <c r="W5" s="3769"/>
      <c r="X5" s="1353"/>
      <c r="Y5" s="3746"/>
      <c r="Z5" s="3747"/>
      <c r="AA5" s="3740"/>
      <c r="AB5" s="3740"/>
      <c r="AC5" s="3740"/>
    </row>
    <row r="6" spans="1:29" ht="15" thickBot="1">
      <c r="A6" s="360"/>
      <c r="B6" s="361"/>
      <c r="C6" s="3752" t="s">
        <v>1675</v>
      </c>
      <c r="D6" s="3753"/>
      <c r="E6" s="3754" t="s">
        <v>1675</v>
      </c>
      <c r="F6" s="3755"/>
      <c r="G6" s="3752" t="s">
        <v>1675</v>
      </c>
      <c r="H6" s="3753"/>
      <c r="I6" s="3752" t="s">
        <v>1675</v>
      </c>
      <c r="J6" s="3753"/>
      <c r="K6" s="559" t="s">
        <v>1676</v>
      </c>
      <c r="L6" s="912"/>
      <c r="M6" s="913"/>
      <c r="N6" s="913"/>
      <c r="O6" s="913"/>
      <c r="P6" s="3765"/>
      <c r="Q6" s="3766"/>
      <c r="R6" s="3746"/>
      <c r="S6" s="3747"/>
      <c r="T6" s="3767"/>
      <c r="U6" s="3768"/>
      <c r="V6" s="3769"/>
      <c r="W6" s="3769"/>
      <c r="X6" s="1353"/>
      <c r="Y6" s="3767"/>
      <c r="Z6" s="3768"/>
      <c r="AA6" s="3741"/>
      <c r="AB6" s="3741"/>
      <c r="AC6" s="3741"/>
    </row>
    <row r="7" spans="1:29" s="108" customFormat="1" ht="15" thickBot="1">
      <c r="A7" s="362" t="s">
        <v>1677</v>
      </c>
      <c r="B7" s="363"/>
      <c r="C7" s="364">
        <f>'数据-取费表'!B2</f>
        <v>45146</v>
      </c>
      <c r="D7" s="365">
        <v>100</v>
      </c>
      <c r="E7" s="366"/>
      <c r="F7" s="367">
        <f>SUMIF(52:52,YEAR(E7)&amp;"-"&amp;MONTH(E7),53:53)</f>
        <v>0</v>
      </c>
      <c r="G7" s="366"/>
      <c r="H7" s="365">
        <f>SUMIF(52:52,YEAR(G7)&amp;"-"&amp;MONTH(G7),53:53)</f>
        <v>0</v>
      </c>
      <c r="I7" s="366"/>
      <c r="J7" s="365">
        <f>SUMIF(52:52,YEAR(I7)&amp;"-"&amp;MONTH(I7),53:53)</f>
        <v>0</v>
      </c>
      <c r="K7" s="560"/>
      <c r="L7" s="914"/>
      <c r="M7" s="915"/>
      <c r="N7" s="915"/>
      <c r="O7" s="915"/>
      <c r="P7" s="3742" t="s">
        <v>1678</v>
      </c>
      <c r="Q7" s="3770"/>
      <c r="R7" s="700" t="s">
        <v>14</v>
      </c>
      <c r="S7" s="701">
        <f t="shared" ref="S7:S15" si="0">F7</f>
        <v>0</v>
      </c>
      <c r="T7" s="700" t="s">
        <v>14</v>
      </c>
      <c r="U7" s="701">
        <f t="shared" ref="U7:U15" si="1">H7</f>
        <v>0</v>
      </c>
      <c r="V7" s="700" t="s">
        <v>14</v>
      </c>
      <c r="W7" s="701">
        <f t="shared" ref="W7:W15" si="2">J7</f>
        <v>0</v>
      </c>
      <c r="X7" s="702"/>
      <c r="Y7" s="3742" t="s">
        <v>1678</v>
      </c>
      <c r="Z7" s="3743"/>
      <c r="AA7" s="703" t="e">
        <f>D7/F7</f>
        <v>#DIV/0!</v>
      </c>
      <c r="AB7" s="703" t="e">
        <f>D7/H7</f>
        <v>#DIV/0!</v>
      </c>
      <c r="AC7" s="703" t="e">
        <f>D7/J7</f>
        <v>#DIV/0!</v>
      </c>
    </row>
    <row r="8" spans="1:29" s="108" customFormat="1" ht="1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2" t="s">
        <v>1681</v>
      </c>
      <c r="Q8" s="3743"/>
      <c r="R8" s="700" t="s">
        <v>14</v>
      </c>
      <c r="S8" s="701">
        <f t="shared" si="0"/>
        <v>100</v>
      </c>
      <c r="T8" s="700" t="s">
        <v>14</v>
      </c>
      <c r="U8" s="701">
        <f t="shared" si="1"/>
        <v>100</v>
      </c>
      <c r="V8" s="700" t="s">
        <v>14</v>
      </c>
      <c r="W8" s="701">
        <f t="shared" si="2"/>
        <v>100</v>
      </c>
      <c r="X8" s="702"/>
      <c r="Y8" s="3742" t="s">
        <v>1681</v>
      </c>
      <c r="Z8" s="3743"/>
      <c r="AA8" s="703">
        <f t="shared" ref="AA8:AA40" si="3">D8/F8</f>
        <v>1</v>
      </c>
      <c r="AB8" s="703">
        <f t="shared" ref="AB8:AB40" si="4">D8/H8</f>
        <v>1</v>
      </c>
      <c r="AC8" s="703">
        <f t="shared" ref="AC8:AC40" si="5">D8/J8</f>
        <v>1</v>
      </c>
    </row>
    <row r="9" spans="1:29" s="108" customFormat="1" ht="14.4">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6" t="s">
        <v>1684</v>
      </c>
      <c r="Q9" s="1341" t="str">
        <f t="shared" ref="Q9:Q15" si="6">B9</f>
        <v>用途</v>
      </c>
      <c r="R9" s="700" t="s">
        <v>14</v>
      </c>
      <c r="S9" s="701">
        <f t="shared" si="0"/>
        <v>100</v>
      </c>
      <c r="T9" s="700" t="s">
        <v>14</v>
      </c>
      <c r="U9" s="701">
        <f t="shared" si="1"/>
        <v>100</v>
      </c>
      <c r="V9" s="700" t="s">
        <v>14</v>
      </c>
      <c r="W9" s="701">
        <f t="shared" si="2"/>
        <v>100</v>
      </c>
      <c r="X9" s="702"/>
      <c r="Y9" s="3688" t="s">
        <v>1685</v>
      </c>
      <c r="Z9" s="52" t="str">
        <f t="shared" ref="Z9:Z15" si="7">Q9</f>
        <v>用途</v>
      </c>
      <c r="AA9" s="703">
        <f t="shared" si="3"/>
        <v>1</v>
      </c>
      <c r="AB9" s="703">
        <f t="shared" si="4"/>
        <v>1</v>
      </c>
      <c r="AC9" s="703">
        <f t="shared" si="5"/>
        <v>1</v>
      </c>
    </row>
    <row r="10" spans="1:29" s="378" customFormat="1" ht="28.8">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7"/>
      <c r="M10" s="918"/>
      <c r="N10" s="918"/>
      <c r="O10" s="919"/>
      <c r="P10" s="3756"/>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6"/>
      <c r="Q11" s="1341"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56"/>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56"/>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6"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56"/>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71" t="s">
        <v>1689</v>
      </c>
      <c r="Q15" s="1350" t="str">
        <f t="shared" si="6"/>
        <v>产业集聚程度</v>
      </c>
      <c r="R15" s="704" t="s">
        <v>14</v>
      </c>
      <c r="S15" s="705">
        <f t="shared" si="0"/>
        <v>100</v>
      </c>
      <c r="T15" s="704" t="s">
        <v>14</v>
      </c>
      <c r="U15" s="705">
        <f t="shared" si="1"/>
        <v>100</v>
      </c>
      <c r="V15" s="704" t="s">
        <v>14</v>
      </c>
      <c r="W15" s="705">
        <f t="shared" si="2"/>
        <v>100</v>
      </c>
      <c r="X15" s="1353"/>
      <c r="Y15" s="3771"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72"/>
      <c r="Q16" s="1350"/>
      <c r="R16" s="704"/>
      <c r="S16" s="705"/>
      <c r="T16" s="704"/>
      <c r="U16" s="705"/>
      <c r="V16" s="704"/>
      <c r="W16" s="705"/>
      <c r="X16" s="1353"/>
      <c r="Y16" s="3772"/>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72"/>
      <c r="Q17" s="1350" t="str">
        <f>B17</f>
        <v>交通便捷度</v>
      </c>
      <c r="R17" s="704" t="s">
        <v>14</v>
      </c>
      <c r="S17" s="705">
        <f>F17</f>
        <v>100</v>
      </c>
      <c r="T17" s="704" t="s">
        <v>14</v>
      </c>
      <c r="U17" s="705">
        <f>H17</f>
        <v>100</v>
      </c>
      <c r="V17" s="704" t="s">
        <v>14</v>
      </c>
      <c r="W17" s="705">
        <f>J17</f>
        <v>100</v>
      </c>
      <c r="X17" s="1353"/>
      <c r="Y17" s="377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72"/>
      <c r="Q18" s="1350"/>
      <c r="R18" s="704"/>
      <c r="S18" s="705"/>
      <c r="T18" s="704"/>
      <c r="U18" s="705"/>
      <c r="V18" s="704"/>
      <c r="W18" s="705"/>
      <c r="X18" s="1353"/>
      <c r="Y18" s="3772"/>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72"/>
      <c r="Q19" s="1350" t="str">
        <f>B19</f>
        <v>公共配套设施</v>
      </c>
      <c r="R19" s="704" t="s">
        <v>14</v>
      </c>
      <c r="S19" s="705">
        <f>F19</f>
        <v>100</v>
      </c>
      <c r="T19" s="704" t="s">
        <v>14</v>
      </c>
      <c r="U19" s="705">
        <f>H19</f>
        <v>100</v>
      </c>
      <c r="V19" s="704" t="s">
        <v>14</v>
      </c>
      <c r="W19" s="705">
        <f>J19</f>
        <v>100</v>
      </c>
      <c r="X19" s="1353"/>
      <c r="Y19" s="377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72"/>
      <c r="Q20" s="1350"/>
      <c r="R20" s="704"/>
      <c r="S20" s="705"/>
      <c r="T20" s="704"/>
      <c r="U20" s="705"/>
      <c r="V20" s="704"/>
      <c r="W20" s="705"/>
      <c r="X20" s="1353"/>
      <c r="Y20" s="3772"/>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72"/>
      <c r="Q21" s="1350" t="str">
        <f>B21</f>
        <v>基础设施水平</v>
      </c>
      <c r="R21" s="704" t="s">
        <v>14</v>
      </c>
      <c r="S21" s="705">
        <f>F21</f>
        <v>100</v>
      </c>
      <c r="T21" s="704" t="s">
        <v>14</v>
      </c>
      <c r="U21" s="705">
        <f>H21</f>
        <v>100</v>
      </c>
      <c r="V21" s="704" t="s">
        <v>14</v>
      </c>
      <c r="W21" s="705">
        <f>J21</f>
        <v>100</v>
      </c>
      <c r="X21" s="1353"/>
      <c r="Y21" s="377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72"/>
      <c r="Q22" s="1350"/>
      <c r="R22" s="704"/>
      <c r="S22" s="705"/>
      <c r="T22" s="704"/>
      <c r="U22" s="705"/>
      <c r="V22" s="704"/>
      <c r="W22" s="705"/>
      <c r="X22" s="1353"/>
      <c r="Y22" s="3772"/>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72"/>
      <c r="Q23" s="1350" t="str">
        <f>B23</f>
        <v>环境质量</v>
      </c>
      <c r="R23" s="704" t="s">
        <v>14</v>
      </c>
      <c r="S23" s="705">
        <f>F23</f>
        <v>100</v>
      </c>
      <c r="T23" s="704" t="s">
        <v>14</v>
      </c>
      <c r="U23" s="705">
        <f>H23</f>
        <v>100</v>
      </c>
      <c r="V23" s="704" t="s">
        <v>14</v>
      </c>
      <c r="W23" s="705">
        <f>J23</f>
        <v>100</v>
      </c>
      <c r="X23" s="1353"/>
      <c r="Y23" s="3772"/>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72"/>
      <c r="Q24" s="1350"/>
      <c r="R24" s="704"/>
      <c r="S24" s="705"/>
      <c r="T24" s="704"/>
      <c r="U24" s="705"/>
      <c r="V24" s="704"/>
      <c r="W24" s="705"/>
      <c r="X24" s="1353"/>
      <c r="Y24" s="3772"/>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72"/>
      <c r="Q25" s="1350">
        <f>B25</f>
        <v>111</v>
      </c>
      <c r="R25" s="704" t="s">
        <v>14</v>
      </c>
      <c r="S25" s="705">
        <f>F25</f>
        <v>100</v>
      </c>
      <c r="T25" s="704" t="s">
        <v>14</v>
      </c>
      <c r="U25" s="705">
        <f>H25</f>
        <v>100</v>
      </c>
      <c r="V25" s="704" t="s">
        <v>14</v>
      </c>
      <c r="W25" s="705">
        <f>J25</f>
        <v>100</v>
      </c>
      <c r="X25" s="1353"/>
      <c r="Y25" s="3772"/>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72"/>
      <c r="Q26" s="1350">
        <f t="shared" ref="Q26:Q40" si="11">B26</f>
        <v>111</v>
      </c>
      <c r="R26" s="704" t="s">
        <v>14</v>
      </c>
      <c r="S26" s="705">
        <f>F26</f>
        <v>100</v>
      </c>
      <c r="T26" s="704" t="s">
        <v>14</v>
      </c>
      <c r="U26" s="705">
        <f>H26</f>
        <v>100</v>
      </c>
      <c r="V26" s="704" t="s">
        <v>14</v>
      </c>
      <c r="W26" s="705">
        <f>J26</f>
        <v>100</v>
      </c>
      <c r="X26" s="1353"/>
      <c r="Y26" s="3772"/>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72"/>
      <c r="Q27" s="1341">
        <f t="shared" si="11"/>
        <v>111</v>
      </c>
      <c r="R27" s="700" t="s">
        <v>14</v>
      </c>
      <c r="S27" s="701">
        <f>F27</f>
        <v>100</v>
      </c>
      <c r="T27" s="700" t="s">
        <v>14</v>
      </c>
      <c r="U27" s="701">
        <f>H27</f>
        <v>100</v>
      </c>
      <c r="V27" s="700" t="s">
        <v>14</v>
      </c>
      <c r="W27" s="701">
        <f>J27</f>
        <v>100</v>
      </c>
      <c r="X27" s="702"/>
      <c r="Y27" s="3772"/>
      <c r="Z27" s="52">
        <f>Q27</f>
        <v>111</v>
      </c>
      <c r="AA27" s="1351">
        <f>D27/F27</f>
        <v>1</v>
      </c>
      <c r="AB27" s="1351">
        <f>D27/H27</f>
        <v>1</v>
      </c>
      <c r="AC27" s="1351">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72"/>
      <c r="Q28" s="1350">
        <f t="shared" si="11"/>
        <v>111</v>
      </c>
      <c r="R28" s="704" t="s">
        <v>14</v>
      </c>
      <c r="S28" s="705">
        <f t="shared" ref="S28:S40" si="12">F28</f>
        <v>100</v>
      </c>
      <c r="T28" s="704" t="s">
        <v>14</v>
      </c>
      <c r="U28" s="705">
        <f t="shared" ref="U28:U40" si="13">H28</f>
        <v>100</v>
      </c>
      <c r="V28" s="704" t="s">
        <v>14</v>
      </c>
      <c r="W28" s="705">
        <f t="shared" ref="W28:W40" si="14">J28</f>
        <v>100</v>
      </c>
      <c r="X28" s="1353"/>
      <c r="Y28" s="3772"/>
      <c r="Z28" s="1354">
        <f t="shared" ref="Z28:Z40" si="15">Q28</f>
        <v>111</v>
      </c>
      <c r="AA28" s="1351">
        <f t="shared" si="3"/>
        <v>1</v>
      </c>
      <c r="AB28" s="1351">
        <f t="shared" si="4"/>
        <v>1</v>
      </c>
      <c r="AC28" s="1351">
        <f t="shared" si="5"/>
        <v>1</v>
      </c>
    </row>
    <row r="29" spans="1:29" ht="30">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773" t="s">
        <v>1694</v>
      </c>
      <c r="Q29" s="1350" t="str">
        <f t="shared" si="11"/>
        <v>建筑类型</v>
      </c>
      <c r="R29" s="704" t="s">
        <v>14</v>
      </c>
      <c r="S29" s="705">
        <f t="shared" si="12"/>
        <v>100</v>
      </c>
      <c r="T29" s="704" t="s">
        <v>14</v>
      </c>
      <c r="U29" s="705">
        <f t="shared" si="13"/>
        <v>100</v>
      </c>
      <c r="V29" s="704" t="s">
        <v>14</v>
      </c>
      <c r="W29" s="705">
        <f t="shared" si="14"/>
        <v>100</v>
      </c>
      <c r="X29" s="1353"/>
      <c r="Y29" s="3774"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4"/>
      <c r="Q30" s="706" t="str">
        <f t="shared" si="11"/>
        <v>项目建筑规模</v>
      </c>
      <c r="R30" s="707" t="s">
        <v>14</v>
      </c>
      <c r="S30" s="708" t="e">
        <f t="shared" si="12"/>
        <v>#N/A</v>
      </c>
      <c r="T30" s="707" t="s">
        <v>14</v>
      </c>
      <c r="U30" s="708" t="e">
        <f t="shared" si="13"/>
        <v>#N/A</v>
      </c>
      <c r="V30" s="707" t="s">
        <v>14</v>
      </c>
      <c r="W30" s="708" t="e">
        <f t="shared" si="14"/>
        <v>#N/A</v>
      </c>
      <c r="X30" s="709"/>
      <c r="Y30" s="3774"/>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4"/>
      <c r="Q31" s="1350" t="str">
        <f t="shared" si="11"/>
        <v>建筑结构</v>
      </c>
      <c r="R31" s="704" t="s">
        <v>14</v>
      </c>
      <c r="S31" s="705">
        <f t="shared" si="12"/>
        <v>100</v>
      </c>
      <c r="T31" s="704" t="s">
        <v>14</v>
      </c>
      <c r="U31" s="705">
        <f t="shared" si="13"/>
        <v>100</v>
      </c>
      <c r="V31" s="704" t="s">
        <v>14</v>
      </c>
      <c r="W31" s="705">
        <f t="shared" si="14"/>
        <v>100</v>
      </c>
      <c r="X31" s="1353"/>
      <c r="Y31" s="3774"/>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4"/>
      <c r="Q32" s="1350" t="str">
        <f t="shared" si="11"/>
        <v>公共部分装修</v>
      </c>
      <c r="R32" s="704" t="s">
        <v>14</v>
      </c>
      <c r="S32" s="705">
        <f t="shared" si="12"/>
        <v>100</v>
      </c>
      <c r="T32" s="704" t="s">
        <v>14</v>
      </c>
      <c r="U32" s="705">
        <f t="shared" si="13"/>
        <v>100</v>
      </c>
      <c r="V32" s="704" t="s">
        <v>14</v>
      </c>
      <c r="W32" s="705">
        <f t="shared" si="14"/>
        <v>100</v>
      </c>
      <c r="X32" s="1353"/>
      <c r="Y32" s="3774"/>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4"/>
      <c r="Q33" s="1350" t="str">
        <f t="shared" si="11"/>
        <v>成新度</v>
      </c>
      <c r="R33" s="704" t="s">
        <v>14</v>
      </c>
      <c r="S33" s="705" t="e">
        <f t="shared" si="12"/>
        <v>#N/A</v>
      </c>
      <c r="T33" s="704" t="s">
        <v>14</v>
      </c>
      <c r="U33" s="705" t="e">
        <f t="shared" si="13"/>
        <v>#N/A</v>
      </c>
      <c r="V33" s="704" t="s">
        <v>14</v>
      </c>
      <c r="W33" s="705" t="e">
        <f t="shared" si="14"/>
        <v>#N/A</v>
      </c>
      <c r="X33" s="1353"/>
      <c r="Y33" s="3774"/>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4"/>
      <c r="Q34" s="1341" t="str">
        <f t="shared" si="11"/>
        <v>物业管理</v>
      </c>
      <c r="R34" s="700" t="s">
        <v>14</v>
      </c>
      <c r="S34" s="701">
        <f t="shared" si="12"/>
        <v>100</v>
      </c>
      <c r="T34" s="700" t="s">
        <v>14</v>
      </c>
      <c r="U34" s="701">
        <f t="shared" si="13"/>
        <v>100</v>
      </c>
      <c r="V34" s="700" t="s">
        <v>14</v>
      </c>
      <c r="W34" s="701">
        <f t="shared" si="14"/>
        <v>100</v>
      </c>
      <c r="X34" s="702"/>
      <c r="Y34" s="3774"/>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4" t="s">
        <v>1694</v>
      </c>
      <c r="Q35" s="1350" t="str">
        <f t="shared" si="11"/>
        <v>市政基础设施</v>
      </c>
      <c r="R35" s="704" t="s">
        <v>14</v>
      </c>
      <c r="S35" s="705">
        <f t="shared" si="12"/>
        <v>100</v>
      </c>
      <c r="T35" s="704" t="s">
        <v>14</v>
      </c>
      <c r="U35" s="705">
        <f t="shared" si="13"/>
        <v>100</v>
      </c>
      <c r="V35" s="704" t="s">
        <v>14</v>
      </c>
      <c r="W35" s="705">
        <f t="shared" si="14"/>
        <v>100</v>
      </c>
      <c r="X35" s="1353"/>
      <c r="Y35" s="3774"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4"/>
      <c r="Q36" s="1350" t="str">
        <f t="shared" si="11"/>
        <v>内部装修</v>
      </c>
      <c r="R36" s="704" t="s">
        <v>14</v>
      </c>
      <c r="S36" s="705">
        <f t="shared" si="12"/>
        <v>100</v>
      </c>
      <c r="T36" s="704" t="s">
        <v>14</v>
      </c>
      <c r="U36" s="705">
        <f t="shared" si="13"/>
        <v>100</v>
      </c>
      <c r="V36" s="704" t="s">
        <v>14</v>
      </c>
      <c r="W36" s="705">
        <f t="shared" si="14"/>
        <v>100</v>
      </c>
      <c r="X36" s="1353"/>
      <c r="Y36" s="3774"/>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4"/>
      <c r="Q37" s="1350" t="str">
        <f t="shared" si="11"/>
        <v>内部装修状况</v>
      </c>
      <c r="R37" s="704" t="s">
        <v>14</v>
      </c>
      <c r="S37" s="705">
        <f t="shared" si="12"/>
        <v>100</v>
      </c>
      <c r="T37" s="704" t="s">
        <v>14</v>
      </c>
      <c r="U37" s="705">
        <f t="shared" si="13"/>
        <v>100</v>
      </c>
      <c r="V37" s="704" t="s">
        <v>14</v>
      </c>
      <c r="W37" s="705">
        <f t="shared" si="14"/>
        <v>100</v>
      </c>
      <c r="X37" s="1353"/>
      <c r="Y37" s="3774"/>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4"/>
      <c r="Q38" s="706">
        <f t="shared" si="11"/>
        <v>111</v>
      </c>
      <c r="R38" s="707" t="s">
        <v>14</v>
      </c>
      <c r="S38" s="708">
        <f t="shared" si="12"/>
        <v>100</v>
      </c>
      <c r="T38" s="707" t="s">
        <v>14</v>
      </c>
      <c r="U38" s="708">
        <f t="shared" si="13"/>
        <v>100</v>
      </c>
      <c r="V38" s="707" t="s">
        <v>14</v>
      </c>
      <c r="W38" s="708">
        <f t="shared" si="14"/>
        <v>100</v>
      </c>
      <c r="X38" s="709"/>
      <c r="Y38" s="3774"/>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4"/>
      <c r="Q39" s="1350">
        <f t="shared" si="11"/>
        <v>111</v>
      </c>
      <c r="R39" s="704" t="s">
        <v>14</v>
      </c>
      <c r="S39" s="705">
        <f t="shared" si="12"/>
        <v>100</v>
      </c>
      <c r="T39" s="704" t="s">
        <v>14</v>
      </c>
      <c r="U39" s="705">
        <f t="shared" si="13"/>
        <v>100</v>
      </c>
      <c r="V39" s="704" t="s">
        <v>14</v>
      </c>
      <c r="W39" s="705">
        <f t="shared" si="14"/>
        <v>100</v>
      </c>
      <c r="X39" s="1353"/>
      <c r="Y39" s="3774"/>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7"/>
      <c r="Q40" s="1350">
        <f t="shared" si="11"/>
        <v>111</v>
      </c>
      <c r="R40" s="704" t="s">
        <v>14</v>
      </c>
      <c r="S40" s="705">
        <f t="shared" si="12"/>
        <v>100</v>
      </c>
      <c r="T40" s="704" t="s">
        <v>14</v>
      </c>
      <c r="U40" s="705">
        <f t="shared" si="13"/>
        <v>100</v>
      </c>
      <c r="V40" s="704" t="s">
        <v>14</v>
      </c>
      <c r="W40" s="705">
        <f t="shared" si="14"/>
        <v>100</v>
      </c>
      <c r="X40" s="1353"/>
      <c r="Y40" s="3807"/>
      <c r="Z40" s="1354">
        <f t="shared" si="15"/>
        <v>111</v>
      </c>
      <c r="AA40" s="1351">
        <f t="shared" si="3"/>
        <v>1</v>
      </c>
      <c r="AB40" s="1351">
        <f t="shared" si="4"/>
        <v>1</v>
      </c>
      <c r="AC40" s="1351">
        <f t="shared" si="5"/>
        <v>1</v>
      </c>
    </row>
    <row r="41" spans="1:29" ht="14.4">
      <c r="A41" s="430" t="s">
        <v>1706</v>
      </c>
      <c r="B41" s="431"/>
      <c r="C41" s="1153" t="s">
        <v>0</v>
      </c>
      <c r="D41" s="1154"/>
      <c r="E41" s="1155"/>
      <c r="F41" s="1156"/>
      <c r="G41" s="1157"/>
      <c r="H41" s="1158"/>
      <c r="I41" s="1155"/>
      <c r="J41" s="1158"/>
      <c r="K41" s="713"/>
      <c r="L41" s="925"/>
      <c r="M41" s="926"/>
      <c r="N41" s="913"/>
      <c r="O41" s="926"/>
      <c r="P41" s="3756" t="str">
        <f>A41</f>
        <v>成交单价（元/平方米）</v>
      </c>
      <c r="Q41" s="3756"/>
      <c r="R41" s="3803">
        <f>E41</f>
        <v>0</v>
      </c>
      <c r="S41" s="3803"/>
      <c r="T41" s="3803">
        <f>G41</f>
        <v>0</v>
      </c>
      <c r="U41" s="3803"/>
      <c r="V41" s="3803">
        <f>I41</f>
        <v>0</v>
      </c>
      <c r="W41" s="3803"/>
      <c r="X41" s="689"/>
      <c r="Y41" s="711"/>
      <c r="Z41" s="689"/>
      <c r="AA41" s="689"/>
      <c r="AB41" s="689"/>
      <c r="AC41" s="689"/>
    </row>
    <row r="42" spans="1:29" ht="15" thickBot="1">
      <c r="A42" s="437" t="s">
        <v>1791</v>
      </c>
      <c r="B42" s="438"/>
      <c r="C42" s="1159" t="e">
        <f>R43</f>
        <v>#DIV/0!</v>
      </c>
      <c r="D42" s="2313" t="s">
        <v>2135</v>
      </c>
      <c r="E42" s="1160" t="e">
        <f>R42</f>
        <v>#DIV/0!</v>
      </c>
      <c r="F42" s="2314"/>
      <c r="G42" s="1159" t="e">
        <f>T42</f>
        <v>#DIV/0!</v>
      </c>
      <c r="H42" s="2314"/>
      <c r="I42" s="1160" t="e">
        <f>V42</f>
        <v>#DIV/0!</v>
      </c>
      <c r="J42" s="2314"/>
      <c r="K42" s="2316">
        <f>F42+H42+J42</f>
        <v>0</v>
      </c>
      <c r="L42" s="925"/>
      <c r="M42" s="926"/>
      <c r="N42" s="913"/>
      <c r="O42" s="926"/>
      <c r="P42" s="3756" t="str">
        <f>A42</f>
        <v>比较价值（元/平方米）</v>
      </c>
      <c r="Q42" s="3756"/>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689"/>
      <c r="Y42" s="689"/>
      <c r="Z42" s="689"/>
      <c r="AA42" s="689"/>
      <c r="AB42" s="689"/>
      <c r="AC42" s="689"/>
    </row>
    <row r="43" spans="1:29" ht="15" thickBot="1">
      <c r="A43" s="441" t="s">
        <v>1792</v>
      </c>
      <c r="B43" s="442"/>
      <c r="C43" s="1162" t="e">
        <f>R43</f>
        <v>#DIV/0!</v>
      </c>
      <c r="D43" s="1162"/>
      <c r="E43" s="1162"/>
      <c r="F43" s="1162"/>
      <c r="G43" s="1162"/>
      <c r="H43" s="1162"/>
      <c r="I43" s="1162"/>
      <c r="J43" s="1162"/>
      <c r="K43" s="714"/>
      <c r="L43" s="925"/>
      <c r="M43" s="926"/>
      <c r="N43" s="926"/>
      <c r="O43" s="926"/>
      <c r="P43" s="3776" t="str">
        <f>A43</f>
        <v>估价对象XX用房的比较价值（楼面单价，元/平方米）</v>
      </c>
      <c r="Q43" s="3777"/>
      <c r="R43" s="3802" t="e">
        <f>IF(F1="售价",ROUND(IF(D42="简单平均",AVERAGE(R42:V42),R42*F42+T42*H42+V42*J42),0),ROUND(IF(D42="简单平均",AVERAGE(R42:V42),R42*F42+T42*H42+V42*J42),1))</f>
        <v>#DIV/0!</v>
      </c>
      <c r="S43" s="3802"/>
      <c r="T43" s="3802"/>
      <c r="U43" s="3802"/>
      <c r="V43" s="3802"/>
      <c r="W43" s="3802"/>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2.2" thickBot="1">
      <c r="A51" s="693" t="s">
        <v>1796</v>
      </c>
      <c r="B51" s="689"/>
      <c r="C51" s="694"/>
      <c r="D51" s="694"/>
      <c r="E51" s="694"/>
      <c r="F51" s="695"/>
      <c r="G51" s="695"/>
      <c r="H51" s="694"/>
      <c r="I51" s="694"/>
      <c r="J51" s="694"/>
      <c r="K51" s="940"/>
      <c r="L51" s="941"/>
      <c r="M51" s="939"/>
      <c r="N51" s="939"/>
      <c r="O51" s="939"/>
      <c r="P51" s="452"/>
      <c r="Q51" s="453"/>
    </row>
    <row r="52" spans="1:17" s="457" customFormat="1" ht="14.4">
      <c r="A52" s="454" t="s">
        <v>1677</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1714</v>
      </c>
      <c r="B54" s="465"/>
      <c r="C54" s="466"/>
      <c r="D54" s="467"/>
      <c r="E54" s="467"/>
      <c r="F54" s="467"/>
      <c r="G54" s="467"/>
      <c r="H54" s="467"/>
      <c r="I54" s="467"/>
      <c r="J54" s="467"/>
      <c r="K54" s="467"/>
      <c r="L54" s="467"/>
      <c r="M54" s="468"/>
      <c r="N54" s="2763"/>
      <c r="O54" s="2764"/>
      <c r="P54" s="453"/>
      <c r="Q54" s="453"/>
    </row>
    <row r="55" spans="1:17" s="108" customFormat="1" ht="14.4">
      <c r="A55" s="470" t="s">
        <v>1679</v>
      </c>
      <c r="B55" s="459"/>
      <c r="C55" s="471" t="s">
        <v>1774</v>
      </c>
      <c r="D55" s="472"/>
      <c r="E55" s="472"/>
      <c r="F55" s="472"/>
      <c r="G55" s="472"/>
      <c r="H55" s="472"/>
      <c r="I55" s="472"/>
      <c r="J55" s="472"/>
      <c r="K55" s="472"/>
      <c r="L55" s="473"/>
      <c r="M55" s="474"/>
      <c r="N55" s="931"/>
      <c r="O55" s="931"/>
      <c r="P55" s="475"/>
      <c r="Q55" s="453"/>
    </row>
    <row r="56" spans="1:17" s="108" customFormat="1" ht="14.4" thickBot="1">
      <c r="A56" s="470"/>
      <c r="B56" s="459"/>
      <c r="C56" s="586">
        <v>100</v>
      </c>
      <c r="D56" s="461"/>
      <c r="E56" s="461"/>
      <c r="F56" s="461"/>
      <c r="G56" s="461"/>
      <c r="H56" s="461"/>
      <c r="I56" s="461"/>
      <c r="J56" s="461"/>
      <c r="K56" s="461"/>
      <c r="L56" s="461"/>
      <c r="M56" s="463"/>
      <c r="N56" s="931"/>
      <c r="O56" s="931"/>
      <c r="P56" s="453"/>
      <c r="Q56" s="453"/>
    </row>
    <row r="57" spans="1:17" ht="14.4">
      <c r="A57" s="476" t="s">
        <v>1717</v>
      </c>
      <c r="B57" s="477" t="s">
        <v>1683</v>
      </c>
      <c r="C57" s="478">
        <f>C9</f>
        <v>0</v>
      </c>
      <c r="D57" s="479"/>
      <c r="E57" s="479"/>
      <c r="F57" s="479"/>
      <c r="G57" s="479"/>
      <c r="H57" s="479"/>
      <c r="I57" s="479"/>
      <c r="J57" s="479"/>
      <c r="K57" s="480"/>
      <c r="L57" s="481"/>
      <c r="M57" s="482"/>
      <c r="N57" s="932"/>
      <c r="O57" s="932"/>
      <c r="P57" s="42"/>
      <c r="Q57" s="453"/>
    </row>
    <row r="58" spans="1:17" ht="14.4" thickBot="1">
      <c r="A58" s="483"/>
      <c r="B58" s="484"/>
      <c r="C58" s="485">
        <v>100</v>
      </c>
      <c r="D58" s="485"/>
      <c r="E58" s="485"/>
      <c r="F58" s="485"/>
      <c r="G58" s="485"/>
      <c r="H58" s="485"/>
      <c r="I58" s="485"/>
      <c r="J58" s="485"/>
      <c r="K58" s="485"/>
      <c r="L58" s="485"/>
      <c r="M58" s="486"/>
      <c r="N58" s="933"/>
      <c r="O58" s="933"/>
      <c r="P58" s="42"/>
      <c r="Q58" s="453"/>
    </row>
    <row r="59" spans="1:17" ht="29.4" thickTop="1">
      <c r="A59" s="483"/>
      <c r="B59" s="487" t="s">
        <v>1686</v>
      </c>
      <c r="C59" s="532"/>
      <c r="D59" s="532"/>
      <c r="E59" s="532"/>
      <c r="F59" s="532"/>
      <c r="G59" s="532"/>
      <c r="H59" s="532"/>
      <c r="I59" s="532"/>
      <c r="J59" s="532"/>
      <c r="K59" s="533"/>
      <c r="L59" s="534"/>
      <c r="M59" s="535"/>
      <c r="N59" s="932"/>
      <c r="O59" s="932"/>
      <c r="P59" s="42"/>
      <c r="Q59" s="453"/>
    </row>
    <row r="60" spans="1:17" ht="14.4" thickBot="1">
      <c r="A60" s="483"/>
      <c r="B60" s="492"/>
      <c r="C60" s="485"/>
      <c r="D60" s="485"/>
      <c r="E60" s="485"/>
      <c r="F60" s="485"/>
      <c r="G60" s="485"/>
      <c r="H60" s="485"/>
      <c r="I60" s="485"/>
      <c r="J60" s="485"/>
      <c r="K60" s="485"/>
      <c r="L60" s="485"/>
      <c r="M60" s="486"/>
      <c r="N60" s="933"/>
      <c r="O60" s="933"/>
      <c r="P60" s="42"/>
      <c r="Q60" s="453"/>
    </row>
    <row r="61" spans="1:17" ht="1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c r="A62" s="483"/>
      <c r="B62" s="497"/>
      <c r="C62" s="498">
        <v>0</v>
      </c>
      <c r="D62" s="498">
        <v>2</v>
      </c>
      <c r="E62" s="498"/>
      <c r="F62" s="498"/>
      <c r="G62" s="498"/>
      <c r="H62" s="498"/>
      <c r="I62" s="498"/>
      <c r="J62" s="498"/>
      <c r="K62" s="499"/>
      <c r="L62" s="500"/>
      <c r="M62" s="501"/>
      <c r="N62" s="932"/>
      <c r="O62" s="932"/>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4.4" thickTop="1">
      <c r="A64" s="502"/>
      <c r="B64" s="487">
        <f>B12</f>
        <v>111</v>
      </c>
      <c r="C64" s="503"/>
      <c r="D64" s="503"/>
      <c r="E64" s="503"/>
      <c r="F64" s="503"/>
      <c r="G64" s="503"/>
      <c r="H64" s="504"/>
      <c r="I64" s="504"/>
      <c r="J64" s="504"/>
      <c r="K64" s="504"/>
      <c r="L64" s="505"/>
      <c r="M64" s="506"/>
      <c r="N64" s="934"/>
      <c r="O64" s="934"/>
      <c r="P64" s="507"/>
      <c r="Q64" s="508"/>
    </row>
    <row r="65" spans="1:17" s="422" customFormat="1" ht="14.4" thickBot="1">
      <c r="A65" s="502"/>
      <c r="B65" s="492"/>
      <c r="C65" s="509"/>
      <c r="D65" s="485"/>
      <c r="E65" s="485"/>
      <c r="F65" s="485"/>
      <c r="G65" s="485"/>
      <c r="H65" s="485"/>
      <c r="I65" s="485"/>
      <c r="J65" s="485"/>
      <c r="K65" s="485"/>
      <c r="L65" s="485"/>
      <c r="M65" s="486"/>
      <c r="N65" s="933"/>
      <c r="O65" s="933"/>
      <c r="P65" s="507"/>
      <c r="Q65" s="508"/>
    </row>
    <row r="66" spans="1:17" s="422" customFormat="1" ht="14.4" thickTop="1">
      <c r="A66" s="502"/>
      <c r="B66" s="487">
        <f>B13</f>
        <v>111</v>
      </c>
      <c r="C66" s="503"/>
      <c r="D66" s="503"/>
      <c r="E66" s="503"/>
      <c r="F66" s="503"/>
      <c r="G66" s="503"/>
      <c r="H66" s="504"/>
      <c r="I66" s="504"/>
      <c r="J66" s="504"/>
      <c r="K66" s="504"/>
      <c r="L66" s="505"/>
      <c r="M66" s="506"/>
      <c r="N66" s="934"/>
      <c r="O66" s="934"/>
      <c r="P66" s="421"/>
      <c r="Q66" s="510"/>
    </row>
    <row r="67" spans="1:17" s="422" customFormat="1" ht="14.4" thickBot="1">
      <c r="A67" s="502"/>
      <c r="B67" s="492"/>
      <c r="C67" s="509"/>
      <c r="D67" s="485"/>
      <c r="E67" s="485"/>
      <c r="F67" s="485"/>
      <c r="G67" s="509"/>
      <c r="H67" s="511"/>
      <c r="I67" s="511"/>
      <c r="J67" s="511"/>
      <c r="K67" s="511"/>
      <c r="L67" s="511"/>
      <c r="M67" s="512"/>
      <c r="N67" s="934"/>
      <c r="O67" s="934"/>
      <c r="P67" s="507"/>
      <c r="Q67" s="508"/>
    </row>
    <row r="68" spans="1:17" s="422" customFormat="1" ht="14.4" thickTop="1">
      <c r="A68" s="502"/>
      <c r="B68" s="495">
        <f>B14</f>
        <v>111</v>
      </c>
      <c r="C68" s="472"/>
      <c r="D68" s="472"/>
      <c r="E68" s="472"/>
      <c r="F68" s="472"/>
      <c r="G68" s="472"/>
      <c r="H68" s="513"/>
      <c r="I68" s="513"/>
      <c r="J68" s="513"/>
      <c r="K68" s="513"/>
      <c r="L68" s="514"/>
      <c r="M68" s="515"/>
      <c r="N68" s="934"/>
      <c r="O68" s="934"/>
      <c r="P68" s="516"/>
      <c r="Q68" s="508"/>
    </row>
    <row r="69" spans="1:17" s="422" customFormat="1" ht="14.4" thickBot="1">
      <c r="A69" s="517"/>
      <c r="B69" s="518"/>
      <c r="C69" s="519"/>
      <c r="D69" s="519"/>
      <c r="E69" s="519"/>
      <c r="F69" s="519"/>
      <c r="G69" s="519"/>
      <c r="H69" s="520"/>
      <c r="I69" s="520"/>
      <c r="J69" s="520"/>
      <c r="K69" s="520"/>
      <c r="L69" s="520"/>
      <c r="M69" s="521"/>
      <c r="N69" s="934"/>
      <c r="O69" s="934"/>
      <c r="P69" s="507"/>
      <c r="Q69" s="508"/>
    </row>
    <row r="70" spans="1:17" ht="14.4">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4.4"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4.4" thickTop="1">
      <c r="A80" s="528"/>
      <c r="B80" s="487">
        <f>B25</f>
        <v>111</v>
      </c>
      <c r="C80" s="503"/>
      <c r="D80" s="503"/>
      <c r="E80" s="503"/>
      <c r="F80" s="503"/>
      <c r="G80" s="503"/>
      <c r="H80" s="503"/>
      <c r="I80" s="503"/>
      <c r="J80" s="503"/>
      <c r="K80" s="503"/>
      <c r="L80" s="529"/>
      <c r="M80" s="530"/>
      <c r="N80" s="931"/>
      <c r="O80" s="931"/>
      <c r="P80" s="42"/>
      <c r="Q80" s="453"/>
    </row>
    <row r="81" spans="1:17" s="108" customFormat="1" ht="14.4" thickBot="1">
      <c r="A81" s="528"/>
      <c r="B81" s="492"/>
      <c r="C81" s="509"/>
      <c r="D81" s="485"/>
      <c r="E81" s="485"/>
      <c r="F81" s="485"/>
      <c r="G81" s="485"/>
      <c r="H81" s="485"/>
      <c r="I81" s="485"/>
      <c r="J81" s="485"/>
      <c r="K81" s="485"/>
      <c r="L81" s="485"/>
      <c r="M81" s="486"/>
      <c r="N81" s="933"/>
      <c r="O81" s="933"/>
      <c r="P81" s="42"/>
      <c r="Q81" s="453"/>
    </row>
    <row r="82" spans="1:17" s="108" customFormat="1" ht="14.4" thickTop="1">
      <c r="A82" s="528"/>
      <c r="B82" s="487">
        <f>B26</f>
        <v>111</v>
      </c>
      <c r="C82" s="503"/>
      <c r="D82" s="503"/>
      <c r="E82" s="503"/>
      <c r="F82" s="503"/>
      <c r="G82" s="503"/>
      <c r="H82" s="503"/>
      <c r="I82" s="503"/>
      <c r="J82" s="503"/>
      <c r="K82" s="503"/>
      <c r="L82" s="529"/>
      <c r="M82" s="530"/>
      <c r="N82" s="931"/>
      <c r="O82" s="931"/>
      <c r="P82" s="42"/>
      <c r="Q82" s="453"/>
    </row>
    <row r="83" spans="1:17" s="108" customFormat="1" ht="14.4" thickBot="1">
      <c r="A83" s="528"/>
      <c r="B83" s="492"/>
      <c r="C83" s="509"/>
      <c r="D83" s="485"/>
      <c r="E83" s="485"/>
      <c r="F83" s="485"/>
      <c r="G83" s="485"/>
      <c r="H83" s="485"/>
      <c r="I83" s="485"/>
      <c r="J83" s="485"/>
      <c r="K83" s="485"/>
      <c r="L83" s="485"/>
      <c r="M83" s="486"/>
      <c r="N83" s="933"/>
      <c r="O83" s="933"/>
      <c r="P83" s="42"/>
      <c r="Q83" s="453"/>
    </row>
    <row r="84" spans="1:17" s="422" customFormat="1" ht="14.4" thickTop="1">
      <c r="A84" s="502"/>
      <c r="B84" s="487">
        <f>B27</f>
        <v>111</v>
      </c>
      <c r="C84" s="503"/>
      <c r="D84" s="503"/>
      <c r="E84" s="503"/>
      <c r="F84" s="503"/>
      <c r="G84" s="503"/>
      <c r="H84" s="503"/>
      <c r="I84" s="503"/>
      <c r="J84" s="503"/>
      <c r="K84" s="503"/>
      <c r="L84" s="529"/>
      <c r="M84" s="530"/>
      <c r="N84" s="934"/>
      <c r="O84" s="934"/>
      <c r="P84" s="507"/>
      <c r="Q84" s="508"/>
    </row>
    <row r="85" spans="1:17" s="422" customFormat="1" ht="14.4" thickBot="1">
      <c r="A85" s="502"/>
      <c r="B85" s="492"/>
      <c r="C85" s="509"/>
      <c r="D85" s="485"/>
      <c r="E85" s="485"/>
      <c r="F85" s="485"/>
      <c r="G85" s="485"/>
      <c r="H85" s="485"/>
      <c r="I85" s="485"/>
      <c r="J85" s="485"/>
      <c r="K85" s="485"/>
      <c r="L85" s="485"/>
      <c r="M85" s="486"/>
      <c r="N85" s="934"/>
      <c r="O85" s="934"/>
      <c r="P85" s="507"/>
      <c r="Q85" s="508"/>
    </row>
    <row r="86" spans="1:17" ht="14.4" thickTop="1">
      <c r="A86" s="483"/>
      <c r="B86" s="495">
        <f>B28</f>
        <v>111</v>
      </c>
      <c r="C86" s="472"/>
      <c r="D86" s="472"/>
      <c r="E86" s="472"/>
      <c r="F86" s="472"/>
      <c r="G86" s="536"/>
      <c r="H86" s="536"/>
      <c r="I86" s="536"/>
      <c r="J86" s="536"/>
      <c r="K86" s="537"/>
      <c r="L86" s="538"/>
      <c r="M86" s="539"/>
      <c r="N86" s="932"/>
      <c r="O86" s="932"/>
      <c r="P86" s="42"/>
      <c r="Q86" s="453"/>
    </row>
    <row r="87" spans="1:17" ht="14.4" thickBot="1">
      <c r="A87" s="1924"/>
      <c r="B87" s="518"/>
      <c r="C87" s="519"/>
      <c r="D87" s="519"/>
      <c r="E87" s="519"/>
      <c r="F87" s="519"/>
      <c r="G87" s="540"/>
      <c r="H87" s="540"/>
      <c r="I87" s="540"/>
      <c r="J87" s="540"/>
      <c r="K87" s="540"/>
      <c r="L87" s="540"/>
      <c r="M87" s="541"/>
      <c r="N87" s="933"/>
      <c r="O87" s="933"/>
      <c r="P87" s="42"/>
      <c r="Q87" s="453"/>
    </row>
    <row r="88" spans="1:17" ht="14.4">
      <c r="A88" s="476" t="s">
        <v>1692</v>
      </c>
      <c r="B88" s="477" t="s">
        <v>1734</v>
      </c>
      <c r="C88" s="479"/>
      <c r="D88" s="479"/>
      <c r="E88" s="479"/>
      <c r="F88" s="479"/>
      <c r="G88" s="479"/>
      <c r="H88" s="479"/>
      <c r="I88" s="479"/>
      <c r="J88" s="479"/>
      <c r="K88" s="480"/>
      <c r="L88" s="481"/>
      <c r="M88" s="482"/>
      <c r="N88" s="932"/>
      <c r="O88" s="932"/>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4.4"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29.4"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4.4"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4.4" thickBot="1">
      <c r="A109" s="502"/>
      <c r="B109" s="484"/>
      <c r="C109" s="509"/>
      <c r="D109" s="485"/>
      <c r="E109" s="485"/>
      <c r="F109" s="485"/>
      <c r="G109" s="509"/>
      <c r="H109" s="511"/>
      <c r="I109" s="511"/>
      <c r="J109" s="511"/>
      <c r="K109" s="511"/>
      <c r="L109" s="511"/>
      <c r="M109" s="512"/>
      <c r="N109" s="934"/>
      <c r="O109" s="934"/>
      <c r="P109" s="507"/>
      <c r="Q109" s="508"/>
    </row>
    <row r="110" spans="1:17" ht="14.4" thickTop="1">
      <c r="A110" s="548"/>
      <c r="B110" s="487">
        <f>B39</f>
        <v>111</v>
      </c>
      <c r="C110" s="503"/>
      <c r="D110" s="503"/>
      <c r="E110" s="503"/>
      <c r="F110" s="503"/>
      <c r="G110" s="503"/>
      <c r="H110" s="504"/>
      <c r="I110" s="504"/>
      <c r="J110" s="504"/>
      <c r="K110" s="504"/>
      <c r="L110" s="505"/>
      <c r="M110" s="506"/>
      <c r="N110" s="932"/>
      <c r="O110" s="932"/>
      <c r="P110" s="42"/>
      <c r="Q110" s="453"/>
    </row>
    <row r="111" spans="1:17" ht="14.4" thickBot="1">
      <c r="A111" s="483"/>
      <c r="B111" s="492"/>
      <c r="C111" s="509"/>
      <c r="D111" s="485"/>
      <c r="E111" s="485"/>
      <c r="F111" s="485"/>
      <c r="G111" s="509"/>
      <c r="H111" s="511"/>
      <c r="I111" s="511"/>
      <c r="J111" s="511"/>
      <c r="K111" s="511"/>
      <c r="L111" s="511"/>
      <c r="M111" s="512"/>
      <c r="N111" s="933"/>
      <c r="O111" s="933"/>
      <c r="P111" s="42"/>
      <c r="Q111" s="453"/>
    </row>
    <row r="112" spans="1:17" ht="14.4" thickTop="1">
      <c r="A112" s="548"/>
      <c r="B112" s="495">
        <f>B40</f>
        <v>111</v>
      </c>
      <c r="C112" s="472"/>
      <c r="D112" s="472"/>
      <c r="E112" s="472"/>
      <c r="F112" s="472"/>
      <c r="G112" s="536"/>
      <c r="H112" s="536"/>
      <c r="I112" s="536"/>
      <c r="J112" s="536"/>
      <c r="K112" s="472"/>
      <c r="L112" s="473"/>
      <c r="M112" s="539"/>
      <c r="N112" s="932"/>
      <c r="O112" s="932"/>
      <c r="P112" s="42"/>
      <c r="Q112" s="453"/>
    </row>
    <row r="113" spans="1:17" ht="14.4"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1829</v>
      </c>
      <c r="B1" s="1221" t="s">
        <v>3323</v>
      </c>
      <c r="C1" s="1222" t="s">
        <v>1660</v>
      </c>
      <c r="D1" s="1223"/>
      <c r="E1" s="3426"/>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4.4">
      <c r="A4" s="355" t="s">
        <v>1767</v>
      </c>
      <c r="B4" s="356"/>
      <c r="C4" s="3757" t="s">
        <v>1768</v>
      </c>
      <c r="D4" s="3758"/>
      <c r="E4" s="3759" t="s">
        <v>1769</v>
      </c>
      <c r="F4" s="3760"/>
      <c r="G4" s="3757" t="s">
        <v>1770</v>
      </c>
      <c r="H4" s="3758"/>
      <c r="I4" s="3757" t="s">
        <v>1771</v>
      </c>
      <c r="J4" s="3758"/>
      <c r="K4" s="559" t="s">
        <v>1772</v>
      </c>
      <c r="L4" s="2708"/>
      <c r="M4" s="2709"/>
      <c r="N4" s="2709"/>
      <c r="O4" s="2709"/>
      <c r="P4" s="3761" t="s">
        <v>1773</v>
      </c>
      <c r="Q4" s="3762"/>
      <c r="R4" s="3744" t="s">
        <v>1769</v>
      </c>
      <c r="S4" s="3745"/>
      <c r="T4" s="3744" t="s">
        <v>1770</v>
      </c>
      <c r="U4" s="3745"/>
      <c r="V4" s="3769" t="s">
        <v>1771</v>
      </c>
      <c r="W4" s="3769"/>
      <c r="X4" s="1353"/>
      <c r="Y4" s="3744" t="s">
        <v>1773</v>
      </c>
      <c r="Z4" s="3745"/>
      <c r="AA4" s="3739" t="s">
        <v>1769</v>
      </c>
      <c r="AB4" s="3740" t="s">
        <v>1770</v>
      </c>
      <c r="AC4" s="3739" t="s">
        <v>1771</v>
      </c>
    </row>
    <row r="5" spans="1:29">
      <c r="A5" s="358"/>
      <c r="B5" s="359"/>
      <c r="C5" s="3750" t="s">
        <v>1671</v>
      </c>
      <c r="D5" s="3751"/>
      <c r="E5" s="3748" t="s">
        <v>1672</v>
      </c>
      <c r="F5" s="3749"/>
      <c r="G5" s="3750" t="s">
        <v>1673</v>
      </c>
      <c r="H5" s="3751"/>
      <c r="I5" s="3750" t="s">
        <v>1674</v>
      </c>
      <c r="J5" s="3751"/>
      <c r="K5" s="559"/>
      <c r="L5" s="2708"/>
      <c r="M5" s="2709"/>
      <c r="N5" s="2709"/>
      <c r="O5" s="2709"/>
      <c r="P5" s="3763"/>
      <c r="Q5" s="3764"/>
      <c r="R5" s="3746"/>
      <c r="S5" s="3747"/>
      <c r="T5" s="3746"/>
      <c r="U5" s="3747"/>
      <c r="V5" s="3769"/>
      <c r="W5" s="3769"/>
      <c r="X5" s="1353"/>
      <c r="Y5" s="3746"/>
      <c r="Z5" s="3747"/>
      <c r="AA5" s="3740"/>
      <c r="AB5" s="3740"/>
      <c r="AC5" s="3740"/>
    </row>
    <row r="6" spans="1:29" ht="15" thickBot="1">
      <c r="A6" s="360"/>
      <c r="B6" s="361"/>
      <c r="C6" s="3752" t="s">
        <v>1675</v>
      </c>
      <c r="D6" s="3753"/>
      <c r="E6" s="3754" t="s">
        <v>1675</v>
      </c>
      <c r="F6" s="3755"/>
      <c r="G6" s="3752" t="s">
        <v>1675</v>
      </c>
      <c r="H6" s="3753"/>
      <c r="I6" s="3752" t="s">
        <v>1675</v>
      </c>
      <c r="J6" s="3753"/>
      <c r="K6" s="559" t="s">
        <v>1676</v>
      </c>
      <c r="L6" s="2708"/>
      <c r="M6" s="2709"/>
      <c r="N6" s="2709"/>
      <c r="O6" s="2709"/>
      <c r="P6" s="3765"/>
      <c r="Q6" s="3766"/>
      <c r="R6" s="3746"/>
      <c r="S6" s="3747"/>
      <c r="T6" s="3767"/>
      <c r="U6" s="3768"/>
      <c r="V6" s="3769"/>
      <c r="W6" s="3769"/>
      <c r="X6" s="1353"/>
      <c r="Y6" s="3767"/>
      <c r="Z6" s="3768"/>
      <c r="AA6" s="3741"/>
      <c r="AB6" s="3741"/>
      <c r="AC6" s="3741"/>
    </row>
    <row r="7" spans="1:29" s="108" customFormat="1" ht="15" thickBot="1">
      <c r="A7" s="362" t="s">
        <v>1677</v>
      </c>
      <c r="B7" s="363"/>
      <c r="C7" s="364">
        <f>'数据-取费表'!B2</f>
        <v>45146</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42" t="s">
        <v>1678</v>
      </c>
      <c r="Q7" s="3770"/>
      <c r="R7" s="700" t="s">
        <v>14</v>
      </c>
      <c r="S7" s="701">
        <f t="shared" ref="S7:S14" si="0">F7</f>
        <v>0</v>
      </c>
      <c r="T7" s="700" t="s">
        <v>14</v>
      </c>
      <c r="U7" s="701">
        <f t="shared" ref="U7:U14" si="1">H7</f>
        <v>0</v>
      </c>
      <c r="V7" s="700" t="s">
        <v>14</v>
      </c>
      <c r="W7" s="701">
        <f t="shared" ref="W7:W14" si="2">J7</f>
        <v>0</v>
      </c>
      <c r="X7" s="702"/>
      <c r="Y7" s="3742" t="s">
        <v>1678</v>
      </c>
      <c r="Z7" s="3743"/>
      <c r="AA7" s="703" t="e">
        <f>D7/F7</f>
        <v>#DIV/0!</v>
      </c>
      <c r="AB7" s="703" t="e">
        <f>D7/H7</f>
        <v>#DIV/0!</v>
      </c>
      <c r="AC7" s="703" t="e">
        <f>D7/J7</f>
        <v>#DIV/0!</v>
      </c>
    </row>
    <row r="8" spans="1:29" s="108" customFormat="1" ht="1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42" t="s">
        <v>1681</v>
      </c>
      <c r="Q8" s="3743"/>
      <c r="R8" s="700" t="s">
        <v>14</v>
      </c>
      <c r="S8" s="701">
        <f t="shared" si="0"/>
        <v>100</v>
      </c>
      <c r="T8" s="700" t="s">
        <v>14</v>
      </c>
      <c r="U8" s="701">
        <f t="shared" si="1"/>
        <v>100</v>
      </c>
      <c r="V8" s="700" t="s">
        <v>14</v>
      </c>
      <c r="W8" s="701">
        <f t="shared" si="2"/>
        <v>100</v>
      </c>
      <c r="X8" s="702"/>
      <c r="Y8" s="3742" t="s">
        <v>1681</v>
      </c>
      <c r="Z8" s="3743"/>
      <c r="AA8" s="703">
        <f t="shared" ref="AA8:AA36" si="3">D8/F8</f>
        <v>1</v>
      </c>
      <c r="AB8" s="703">
        <f t="shared" ref="AB8:AB36" si="4">D8/H8</f>
        <v>1</v>
      </c>
      <c r="AC8" s="703">
        <f t="shared" ref="AC8:AC36" si="5">D8/J8</f>
        <v>1</v>
      </c>
    </row>
    <row r="9" spans="1:29" s="108" customFormat="1" ht="14.4">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56" t="s">
        <v>1684</v>
      </c>
      <c r="Q9" s="1341" t="str">
        <f t="shared" ref="Q9:Q14" si="6">B9</f>
        <v>用途</v>
      </c>
      <c r="R9" s="700" t="s">
        <v>14</v>
      </c>
      <c r="S9" s="701">
        <f t="shared" si="0"/>
        <v>100</v>
      </c>
      <c r="T9" s="700" t="s">
        <v>14</v>
      </c>
      <c r="U9" s="701">
        <f t="shared" si="1"/>
        <v>100</v>
      </c>
      <c r="V9" s="700" t="s">
        <v>14</v>
      </c>
      <c r="W9" s="701">
        <f t="shared" si="2"/>
        <v>100</v>
      </c>
      <c r="X9" s="702"/>
      <c r="Y9" s="3688" t="s">
        <v>1685</v>
      </c>
      <c r="Z9" s="52" t="str">
        <f t="shared" ref="Z9:Z14" si="7">Q9</f>
        <v>用途</v>
      </c>
      <c r="AA9" s="703">
        <f t="shared" si="3"/>
        <v>1</v>
      </c>
      <c r="AB9" s="703">
        <f t="shared" si="4"/>
        <v>1</v>
      </c>
      <c r="AC9" s="703">
        <f t="shared" si="5"/>
        <v>1</v>
      </c>
    </row>
    <row r="10" spans="1:29" s="378" customFormat="1" ht="28.8">
      <c r="A10" s="588"/>
      <c r="B10" s="589"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56"/>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56"/>
      <c r="Q11" s="1341">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56"/>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6"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56"/>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71" t="s">
        <v>1689</v>
      </c>
      <c r="Q14" s="1350" t="str">
        <f t="shared" si="6"/>
        <v>交通便捷度</v>
      </c>
      <c r="R14" s="704" t="s">
        <v>14</v>
      </c>
      <c r="S14" s="705">
        <f t="shared" si="0"/>
        <v>100</v>
      </c>
      <c r="T14" s="704" t="s">
        <v>14</v>
      </c>
      <c r="U14" s="705">
        <f t="shared" si="1"/>
        <v>100</v>
      </c>
      <c r="V14" s="704" t="s">
        <v>14</v>
      </c>
      <c r="W14" s="705">
        <f t="shared" si="2"/>
        <v>100</v>
      </c>
      <c r="X14" s="1353"/>
      <c r="Y14" s="3771"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5"/>
      <c r="M15" s="2709"/>
      <c r="N15" s="2709"/>
      <c r="O15" s="2709"/>
      <c r="P15" s="3772"/>
      <c r="Q15" s="1350"/>
      <c r="R15" s="704"/>
      <c r="S15" s="705"/>
      <c r="T15" s="704"/>
      <c r="U15" s="705"/>
      <c r="V15" s="704"/>
      <c r="W15" s="705"/>
      <c r="X15" s="1353"/>
      <c r="Y15" s="3772"/>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72"/>
      <c r="Q16" s="1350" t="str">
        <f>B16</f>
        <v>公共配套设施</v>
      </c>
      <c r="R16" s="704" t="s">
        <v>14</v>
      </c>
      <c r="S16" s="705">
        <f>F16</f>
        <v>100</v>
      </c>
      <c r="T16" s="704" t="s">
        <v>14</v>
      </c>
      <c r="U16" s="705">
        <f>H16</f>
        <v>100</v>
      </c>
      <c r="V16" s="704" t="s">
        <v>14</v>
      </c>
      <c r="W16" s="705">
        <f>J16</f>
        <v>100</v>
      </c>
      <c r="X16" s="1353"/>
      <c r="Y16" s="3772"/>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5"/>
      <c r="M17" s="2709"/>
      <c r="N17" s="2709"/>
      <c r="O17" s="2709"/>
      <c r="P17" s="3772"/>
      <c r="Q17" s="1350"/>
      <c r="R17" s="704"/>
      <c r="S17" s="705"/>
      <c r="T17" s="704"/>
      <c r="U17" s="705"/>
      <c r="V17" s="704"/>
      <c r="W17" s="705"/>
      <c r="X17" s="1353"/>
      <c r="Y17" s="3772"/>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72"/>
      <c r="Q18" s="1350" t="str">
        <f>B18</f>
        <v>基础设施水平</v>
      </c>
      <c r="R18" s="704" t="s">
        <v>14</v>
      </c>
      <c r="S18" s="705">
        <f>F18</f>
        <v>100</v>
      </c>
      <c r="T18" s="704" t="s">
        <v>14</v>
      </c>
      <c r="U18" s="705">
        <f>H18</f>
        <v>100</v>
      </c>
      <c r="V18" s="704" t="s">
        <v>14</v>
      </c>
      <c r="W18" s="705">
        <f>J18</f>
        <v>100</v>
      </c>
      <c r="X18" s="1353"/>
      <c r="Y18" s="3772"/>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5"/>
      <c r="M19" s="2709"/>
      <c r="N19" s="2709"/>
      <c r="O19" s="2709"/>
      <c r="P19" s="3772"/>
      <c r="Q19" s="1350"/>
      <c r="R19" s="704"/>
      <c r="S19" s="705"/>
      <c r="T19" s="704"/>
      <c r="U19" s="705"/>
      <c r="V19" s="704"/>
      <c r="W19" s="705"/>
      <c r="X19" s="1353"/>
      <c r="Y19" s="3772"/>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72"/>
      <c r="Q20" s="1350" t="str">
        <f>B20</f>
        <v>自然及人文环境</v>
      </c>
      <c r="R20" s="704" t="s">
        <v>14</v>
      </c>
      <c r="S20" s="705">
        <f>F20</f>
        <v>100</v>
      </c>
      <c r="T20" s="704" t="s">
        <v>14</v>
      </c>
      <c r="U20" s="705">
        <f>H20</f>
        <v>100</v>
      </c>
      <c r="V20" s="704" t="s">
        <v>14</v>
      </c>
      <c r="W20" s="705">
        <f>J20</f>
        <v>100</v>
      </c>
      <c r="X20" s="1353"/>
      <c r="Y20" s="3772"/>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5"/>
      <c r="M21" s="2709"/>
      <c r="N21" s="2709"/>
      <c r="O21" s="2709"/>
      <c r="P21" s="3772"/>
      <c r="Q21" s="1350"/>
      <c r="R21" s="704"/>
      <c r="S21" s="705"/>
      <c r="T21" s="704"/>
      <c r="U21" s="705"/>
      <c r="V21" s="704"/>
      <c r="W21" s="705"/>
      <c r="X21" s="1353"/>
      <c r="Y21" s="3772"/>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72"/>
      <c r="Q22" s="1350" t="str">
        <f>B22</f>
        <v>楼层</v>
      </c>
      <c r="R22" s="704" t="s">
        <v>14</v>
      </c>
      <c r="S22" s="705">
        <f>F22</f>
        <v>100</v>
      </c>
      <c r="T22" s="704" t="s">
        <v>14</v>
      </c>
      <c r="U22" s="705">
        <f>H22</f>
        <v>100</v>
      </c>
      <c r="V22" s="704" t="s">
        <v>14</v>
      </c>
      <c r="W22" s="705">
        <f>J22</f>
        <v>100</v>
      </c>
      <c r="X22" s="1353"/>
      <c r="Y22" s="3772"/>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72"/>
      <c r="Q23" s="1350">
        <f>B23</f>
        <v>111</v>
      </c>
      <c r="R23" s="704" t="s">
        <v>14</v>
      </c>
      <c r="S23" s="705">
        <f>F23</f>
        <v>100</v>
      </c>
      <c r="T23" s="704" t="s">
        <v>14</v>
      </c>
      <c r="U23" s="705">
        <f>H23</f>
        <v>100</v>
      </c>
      <c r="V23" s="704" t="s">
        <v>14</v>
      </c>
      <c r="W23" s="705">
        <f>J23</f>
        <v>100</v>
      </c>
      <c r="X23" s="1353"/>
      <c r="Y23" s="3772"/>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72"/>
      <c r="Q24" s="1350">
        <f t="shared" ref="Q24:Q36" si="11">B24</f>
        <v>111</v>
      </c>
      <c r="R24" s="704" t="s">
        <v>14</v>
      </c>
      <c r="S24" s="705">
        <f>F24</f>
        <v>100</v>
      </c>
      <c r="T24" s="704" t="s">
        <v>14</v>
      </c>
      <c r="U24" s="705">
        <f>H24</f>
        <v>100</v>
      </c>
      <c r="V24" s="704" t="s">
        <v>14</v>
      </c>
      <c r="W24" s="705">
        <f>J24</f>
        <v>100</v>
      </c>
      <c r="X24" s="1353"/>
      <c r="Y24" s="3772"/>
      <c r="Z24" s="1354">
        <f>Q24</f>
        <v>111</v>
      </c>
      <c r="AA24" s="1351">
        <f t="shared" si="3"/>
        <v>1</v>
      </c>
      <c r="AB24" s="1351">
        <f t="shared" si="4"/>
        <v>1</v>
      </c>
      <c r="AC24" s="1351">
        <f t="shared" si="5"/>
        <v>1</v>
      </c>
    </row>
    <row r="25" spans="1:29" s="108" customFormat="1" ht="15.6"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72"/>
      <c r="Q25" s="1341">
        <f t="shared" si="11"/>
        <v>111</v>
      </c>
      <c r="R25" s="700" t="s">
        <v>14</v>
      </c>
      <c r="S25" s="701">
        <f>F25</f>
        <v>100</v>
      </c>
      <c r="T25" s="700" t="s">
        <v>14</v>
      </c>
      <c r="U25" s="701">
        <f>H25</f>
        <v>100</v>
      </c>
      <c r="V25" s="700" t="s">
        <v>14</v>
      </c>
      <c r="W25" s="701">
        <f>J25</f>
        <v>100</v>
      </c>
      <c r="X25" s="702"/>
      <c r="Y25" s="3772"/>
      <c r="Z25" s="52">
        <f>Q25</f>
        <v>111</v>
      </c>
      <c r="AA25" s="1351">
        <f>D25/F25</f>
        <v>1</v>
      </c>
      <c r="AB25" s="1351">
        <f>D25/H25</f>
        <v>1</v>
      </c>
      <c r="AC25" s="1351">
        <f>D25/J25</f>
        <v>1</v>
      </c>
    </row>
    <row r="26" spans="1:29" ht="30">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73"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74"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74"/>
      <c r="Q27" s="706" t="str">
        <f t="shared" si="11"/>
        <v>项目停车位配比</v>
      </c>
      <c r="R27" s="707" t="s">
        <v>14</v>
      </c>
      <c r="S27" s="708">
        <f t="shared" si="12"/>
        <v>100</v>
      </c>
      <c r="T27" s="707" t="s">
        <v>14</v>
      </c>
      <c r="U27" s="708">
        <f t="shared" si="13"/>
        <v>100</v>
      </c>
      <c r="V27" s="707" t="s">
        <v>14</v>
      </c>
      <c r="W27" s="708">
        <f t="shared" si="14"/>
        <v>100</v>
      </c>
      <c r="X27" s="709"/>
      <c r="Y27" s="3774"/>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74"/>
      <c r="Q28" s="1350" t="str">
        <f t="shared" si="11"/>
        <v>公共部分装修</v>
      </c>
      <c r="R28" s="704" t="s">
        <v>14</v>
      </c>
      <c r="S28" s="705">
        <f t="shared" si="12"/>
        <v>100</v>
      </c>
      <c r="T28" s="704" t="s">
        <v>14</v>
      </c>
      <c r="U28" s="705">
        <f t="shared" si="13"/>
        <v>100</v>
      </c>
      <c r="V28" s="704" t="s">
        <v>14</v>
      </c>
      <c r="W28" s="705">
        <f t="shared" si="14"/>
        <v>100</v>
      </c>
      <c r="X28" s="1353"/>
      <c r="Y28" s="3774"/>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74"/>
      <c r="Q29" s="1350" t="str">
        <f t="shared" si="11"/>
        <v>成新率</v>
      </c>
      <c r="R29" s="704" t="s">
        <v>14</v>
      </c>
      <c r="S29" s="705" t="e">
        <f t="shared" si="12"/>
        <v>#N/A</v>
      </c>
      <c r="T29" s="704" t="s">
        <v>14</v>
      </c>
      <c r="U29" s="705" t="e">
        <f t="shared" si="13"/>
        <v>#N/A</v>
      </c>
      <c r="V29" s="704" t="s">
        <v>14</v>
      </c>
      <c r="W29" s="705" t="e">
        <f t="shared" si="14"/>
        <v>#N/A</v>
      </c>
      <c r="X29" s="1353"/>
      <c r="Y29" s="3774"/>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774"/>
      <c r="Q30" s="1350" t="str">
        <f t="shared" si="11"/>
        <v>物业等级</v>
      </c>
      <c r="R30" s="704" t="s">
        <v>14</v>
      </c>
      <c r="S30" s="705">
        <f t="shared" si="12"/>
        <v>100</v>
      </c>
      <c r="T30" s="704" t="s">
        <v>14</v>
      </c>
      <c r="U30" s="705">
        <f t="shared" si="13"/>
        <v>100</v>
      </c>
      <c r="V30" s="704" t="s">
        <v>14</v>
      </c>
      <c r="W30" s="705">
        <f t="shared" si="14"/>
        <v>100</v>
      </c>
      <c r="X30" s="1353"/>
      <c r="Y30" s="3774"/>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74"/>
      <c r="Q31" s="1341" t="str">
        <f t="shared" si="11"/>
        <v>停车位面积</v>
      </c>
      <c r="R31" s="700" t="s">
        <v>14</v>
      </c>
      <c r="S31" s="701" t="e">
        <f t="shared" si="12"/>
        <v>#N/A</v>
      </c>
      <c r="T31" s="700" t="s">
        <v>14</v>
      </c>
      <c r="U31" s="701" t="e">
        <f t="shared" si="13"/>
        <v>#N/A</v>
      </c>
      <c r="V31" s="700" t="s">
        <v>14</v>
      </c>
      <c r="W31" s="701" t="e">
        <f t="shared" si="14"/>
        <v>#N/A</v>
      </c>
      <c r="X31" s="702"/>
      <c r="Y31" s="3774"/>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74" t="s">
        <v>1694</v>
      </c>
      <c r="Q32" s="1350" t="str">
        <f t="shared" si="11"/>
        <v>车位类型</v>
      </c>
      <c r="R32" s="704" t="s">
        <v>14</v>
      </c>
      <c r="S32" s="705">
        <f t="shared" si="12"/>
        <v>100</v>
      </c>
      <c r="T32" s="704" t="s">
        <v>14</v>
      </c>
      <c r="U32" s="705">
        <f t="shared" si="13"/>
        <v>100</v>
      </c>
      <c r="V32" s="704" t="s">
        <v>14</v>
      </c>
      <c r="W32" s="705">
        <f t="shared" si="14"/>
        <v>100</v>
      </c>
      <c r="X32" s="1353"/>
      <c r="Y32" s="3774"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74"/>
      <c r="Q33" s="1350" t="str">
        <f t="shared" si="11"/>
        <v>是否直接入户</v>
      </c>
      <c r="R33" s="704" t="s">
        <v>14</v>
      </c>
      <c r="S33" s="705">
        <f t="shared" si="12"/>
        <v>100</v>
      </c>
      <c r="T33" s="704" t="s">
        <v>14</v>
      </c>
      <c r="U33" s="705">
        <f t="shared" si="13"/>
        <v>100</v>
      </c>
      <c r="V33" s="704" t="s">
        <v>14</v>
      </c>
      <c r="W33" s="705">
        <f t="shared" si="14"/>
        <v>100</v>
      </c>
      <c r="X33" s="1353"/>
      <c r="Y33" s="3774"/>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74"/>
      <c r="Q34" s="1350">
        <f t="shared" si="11"/>
        <v>111</v>
      </c>
      <c r="R34" s="704" t="s">
        <v>14</v>
      </c>
      <c r="S34" s="705">
        <f t="shared" si="12"/>
        <v>100</v>
      </c>
      <c r="T34" s="704" t="s">
        <v>14</v>
      </c>
      <c r="U34" s="705">
        <f t="shared" si="13"/>
        <v>100</v>
      </c>
      <c r="V34" s="704" t="s">
        <v>14</v>
      </c>
      <c r="W34" s="705">
        <f t="shared" si="14"/>
        <v>100</v>
      </c>
      <c r="X34" s="1353"/>
      <c r="Y34" s="3774"/>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74"/>
      <c r="Q35" s="706">
        <f t="shared" si="11"/>
        <v>111</v>
      </c>
      <c r="R35" s="707" t="s">
        <v>14</v>
      </c>
      <c r="S35" s="708">
        <f t="shared" si="12"/>
        <v>100</v>
      </c>
      <c r="T35" s="707" t="s">
        <v>14</v>
      </c>
      <c r="U35" s="708">
        <f t="shared" si="13"/>
        <v>100</v>
      </c>
      <c r="V35" s="707" t="s">
        <v>14</v>
      </c>
      <c r="W35" s="708">
        <f t="shared" si="14"/>
        <v>100</v>
      </c>
      <c r="X35" s="709"/>
      <c r="Y35" s="3774"/>
      <c r="Z35" s="710">
        <f t="shared" si="15"/>
        <v>111</v>
      </c>
      <c r="AA35" s="1351">
        <f t="shared" si="3"/>
        <v>1</v>
      </c>
      <c r="AB35" s="1351">
        <f t="shared" si="4"/>
        <v>1</v>
      </c>
      <c r="AC35" s="1351">
        <f t="shared" si="5"/>
        <v>1</v>
      </c>
    </row>
    <row r="36" spans="1:29" ht="15.6"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74"/>
      <c r="Q36" s="1350">
        <f t="shared" si="11"/>
        <v>111</v>
      </c>
      <c r="R36" s="704" t="s">
        <v>14</v>
      </c>
      <c r="S36" s="705">
        <f t="shared" si="12"/>
        <v>100</v>
      </c>
      <c r="T36" s="704" t="s">
        <v>14</v>
      </c>
      <c r="U36" s="705">
        <f t="shared" si="13"/>
        <v>100</v>
      </c>
      <c r="V36" s="704" t="s">
        <v>14</v>
      </c>
      <c r="W36" s="705">
        <f t="shared" si="14"/>
        <v>100</v>
      </c>
      <c r="X36" s="1353"/>
      <c r="Y36" s="3774"/>
      <c r="Z36" s="1354">
        <f t="shared" si="15"/>
        <v>111</v>
      </c>
      <c r="AA36" s="1351">
        <f t="shared" si="3"/>
        <v>1</v>
      </c>
      <c r="AB36" s="1351">
        <f t="shared" si="4"/>
        <v>1</v>
      </c>
      <c r="AC36" s="1351">
        <f t="shared" si="5"/>
        <v>1</v>
      </c>
    </row>
    <row r="37" spans="1:29" ht="14.4">
      <c r="A37" s="430" t="s">
        <v>1842</v>
      </c>
      <c r="B37" s="1969" t="s">
        <v>3344</v>
      </c>
      <c r="C37" s="1153" t="s">
        <v>0</v>
      </c>
      <c r="D37" s="1154"/>
      <c r="E37" s="1155"/>
      <c r="F37" s="1156"/>
      <c r="G37" s="1157"/>
      <c r="H37" s="1158"/>
      <c r="I37" s="1155"/>
      <c r="J37" s="1158"/>
      <c r="K37" s="567"/>
      <c r="L37" s="2717"/>
      <c r="M37" s="2718"/>
      <c r="N37" s="2709"/>
      <c r="O37" s="2718"/>
      <c r="P37" s="3756" t="str">
        <f>A37</f>
        <v>成交单价</v>
      </c>
      <c r="Q37" s="3756"/>
      <c r="R37" s="3803">
        <f>E37</f>
        <v>0</v>
      </c>
      <c r="S37" s="3803"/>
      <c r="T37" s="3803">
        <f>G37</f>
        <v>0</v>
      </c>
      <c r="U37" s="3803"/>
      <c r="V37" s="3803">
        <f>I37</f>
        <v>0</v>
      </c>
      <c r="W37" s="3803"/>
      <c r="X37" s="689"/>
      <c r="Y37" s="711"/>
      <c r="Z37" s="689"/>
      <c r="AA37" s="689"/>
      <c r="AB37" s="689"/>
      <c r="AC37" s="689"/>
    </row>
    <row r="38" spans="1:29" ht="15" thickBot="1">
      <c r="A38" s="437" t="s">
        <v>1843</v>
      </c>
      <c r="B38" s="438" t="str">
        <f>B37</f>
        <v>元/平方米</v>
      </c>
      <c r="C38" s="1159" t="e">
        <f>R39</f>
        <v>#DIV/0!</v>
      </c>
      <c r="D38" s="2313" t="s">
        <v>2135</v>
      </c>
      <c r="E38" s="1160" t="e">
        <f>R38</f>
        <v>#DIV/0!</v>
      </c>
      <c r="F38" s="2314"/>
      <c r="G38" s="1159" t="e">
        <f>T38</f>
        <v>#DIV/0!</v>
      </c>
      <c r="H38" s="2314"/>
      <c r="I38" s="1160" t="e">
        <f>V38</f>
        <v>#DIV/0!</v>
      </c>
      <c r="J38" s="2314"/>
      <c r="K38" s="2316">
        <f>F38+H38+J38</f>
        <v>0</v>
      </c>
      <c r="L38" s="2717"/>
      <c r="M38" s="2718"/>
      <c r="N38" s="2718"/>
      <c r="O38" s="2718"/>
      <c r="P38" s="3756" t="str">
        <f>A38</f>
        <v>比较价值（元/平方米）</v>
      </c>
      <c r="Q38" s="3756"/>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689"/>
      <c r="Y38" s="689"/>
      <c r="Z38" s="689"/>
      <c r="AA38" s="689"/>
      <c r="AB38" s="689"/>
      <c r="AC38" s="689"/>
    </row>
    <row r="39" spans="1:29" ht="15" thickBot="1">
      <c r="A39" s="441" t="s">
        <v>1844</v>
      </c>
      <c r="B39" s="442"/>
      <c r="C39" s="1162" t="e">
        <f>R39</f>
        <v>#DIV/0!</v>
      </c>
      <c r="D39" s="1162"/>
      <c r="E39" s="1162"/>
      <c r="F39" s="1162"/>
      <c r="G39" s="1162"/>
      <c r="H39" s="1162"/>
      <c r="I39" s="1162"/>
      <c r="J39" s="1162"/>
      <c r="K39" s="568"/>
      <c r="L39" s="2717"/>
      <c r="M39" s="2718"/>
      <c r="N39" s="2718"/>
      <c r="O39" s="2718"/>
      <c r="P39" s="3776" t="str">
        <f>A39</f>
        <v>估价对象XX用房的比较价值（楼面单价，元/平方米）</v>
      </c>
      <c r="Q39" s="3777"/>
      <c r="R39" s="3825" t="e">
        <f>IF(F1="售价",ROUND(IF(D38="简单平均",AVERAGE(R38:W38),R38*F38+T38*H38+V38*J38),0),ROUND(IF(D38="简单平均",AVERAGE(R38:V38),R38*F38+T38*H38+V38*J38),1))</f>
        <v>#DIV/0!</v>
      </c>
      <c r="S39" s="3825"/>
      <c r="T39" s="3825"/>
      <c r="U39" s="3825"/>
      <c r="V39" s="3825"/>
      <c r="W39" s="3825"/>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2.2" thickBot="1">
      <c r="A47" s="1165" t="s">
        <v>1848</v>
      </c>
      <c r="B47" s="926"/>
      <c r="C47" s="939"/>
      <c r="D47" s="939"/>
      <c r="E47" s="939"/>
      <c r="F47" s="1166"/>
      <c r="G47" s="1166"/>
      <c r="H47" s="939"/>
      <c r="I47" s="939"/>
      <c r="J47" s="939"/>
      <c r="K47" s="940"/>
      <c r="L47" s="941"/>
      <c r="M47" s="939"/>
      <c r="N47" s="2762"/>
      <c r="O47" s="2762"/>
      <c r="P47" s="2751"/>
      <c r="Q47" s="2732"/>
      <c r="R47" s="2718"/>
      <c r="S47" s="2718"/>
      <c r="T47" s="2718"/>
      <c r="U47" s="2718"/>
      <c r="V47" s="2718"/>
      <c r="W47" s="2718"/>
      <c r="X47" s="2718"/>
      <c r="Y47" s="2718"/>
      <c r="Z47" s="2718"/>
      <c r="AA47" s="2718"/>
      <c r="AB47" s="2718"/>
      <c r="AC47" s="2718"/>
    </row>
    <row r="48" spans="1:29" s="457" customFormat="1" ht="14.4">
      <c r="A48" s="454" t="s">
        <v>1849</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2"/>
      <c r="Q48" s="2734"/>
      <c r="R48" s="2734"/>
      <c r="S48" s="2734"/>
      <c r="T48" s="2734"/>
      <c r="U48" s="2734"/>
      <c r="V48" s="2734"/>
      <c r="W48" s="2734"/>
      <c r="X48" s="2734"/>
      <c r="Y48" s="2734"/>
      <c r="Z48" s="2734"/>
      <c r="AA48" s="2734"/>
      <c r="AB48" s="2734"/>
      <c r="AC48" s="2734"/>
    </row>
    <row r="49" spans="1:29" s="108" customFormat="1">
      <c r="A49" s="458"/>
      <c r="B49" s="459"/>
      <c r="C49" s="1176">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4.4">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4.4"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ht="14.4">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4.4"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9.4"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4.4"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4.4"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4.4"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4.4"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4.4"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4.4"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4.4"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 thickTop="1">
      <c r="A67" s="483"/>
      <c r="B67" s="495" t="s">
        <v>1811</v>
      </c>
      <c r="C67" s="607" t="s">
        <v>1797</v>
      </c>
      <c r="D67" s="607" t="s">
        <v>1798</v>
      </c>
      <c r="E67" s="607" t="s">
        <v>1799</v>
      </c>
      <c r="F67" s="607" t="s">
        <v>1800</v>
      </c>
      <c r="G67" s="607" t="s">
        <v>1801</v>
      </c>
      <c r="H67" s="488"/>
      <c r="I67" s="488"/>
      <c r="J67" s="488"/>
      <c r="K67" s="488"/>
      <c r="L67" s="488"/>
      <c r="M67" s="1128"/>
      <c r="N67" s="2747"/>
      <c r="O67" s="2747"/>
      <c r="P67" s="2755"/>
      <c r="Q67" s="2732"/>
      <c r="R67" s="2718"/>
      <c r="S67" s="2718"/>
      <c r="T67" s="2718"/>
      <c r="U67" s="2718"/>
      <c r="V67" s="2718"/>
      <c r="W67" s="2718"/>
      <c r="X67" s="2718"/>
      <c r="Y67" s="2718"/>
      <c r="Z67" s="2718"/>
      <c r="AA67" s="2718"/>
      <c r="AB67" s="2718"/>
      <c r="AC67" s="2718"/>
    </row>
    <row r="68" spans="1:29" ht="14.4"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4.4"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4.4"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4.4"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4.4"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4.4"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4.4"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9.4"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 thickTop="1">
      <c r="A81" s="483"/>
      <c r="B81" s="487" t="s">
        <v>1852</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4.4"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4.4"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4.4"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4.4"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4.4"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4.4"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4.4"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4.4"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4.4"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1829</v>
      </c>
      <c r="B1" s="1221" t="s">
        <v>3324</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4.4">
      <c r="A4" s="355" t="s">
        <v>1767</v>
      </c>
      <c r="B4" s="356"/>
      <c r="C4" s="3757" t="s">
        <v>1768</v>
      </c>
      <c r="D4" s="3758"/>
      <c r="E4" s="3759" t="s">
        <v>1769</v>
      </c>
      <c r="F4" s="3760"/>
      <c r="G4" s="3757" t="s">
        <v>1770</v>
      </c>
      <c r="H4" s="3758"/>
      <c r="I4" s="3757" t="s">
        <v>1771</v>
      </c>
      <c r="J4" s="3758"/>
      <c r="K4" s="559" t="s">
        <v>1772</v>
      </c>
      <c r="L4" s="2708"/>
      <c r="M4" s="2709"/>
      <c r="N4" s="2709"/>
      <c r="O4" s="2709"/>
      <c r="P4" s="3761" t="s">
        <v>1773</v>
      </c>
      <c r="Q4" s="3762"/>
      <c r="R4" s="3744" t="s">
        <v>1769</v>
      </c>
      <c r="S4" s="3745"/>
      <c r="T4" s="3744" t="s">
        <v>1770</v>
      </c>
      <c r="U4" s="3745"/>
      <c r="V4" s="3769" t="s">
        <v>1771</v>
      </c>
      <c r="W4" s="3769"/>
      <c r="X4" s="1353"/>
      <c r="Y4" s="3744" t="s">
        <v>1773</v>
      </c>
      <c r="Z4" s="3745"/>
      <c r="AA4" s="3739" t="s">
        <v>1769</v>
      </c>
      <c r="AB4" s="3740" t="s">
        <v>1770</v>
      </c>
      <c r="AC4" s="3739" t="s">
        <v>1771</v>
      </c>
    </row>
    <row r="5" spans="1:29">
      <c r="A5" s="358"/>
      <c r="B5" s="359"/>
      <c r="C5" s="3750" t="s">
        <v>1671</v>
      </c>
      <c r="D5" s="3751"/>
      <c r="E5" s="3748" t="s">
        <v>1672</v>
      </c>
      <c r="F5" s="3749"/>
      <c r="G5" s="3750" t="s">
        <v>1673</v>
      </c>
      <c r="H5" s="3751"/>
      <c r="I5" s="3750" t="s">
        <v>1674</v>
      </c>
      <c r="J5" s="3751"/>
      <c r="K5" s="559"/>
      <c r="L5" s="2708"/>
      <c r="M5" s="2709"/>
      <c r="N5" s="2709"/>
      <c r="O5" s="2709"/>
      <c r="P5" s="3763"/>
      <c r="Q5" s="3764"/>
      <c r="R5" s="3746"/>
      <c r="S5" s="3747"/>
      <c r="T5" s="3746"/>
      <c r="U5" s="3747"/>
      <c r="V5" s="3769"/>
      <c r="W5" s="3769"/>
      <c r="X5" s="1353"/>
      <c r="Y5" s="3746"/>
      <c r="Z5" s="3747"/>
      <c r="AA5" s="3740"/>
      <c r="AB5" s="3740"/>
      <c r="AC5" s="3740"/>
    </row>
    <row r="6" spans="1:29" ht="15" thickBot="1">
      <c r="A6" s="360"/>
      <c r="B6" s="361"/>
      <c r="C6" s="3752" t="s">
        <v>1675</v>
      </c>
      <c r="D6" s="3753"/>
      <c r="E6" s="3754" t="s">
        <v>1675</v>
      </c>
      <c r="F6" s="3755"/>
      <c r="G6" s="3752" t="s">
        <v>1675</v>
      </c>
      <c r="H6" s="3753"/>
      <c r="I6" s="3752" t="s">
        <v>1675</v>
      </c>
      <c r="J6" s="3753"/>
      <c r="K6" s="559" t="s">
        <v>1676</v>
      </c>
      <c r="L6" s="2708"/>
      <c r="M6" s="2709"/>
      <c r="N6" s="2709"/>
      <c r="O6" s="2709"/>
      <c r="P6" s="3765"/>
      <c r="Q6" s="3766"/>
      <c r="R6" s="3746"/>
      <c r="S6" s="3747"/>
      <c r="T6" s="3767"/>
      <c r="U6" s="3768"/>
      <c r="V6" s="3769"/>
      <c r="W6" s="3769"/>
      <c r="X6" s="1353"/>
      <c r="Y6" s="3767"/>
      <c r="Z6" s="3768"/>
      <c r="AA6" s="3741"/>
      <c r="AB6" s="3741"/>
      <c r="AC6" s="3741"/>
    </row>
    <row r="7" spans="1:29" s="108" customFormat="1" ht="15" thickBot="1">
      <c r="A7" s="362" t="s">
        <v>1677</v>
      </c>
      <c r="B7" s="363"/>
      <c r="C7" s="364">
        <f>'数据-取费表'!B2</f>
        <v>45146</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42" t="s">
        <v>1678</v>
      </c>
      <c r="Q7" s="3770"/>
      <c r="R7" s="700" t="s">
        <v>14</v>
      </c>
      <c r="S7" s="701">
        <f t="shared" ref="S7:S14" si="0">F7</f>
        <v>0</v>
      </c>
      <c r="T7" s="700" t="s">
        <v>14</v>
      </c>
      <c r="U7" s="701">
        <f t="shared" ref="U7:U14" si="1">H7</f>
        <v>0</v>
      </c>
      <c r="V7" s="700" t="s">
        <v>14</v>
      </c>
      <c r="W7" s="701">
        <f t="shared" ref="W7:W14" si="2">J7</f>
        <v>0</v>
      </c>
      <c r="X7" s="702"/>
      <c r="Y7" s="3742" t="s">
        <v>1678</v>
      </c>
      <c r="Z7" s="3743"/>
      <c r="AA7" s="703" t="e">
        <f>D7/F7</f>
        <v>#DIV/0!</v>
      </c>
      <c r="AB7" s="703" t="e">
        <f>D7/H7</f>
        <v>#DIV/0!</v>
      </c>
      <c r="AC7" s="703" t="e">
        <f>D7/J7</f>
        <v>#DIV/0!</v>
      </c>
    </row>
    <row r="8" spans="1:29" s="108" customFormat="1" ht="1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42" t="s">
        <v>1681</v>
      </c>
      <c r="Q8" s="3743"/>
      <c r="R8" s="700" t="s">
        <v>14</v>
      </c>
      <c r="S8" s="701">
        <f t="shared" si="0"/>
        <v>100</v>
      </c>
      <c r="T8" s="700" t="s">
        <v>14</v>
      </c>
      <c r="U8" s="701">
        <f t="shared" si="1"/>
        <v>100</v>
      </c>
      <c r="V8" s="700" t="s">
        <v>14</v>
      </c>
      <c r="W8" s="701">
        <f t="shared" si="2"/>
        <v>100</v>
      </c>
      <c r="X8" s="702"/>
      <c r="Y8" s="3742" t="s">
        <v>1681</v>
      </c>
      <c r="Z8" s="3743"/>
      <c r="AA8" s="703">
        <f t="shared" ref="AA8:AA34" si="3">D8/F8</f>
        <v>1</v>
      </c>
      <c r="AB8" s="703">
        <f t="shared" ref="AB8:AB34" si="4">D8/H8</f>
        <v>1</v>
      </c>
      <c r="AC8" s="703">
        <f t="shared" ref="AC8:AC34" si="5">D8/J8</f>
        <v>1</v>
      </c>
    </row>
    <row r="9" spans="1:29" s="108" customFormat="1" ht="14.4">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56" t="s">
        <v>1684</v>
      </c>
      <c r="Q9" s="1341" t="str">
        <f t="shared" ref="Q9:Q14" si="6">B9</f>
        <v>用途</v>
      </c>
      <c r="R9" s="700" t="s">
        <v>14</v>
      </c>
      <c r="S9" s="701">
        <f t="shared" si="0"/>
        <v>100</v>
      </c>
      <c r="T9" s="700" t="s">
        <v>14</v>
      </c>
      <c r="U9" s="701">
        <f t="shared" si="1"/>
        <v>100</v>
      </c>
      <c r="V9" s="700" t="s">
        <v>14</v>
      </c>
      <c r="W9" s="701">
        <f t="shared" si="2"/>
        <v>100</v>
      </c>
      <c r="X9" s="702"/>
      <c r="Y9" s="3688" t="s">
        <v>1685</v>
      </c>
      <c r="Z9" s="52" t="str">
        <f t="shared" ref="Z9:Z14" si="7">Q9</f>
        <v>用途</v>
      </c>
      <c r="AA9" s="703">
        <f t="shared" si="3"/>
        <v>1</v>
      </c>
      <c r="AB9" s="703">
        <f t="shared" si="4"/>
        <v>1</v>
      </c>
      <c r="AC9" s="703">
        <f t="shared" si="5"/>
        <v>1</v>
      </c>
    </row>
    <row r="10" spans="1:29" s="378" customFormat="1" ht="28.8">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56"/>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56"/>
      <c r="Q11" s="1341">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56"/>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6"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56"/>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71" t="s">
        <v>1689</v>
      </c>
      <c r="Q14" s="1350" t="str">
        <f t="shared" si="6"/>
        <v>交通便捷度</v>
      </c>
      <c r="R14" s="704" t="s">
        <v>14</v>
      </c>
      <c r="S14" s="705">
        <f t="shared" si="0"/>
        <v>100</v>
      </c>
      <c r="T14" s="704" t="s">
        <v>14</v>
      </c>
      <c r="U14" s="705">
        <f t="shared" si="1"/>
        <v>100</v>
      </c>
      <c r="V14" s="704" t="s">
        <v>14</v>
      </c>
      <c r="W14" s="705">
        <f t="shared" si="2"/>
        <v>100</v>
      </c>
      <c r="X14" s="1353"/>
      <c r="Y14" s="3771"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72"/>
      <c r="Q15" s="1350"/>
      <c r="R15" s="704"/>
      <c r="S15" s="705"/>
      <c r="T15" s="704"/>
      <c r="U15" s="705"/>
      <c r="V15" s="704"/>
      <c r="W15" s="705"/>
      <c r="X15" s="1353"/>
      <c r="Y15" s="3772"/>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72"/>
      <c r="Q16" s="1350" t="str">
        <f>B16</f>
        <v>公共配套设施</v>
      </c>
      <c r="R16" s="704" t="s">
        <v>14</v>
      </c>
      <c r="S16" s="705">
        <f>F16</f>
        <v>100</v>
      </c>
      <c r="T16" s="704" t="s">
        <v>14</v>
      </c>
      <c r="U16" s="705">
        <f>H16</f>
        <v>100</v>
      </c>
      <c r="V16" s="704" t="s">
        <v>14</v>
      </c>
      <c r="W16" s="705">
        <f>J16</f>
        <v>100</v>
      </c>
      <c r="X16" s="1353"/>
      <c r="Y16" s="377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72"/>
      <c r="Q17" s="1350"/>
      <c r="R17" s="704"/>
      <c r="S17" s="705"/>
      <c r="T17" s="704"/>
      <c r="U17" s="705"/>
      <c r="V17" s="704"/>
      <c r="W17" s="705"/>
      <c r="X17" s="1353"/>
      <c r="Y17" s="3772"/>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72"/>
      <c r="Q18" s="1350" t="str">
        <f>B18</f>
        <v>基础设施水平</v>
      </c>
      <c r="R18" s="704" t="s">
        <v>14</v>
      </c>
      <c r="S18" s="705">
        <f>F18</f>
        <v>100</v>
      </c>
      <c r="T18" s="704" t="s">
        <v>14</v>
      </c>
      <c r="U18" s="705">
        <f>H18</f>
        <v>100</v>
      </c>
      <c r="V18" s="704" t="s">
        <v>14</v>
      </c>
      <c r="W18" s="705">
        <f>J18</f>
        <v>100</v>
      </c>
      <c r="X18" s="1353"/>
      <c r="Y18" s="3772"/>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5"/>
      <c r="M19" s="2709"/>
      <c r="N19" s="2709"/>
      <c r="O19" s="2767"/>
      <c r="P19" s="3772"/>
      <c r="Q19" s="1350"/>
      <c r="R19" s="704"/>
      <c r="S19" s="705"/>
      <c r="T19" s="704"/>
      <c r="U19" s="705"/>
      <c r="V19" s="704"/>
      <c r="W19" s="705"/>
      <c r="X19" s="1353"/>
      <c r="Y19" s="3772"/>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72"/>
      <c r="Q20" s="1350" t="str">
        <f>B20</f>
        <v>自然及人文环境</v>
      </c>
      <c r="R20" s="704" t="s">
        <v>14</v>
      </c>
      <c r="S20" s="705">
        <f>F20</f>
        <v>100</v>
      </c>
      <c r="T20" s="704" t="s">
        <v>14</v>
      </c>
      <c r="U20" s="705">
        <f>H20</f>
        <v>100</v>
      </c>
      <c r="V20" s="704" t="s">
        <v>14</v>
      </c>
      <c r="W20" s="705">
        <f>J20</f>
        <v>100</v>
      </c>
      <c r="X20" s="1353"/>
      <c r="Y20" s="377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72"/>
      <c r="Q21" s="1350"/>
      <c r="R21" s="704"/>
      <c r="S21" s="705"/>
      <c r="T21" s="704"/>
      <c r="U21" s="705"/>
      <c r="V21" s="704"/>
      <c r="W21" s="705"/>
      <c r="X21" s="1353"/>
      <c r="Y21" s="3772"/>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72"/>
      <c r="Q22" s="1350" t="str">
        <f>B22</f>
        <v>楼层</v>
      </c>
      <c r="R22" s="704" t="s">
        <v>14</v>
      </c>
      <c r="S22" s="705">
        <f>F22</f>
        <v>100</v>
      </c>
      <c r="T22" s="704" t="s">
        <v>14</v>
      </c>
      <c r="U22" s="705">
        <f>H22</f>
        <v>100</v>
      </c>
      <c r="V22" s="704" t="s">
        <v>14</v>
      </c>
      <c r="W22" s="705">
        <f>J22</f>
        <v>100</v>
      </c>
      <c r="X22" s="1353"/>
      <c r="Y22" s="377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72"/>
      <c r="Q23" s="1350">
        <f>B23</f>
        <v>111</v>
      </c>
      <c r="R23" s="704" t="s">
        <v>14</v>
      </c>
      <c r="S23" s="705">
        <f>F23</f>
        <v>100</v>
      </c>
      <c r="T23" s="704" t="s">
        <v>14</v>
      </c>
      <c r="U23" s="705">
        <f>H23</f>
        <v>100</v>
      </c>
      <c r="V23" s="704" t="s">
        <v>14</v>
      </c>
      <c r="W23" s="705">
        <f>J23</f>
        <v>100</v>
      </c>
      <c r="X23" s="1353"/>
      <c r="Y23" s="377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72"/>
      <c r="Q24" s="1350">
        <f t="shared" ref="Q24:Q34" si="11">B24</f>
        <v>111</v>
      </c>
      <c r="R24" s="704" t="s">
        <v>14</v>
      </c>
      <c r="S24" s="705">
        <f>F24</f>
        <v>100</v>
      </c>
      <c r="T24" s="704" t="s">
        <v>14</v>
      </c>
      <c r="U24" s="705">
        <f>H24</f>
        <v>100</v>
      </c>
      <c r="V24" s="704" t="s">
        <v>14</v>
      </c>
      <c r="W24" s="705">
        <f>J24</f>
        <v>100</v>
      </c>
      <c r="X24" s="1353"/>
      <c r="Y24" s="3772"/>
      <c r="Z24" s="1354">
        <f>Q24</f>
        <v>111</v>
      </c>
      <c r="AA24" s="1351">
        <f t="shared" si="3"/>
        <v>1</v>
      </c>
      <c r="AB24" s="1351">
        <f t="shared" si="4"/>
        <v>1</v>
      </c>
      <c r="AC24" s="1351">
        <f t="shared" si="5"/>
        <v>1</v>
      </c>
    </row>
    <row r="25" spans="1:29" s="108" customFormat="1" ht="15.6"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0"/>
      <c r="M25" s="2711"/>
      <c r="N25" s="2711"/>
      <c r="O25" s="2765"/>
      <c r="P25" s="3772"/>
      <c r="Q25" s="1341">
        <f t="shared" si="11"/>
        <v>111</v>
      </c>
      <c r="R25" s="700" t="s">
        <v>14</v>
      </c>
      <c r="S25" s="701">
        <f>F25</f>
        <v>100</v>
      </c>
      <c r="T25" s="700" t="s">
        <v>14</v>
      </c>
      <c r="U25" s="701">
        <f>H25</f>
        <v>100</v>
      </c>
      <c r="V25" s="700" t="s">
        <v>14</v>
      </c>
      <c r="W25" s="701">
        <f>J25</f>
        <v>100</v>
      </c>
      <c r="X25" s="702"/>
      <c r="Y25" s="3772"/>
      <c r="Z25" s="52">
        <f>Q25</f>
        <v>111</v>
      </c>
      <c r="AA25" s="1351">
        <f>D25/F25</f>
        <v>1</v>
      </c>
      <c r="AB25" s="1351">
        <f>D25/H25</f>
        <v>1</v>
      </c>
      <c r="AC25" s="1351">
        <f>D25/J25</f>
        <v>1</v>
      </c>
    </row>
    <row r="26" spans="1:29" ht="30">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5"/>
      <c r="M26" s="2709"/>
      <c r="N26" s="2709"/>
      <c r="O26" s="2767"/>
      <c r="P26" s="3773"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74"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74"/>
      <c r="Q27" s="706" t="str">
        <f t="shared" si="11"/>
        <v>成新率</v>
      </c>
      <c r="R27" s="707" t="s">
        <v>14</v>
      </c>
      <c r="S27" s="708" t="e">
        <f t="shared" si="12"/>
        <v>#N/A</v>
      </c>
      <c r="T27" s="707" t="s">
        <v>14</v>
      </c>
      <c r="U27" s="708" t="e">
        <f t="shared" si="13"/>
        <v>#N/A</v>
      </c>
      <c r="V27" s="707" t="s">
        <v>14</v>
      </c>
      <c r="W27" s="708" t="e">
        <f t="shared" si="14"/>
        <v>#N/A</v>
      </c>
      <c r="X27" s="709"/>
      <c r="Y27" s="3774"/>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74"/>
      <c r="Q28" s="1350" t="str">
        <f t="shared" si="11"/>
        <v>物业等级</v>
      </c>
      <c r="R28" s="704" t="s">
        <v>14</v>
      </c>
      <c r="S28" s="705">
        <f t="shared" si="12"/>
        <v>100</v>
      </c>
      <c r="T28" s="704" t="s">
        <v>14</v>
      </c>
      <c r="U28" s="705">
        <f t="shared" si="13"/>
        <v>100</v>
      </c>
      <c r="V28" s="704" t="s">
        <v>14</v>
      </c>
      <c r="W28" s="705">
        <f t="shared" si="14"/>
        <v>100</v>
      </c>
      <c r="X28" s="1353"/>
      <c r="Y28" s="3774"/>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774"/>
      <c r="Q29" s="1350" t="str">
        <f t="shared" si="11"/>
        <v>有无电梯</v>
      </c>
      <c r="R29" s="704" t="s">
        <v>14</v>
      </c>
      <c r="S29" s="705">
        <f t="shared" si="12"/>
        <v>100</v>
      </c>
      <c r="T29" s="704" t="s">
        <v>14</v>
      </c>
      <c r="U29" s="705">
        <f t="shared" si="13"/>
        <v>100</v>
      </c>
      <c r="V29" s="704" t="s">
        <v>14</v>
      </c>
      <c r="W29" s="705">
        <f t="shared" si="14"/>
        <v>100</v>
      </c>
      <c r="X29" s="1353"/>
      <c r="Y29" s="3774"/>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74"/>
      <c r="Q30" s="1350" t="str">
        <f t="shared" si="11"/>
        <v>建筑面积</v>
      </c>
      <c r="R30" s="704" t="s">
        <v>14</v>
      </c>
      <c r="S30" s="705" t="e">
        <f t="shared" si="12"/>
        <v>#N/A</v>
      </c>
      <c r="T30" s="704" t="s">
        <v>14</v>
      </c>
      <c r="U30" s="705" t="e">
        <f t="shared" si="13"/>
        <v>#N/A</v>
      </c>
      <c r="V30" s="704" t="s">
        <v>14</v>
      </c>
      <c r="W30" s="705" t="e">
        <f t="shared" si="14"/>
        <v>#N/A</v>
      </c>
      <c r="X30" s="1353"/>
      <c r="Y30" s="3774"/>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74"/>
      <c r="Q31" s="1341" t="str">
        <f t="shared" si="11"/>
        <v>是否封闭</v>
      </c>
      <c r="R31" s="700" t="s">
        <v>14</v>
      </c>
      <c r="S31" s="701">
        <f t="shared" si="12"/>
        <v>100</v>
      </c>
      <c r="T31" s="700" t="s">
        <v>14</v>
      </c>
      <c r="U31" s="701">
        <f t="shared" si="13"/>
        <v>100</v>
      </c>
      <c r="V31" s="700" t="s">
        <v>14</v>
      </c>
      <c r="W31" s="701">
        <f t="shared" si="14"/>
        <v>100</v>
      </c>
      <c r="X31" s="702"/>
      <c r="Y31" s="3774"/>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74" t="s">
        <v>1694</v>
      </c>
      <c r="Q32" s="1350">
        <f t="shared" si="11"/>
        <v>111</v>
      </c>
      <c r="R32" s="704" t="s">
        <v>14</v>
      </c>
      <c r="S32" s="705">
        <f t="shared" si="12"/>
        <v>100</v>
      </c>
      <c r="T32" s="704" t="s">
        <v>14</v>
      </c>
      <c r="U32" s="705">
        <f t="shared" si="13"/>
        <v>100</v>
      </c>
      <c r="V32" s="704" t="s">
        <v>14</v>
      </c>
      <c r="W32" s="705">
        <f t="shared" si="14"/>
        <v>100</v>
      </c>
      <c r="X32" s="1353"/>
      <c r="Y32" s="3774"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74"/>
      <c r="Q33" s="1350">
        <f t="shared" si="11"/>
        <v>111</v>
      </c>
      <c r="R33" s="704" t="s">
        <v>14</v>
      </c>
      <c r="S33" s="705">
        <f t="shared" si="12"/>
        <v>100</v>
      </c>
      <c r="T33" s="704" t="s">
        <v>14</v>
      </c>
      <c r="U33" s="705">
        <f t="shared" si="13"/>
        <v>100</v>
      </c>
      <c r="V33" s="704" t="s">
        <v>14</v>
      </c>
      <c r="W33" s="705">
        <f t="shared" si="14"/>
        <v>100</v>
      </c>
      <c r="X33" s="1353"/>
      <c r="Y33" s="3774"/>
      <c r="Z33" s="1354">
        <f t="shared" si="15"/>
        <v>111</v>
      </c>
      <c r="AA33" s="1351">
        <f t="shared" si="3"/>
        <v>1</v>
      </c>
      <c r="AB33" s="1351">
        <f t="shared" si="4"/>
        <v>1</v>
      </c>
      <c r="AC33" s="1351">
        <f t="shared" si="5"/>
        <v>1</v>
      </c>
    </row>
    <row r="34" spans="1:30" ht="15.6"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74"/>
      <c r="Q34" s="1350">
        <f t="shared" si="11"/>
        <v>111</v>
      </c>
      <c r="R34" s="704" t="s">
        <v>14</v>
      </c>
      <c r="S34" s="705">
        <f t="shared" si="12"/>
        <v>100</v>
      </c>
      <c r="T34" s="704" t="s">
        <v>14</v>
      </c>
      <c r="U34" s="705">
        <f t="shared" si="13"/>
        <v>100</v>
      </c>
      <c r="V34" s="704" t="s">
        <v>14</v>
      </c>
      <c r="W34" s="705">
        <f t="shared" si="14"/>
        <v>100</v>
      </c>
      <c r="X34" s="1353"/>
      <c r="Y34" s="3774"/>
      <c r="Z34" s="1354">
        <f t="shared" si="15"/>
        <v>111</v>
      </c>
      <c r="AA34" s="1351">
        <f t="shared" si="3"/>
        <v>1</v>
      </c>
      <c r="AB34" s="1351">
        <f t="shared" si="4"/>
        <v>1</v>
      </c>
      <c r="AC34" s="1351">
        <f t="shared" si="5"/>
        <v>1</v>
      </c>
    </row>
    <row r="35" spans="1:30" ht="14.4">
      <c r="A35" s="430" t="s">
        <v>1706</v>
      </c>
      <c r="B35" s="431"/>
      <c r="C35" s="1153" t="s">
        <v>0</v>
      </c>
      <c r="D35" s="1154"/>
      <c r="E35" s="1155"/>
      <c r="F35" s="1156"/>
      <c r="G35" s="1157"/>
      <c r="H35" s="1158"/>
      <c r="I35" s="1155"/>
      <c r="J35" s="1158"/>
      <c r="K35" s="713"/>
      <c r="L35" s="2717"/>
      <c r="M35" s="2718"/>
      <c r="N35" s="2709"/>
      <c r="O35" s="2718"/>
      <c r="P35" s="3756" t="str">
        <f>A35</f>
        <v>成交单价（元/平方米）</v>
      </c>
      <c r="Q35" s="3756"/>
      <c r="R35" s="3803">
        <f>E35</f>
        <v>0</v>
      </c>
      <c r="S35" s="3803"/>
      <c r="T35" s="3803">
        <f>G35</f>
        <v>0</v>
      </c>
      <c r="U35" s="3803"/>
      <c r="V35" s="3803">
        <f>I35</f>
        <v>0</v>
      </c>
      <c r="W35" s="3803"/>
      <c r="X35" s="689"/>
      <c r="Y35" s="711"/>
      <c r="Z35" s="689"/>
      <c r="AA35" s="689"/>
      <c r="AB35" s="689"/>
      <c r="AC35" s="689"/>
    </row>
    <row r="36" spans="1:30" ht="15" thickBot="1">
      <c r="A36" s="437" t="s">
        <v>1791</v>
      </c>
      <c r="B36" s="438"/>
      <c r="C36" s="1159" t="e">
        <f>R37</f>
        <v>#DIV/0!</v>
      </c>
      <c r="D36" s="2313" t="s">
        <v>2135</v>
      </c>
      <c r="E36" s="1160" t="e">
        <f>R36</f>
        <v>#DIV/0!</v>
      </c>
      <c r="F36" s="2314"/>
      <c r="G36" s="1159" t="e">
        <f>T36</f>
        <v>#DIV/0!</v>
      </c>
      <c r="H36" s="2314"/>
      <c r="I36" s="1160" t="e">
        <f>V36</f>
        <v>#DIV/0!</v>
      </c>
      <c r="J36" s="2314"/>
      <c r="K36" s="2316">
        <f>F36+H36+J36</f>
        <v>0</v>
      </c>
      <c r="L36" s="2717"/>
      <c r="M36" s="2718"/>
      <c r="N36" s="2709"/>
      <c r="O36" s="2718"/>
      <c r="P36" s="3756" t="str">
        <f>A36</f>
        <v>比较价值（元/平方米）</v>
      </c>
      <c r="Q36" s="3756"/>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689"/>
      <c r="Y36" s="689"/>
      <c r="Z36" s="689"/>
      <c r="AA36" s="689"/>
      <c r="AB36" s="689"/>
      <c r="AC36" s="689"/>
    </row>
    <row r="37" spans="1:30" ht="15" thickBot="1">
      <c r="A37" s="441" t="s">
        <v>1792</v>
      </c>
      <c r="B37" s="442"/>
      <c r="C37" s="1162" t="e">
        <f>R37</f>
        <v>#DIV/0!</v>
      </c>
      <c r="D37" s="1162"/>
      <c r="E37" s="1162"/>
      <c r="F37" s="1162"/>
      <c r="G37" s="1162"/>
      <c r="H37" s="1162"/>
      <c r="I37" s="1162"/>
      <c r="J37" s="1162"/>
      <c r="K37" s="714"/>
      <c r="L37" s="2717"/>
      <c r="M37" s="2718"/>
      <c r="N37" s="2718"/>
      <c r="O37" s="2718"/>
      <c r="P37" s="3776" t="str">
        <f>A37</f>
        <v>估价对象XX用房的比较价值（楼面单价，元/平方米）</v>
      </c>
      <c r="Q37" s="3777"/>
      <c r="R37" s="3825" t="e">
        <f>IF(F1="售价",ROUND(IF(D36="简单平均",AVERAGE(R36:W36),R36*F36+T36*H36+V36*J36),0),ROUND(IF(D36="简单平均",AVERAGE(R36:V36),R36*F36+T36*H36+V36*J36),1))</f>
        <v>#DIV/0!</v>
      </c>
      <c r="S37" s="3825"/>
      <c r="T37" s="3825"/>
      <c r="U37" s="3825"/>
      <c r="V37" s="3825"/>
      <c r="W37" s="3825"/>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2.2" thickBot="1">
      <c r="A45" s="693" t="s">
        <v>1796</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4.4">
      <c r="A46" s="454" t="s">
        <v>1677</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69"/>
      <c r="Q46" s="2734"/>
      <c r="R46" s="2734"/>
      <c r="S46" s="2734"/>
      <c r="T46" s="2734"/>
      <c r="U46" s="2734"/>
      <c r="V46" s="2734"/>
      <c r="W46" s="2734"/>
      <c r="X46" s="2734"/>
      <c r="Y46" s="2734"/>
      <c r="Z46" s="2734"/>
      <c r="AA46" s="2734"/>
      <c r="AB46" s="2734"/>
      <c r="AC46" s="2734"/>
      <c r="AD46" s="2734"/>
    </row>
    <row r="47" spans="1:30" s="108" customFormat="1">
      <c r="A47" s="458"/>
      <c r="B47" s="459"/>
      <c r="C47" s="1181">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4.4">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4.4"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ht="14.4">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4.4"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9.4"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4.4"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4.4"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4.4"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4.4"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4.4"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4.4"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4.4"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9.4"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 thickTop="1">
      <c r="A65" s="483"/>
      <c r="B65" s="495" t="s">
        <v>1811</v>
      </c>
      <c r="C65" s="607" t="s">
        <v>1797</v>
      </c>
      <c r="D65" s="607" t="s">
        <v>1798</v>
      </c>
      <c r="E65" s="607" t="s">
        <v>1799</v>
      </c>
      <c r="F65" s="607" t="s">
        <v>1800</v>
      </c>
      <c r="G65" s="607" t="s">
        <v>1801</v>
      </c>
      <c r="H65" s="488"/>
      <c r="I65" s="488"/>
      <c r="J65" s="488"/>
      <c r="K65" s="488"/>
      <c r="L65" s="488"/>
      <c r="M65" s="1128"/>
      <c r="N65" s="2747"/>
      <c r="O65" s="2747"/>
      <c r="P65" s="2771"/>
      <c r="Q65" s="2732"/>
      <c r="R65" s="2718"/>
      <c r="S65" s="2718"/>
      <c r="T65" s="2718"/>
      <c r="U65" s="2718"/>
      <c r="V65" s="2718"/>
      <c r="W65" s="2718"/>
      <c r="X65" s="2718"/>
      <c r="Y65" s="2718"/>
      <c r="Z65" s="2718"/>
      <c r="AA65" s="2718"/>
      <c r="AB65" s="2718"/>
      <c r="AC65" s="2718"/>
      <c r="AD65" s="2718"/>
    </row>
    <row r="66" spans="1:30" ht="14.4"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4.4"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4.4"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4.4"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4.4"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4.4"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4.4"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4.4"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4.4"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4.4"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4.4"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4.4"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4.4"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4.4"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4.4"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4.4"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4.4"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1865</v>
      </c>
      <c r="B1" s="349"/>
      <c r="C1" s="350" t="s">
        <v>1915</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4.4">
      <c r="A4" s="355" t="s">
        <v>1767</v>
      </c>
      <c r="B4" s="356"/>
      <c r="C4" s="3757" t="s">
        <v>1768</v>
      </c>
      <c r="D4" s="3758"/>
      <c r="E4" s="3759" t="s">
        <v>1769</v>
      </c>
      <c r="F4" s="3760"/>
      <c r="G4" s="3757" t="s">
        <v>1770</v>
      </c>
      <c r="H4" s="3758"/>
      <c r="I4" s="3757" t="s">
        <v>1771</v>
      </c>
      <c r="J4" s="3758"/>
      <c r="K4" s="559" t="s">
        <v>1772</v>
      </c>
      <c r="L4" s="2708"/>
      <c r="M4" s="2709"/>
      <c r="N4" s="2709"/>
      <c r="O4" s="2709"/>
      <c r="P4" s="3761" t="s">
        <v>1773</v>
      </c>
      <c r="Q4" s="3762"/>
      <c r="R4" s="3744" t="s">
        <v>1769</v>
      </c>
      <c r="S4" s="3745"/>
      <c r="T4" s="3744" t="s">
        <v>1770</v>
      </c>
      <c r="U4" s="3745"/>
      <c r="V4" s="3769" t="s">
        <v>1771</v>
      </c>
      <c r="W4" s="3769"/>
      <c r="X4" s="1353"/>
      <c r="Y4" s="3744" t="s">
        <v>1773</v>
      </c>
      <c r="Z4" s="3745"/>
      <c r="AA4" s="3739" t="s">
        <v>1769</v>
      </c>
      <c r="AB4" s="3740" t="s">
        <v>1770</v>
      </c>
      <c r="AC4" s="3739" t="s">
        <v>1771</v>
      </c>
    </row>
    <row r="5" spans="1:29">
      <c r="A5" s="358"/>
      <c r="B5" s="359"/>
      <c r="C5" s="3750" t="s">
        <v>1671</v>
      </c>
      <c r="D5" s="3751"/>
      <c r="E5" s="3748" t="s">
        <v>1672</v>
      </c>
      <c r="F5" s="3749"/>
      <c r="G5" s="3750" t="s">
        <v>1673</v>
      </c>
      <c r="H5" s="3751"/>
      <c r="I5" s="3750" t="s">
        <v>1674</v>
      </c>
      <c r="J5" s="3751"/>
      <c r="K5" s="559"/>
      <c r="L5" s="2708"/>
      <c r="M5" s="2709"/>
      <c r="N5" s="2709"/>
      <c r="O5" s="2709"/>
      <c r="P5" s="3763"/>
      <c r="Q5" s="3764"/>
      <c r="R5" s="3746"/>
      <c r="S5" s="3747"/>
      <c r="T5" s="3746"/>
      <c r="U5" s="3747"/>
      <c r="V5" s="3769"/>
      <c r="W5" s="3769"/>
      <c r="X5" s="1353"/>
      <c r="Y5" s="3746"/>
      <c r="Z5" s="3747"/>
      <c r="AA5" s="3740"/>
      <c r="AB5" s="3740"/>
      <c r="AC5" s="3740"/>
    </row>
    <row r="6" spans="1:29" ht="15" thickBot="1">
      <c r="A6" s="360"/>
      <c r="B6" s="361"/>
      <c r="C6" s="3826" t="s">
        <v>1916</v>
      </c>
      <c r="D6" s="3827"/>
      <c r="E6" s="3828" t="s">
        <v>1916</v>
      </c>
      <c r="F6" s="3829"/>
      <c r="G6" s="3826" t="s">
        <v>1916</v>
      </c>
      <c r="H6" s="3827"/>
      <c r="I6" s="3826" t="s">
        <v>1916</v>
      </c>
      <c r="J6" s="3827"/>
      <c r="K6" s="559" t="s">
        <v>1676</v>
      </c>
      <c r="L6" s="2708"/>
      <c r="M6" s="2709"/>
      <c r="N6" s="2709"/>
      <c r="O6" s="2709"/>
      <c r="P6" s="3765"/>
      <c r="Q6" s="3766"/>
      <c r="R6" s="3746"/>
      <c r="S6" s="3747"/>
      <c r="T6" s="3767"/>
      <c r="U6" s="3768"/>
      <c r="V6" s="3769"/>
      <c r="W6" s="3769"/>
      <c r="X6" s="1353"/>
      <c r="Y6" s="3767"/>
      <c r="Z6" s="3768"/>
      <c r="AA6" s="3741"/>
      <c r="AB6" s="3741"/>
      <c r="AC6" s="3741"/>
    </row>
    <row r="7" spans="1:29" s="108" customFormat="1" ht="15" thickBot="1">
      <c r="A7" s="362" t="s">
        <v>1677</v>
      </c>
      <c r="B7" s="363"/>
      <c r="C7" s="364">
        <f>'数据-取费表'!B2</f>
        <v>45146</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42" t="s">
        <v>1678</v>
      </c>
      <c r="Q7" s="3770"/>
      <c r="R7" s="700" t="s">
        <v>14</v>
      </c>
      <c r="S7" s="701">
        <f t="shared" ref="S7:S15" si="0">F7</f>
        <v>0</v>
      </c>
      <c r="T7" s="700" t="s">
        <v>14</v>
      </c>
      <c r="U7" s="701">
        <f t="shared" ref="U7:U15" si="1">H7</f>
        <v>0</v>
      </c>
      <c r="V7" s="700" t="s">
        <v>14</v>
      </c>
      <c r="W7" s="701">
        <f t="shared" ref="W7:W15" si="2">J7</f>
        <v>0</v>
      </c>
      <c r="X7" s="702"/>
      <c r="Y7" s="3742" t="s">
        <v>1678</v>
      </c>
      <c r="Z7" s="3743"/>
      <c r="AA7" s="703" t="e">
        <f>D7/F7</f>
        <v>#DIV/0!</v>
      </c>
      <c r="AB7" s="703" t="e">
        <f>D7/H7</f>
        <v>#DIV/0!</v>
      </c>
      <c r="AC7" s="703" t="e">
        <f>D7/J7</f>
        <v>#DIV/0!</v>
      </c>
    </row>
    <row r="8" spans="1:29" s="108" customFormat="1" ht="1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42" t="s">
        <v>1681</v>
      </c>
      <c r="Q8" s="3743"/>
      <c r="R8" s="700" t="s">
        <v>14</v>
      </c>
      <c r="S8" s="701">
        <f t="shared" si="0"/>
        <v>0</v>
      </c>
      <c r="T8" s="700" t="s">
        <v>14</v>
      </c>
      <c r="U8" s="701">
        <f t="shared" si="1"/>
        <v>0</v>
      </c>
      <c r="V8" s="700" t="s">
        <v>14</v>
      </c>
      <c r="W8" s="701">
        <f t="shared" si="2"/>
        <v>0</v>
      </c>
      <c r="X8" s="702"/>
      <c r="Y8" s="3742" t="s">
        <v>1681</v>
      </c>
      <c r="Z8" s="3743"/>
      <c r="AA8" s="703" t="e">
        <f t="shared" ref="AA8:AA40" si="3">D8/F8</f>
        <v>#DIV/0!</v>
      </c>
      <c r="AB8" s="703" t="e">
        <f t="shared" ref="AB8:AB40" si="4">D8/H8</f>
        <v>#DIV/0!</v>
      </c>
      <c r="AC8" s="703" t="e">
        <f t="shared" ref="AC8:AC40" si="5">D8/J8</f>
        <v>#DIV/0!</v>
      </c>
    </row>
    <row r="9" spans="1:29" s="108" customFormat="1" ht="14.4">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56" t="s">
        <v>1684</v>
      </c>
      <c r="Q9" s="1341" t="str">
        <f t="shared" ref="Q9:Q15" si="6">B9</f>
        <v>用途</v>
      </c>
      <c r="R9" s="700" t="s">
        <v>14</v>
      </c>
      <c r="S9" s="701">
        <f t="shared" si="0"/>
        <v>100</v>
      </c>
      <c r="T9" s="700" t="s">
        <v>14</v>
      </c>
      <c r="U9" s="701">
        <f t="shared" si="1"/>
        <v>100</v>
      </c>
      <c r="V9" s="700" t="s">
        <v>14</v>
      </c>
      <c r="W9" s="701">
        <f t="shared" si="2"/>
        <v>100</v>
      </c>
      <c r="X9" s="702"/>
      <c r="Y9" s="3688" t="s">
        <v>1685</v>
      </c>
      <c r="Z9" s="52" t="str">
        <f t="shared" ref="Z9:Z15" si="7">Q9</f>
        <v>用途</v>
      </c>
      <c r="AA9" s="703">
        <f t="shared" si="3"/>
        <v>1</v>
      </c>
      <c r="AB9" s="703">
        <f t="shared" si="4"/>
        <v>1</v>
      </c>
      <c r="AC9" s="703">
        <f t="shared" si="5"/>
        <v>1</v>
      </c>
    </row>
    <row r="10" spans="1:29" s="378" customFormat="1" ht="28.8">
      <c r="A10" s="374"/>
      <c r="B10" s="375" t="s">
        <v>1686</v>
      </c>
      <c r="C10" s="383"/>
      <c r="D10" s="127">
        <v>100</v>
      </c>
      <c r="E10" s="383"/>
      <c r="F10" s="127">
        <f>ROUND(100/'数据-取费表'!G16,0)</f>
        <v>118</v>
      </c>
      <c r="G10" s="383"/>
      <c r="H10" s="127">
        <f>ROUND(100/'数据-取费表'!G16,0)</f>
        <v>118</v>
      </c>
      <c r="I10" s="383"/>
      <c r="J10" s="127">
        <f>ROUND(100/'数据-取费表'!G16,0)</f>
        <v>118</v>
      </c>
      <c r="K10" s="619"/>
      <c r="L10" s="2712"/>
      <c r="M10" s="2713"/>
      <c r="N10" s="2713"/>
      <c r="O10" s="2766"/>
      <c r="P10" s="3756"/>
      <c r="Q10" s="1341" t="str">
        <f t="shared" si="6"/>
        <v>土地使用年限（年）</v>
      </c>
      <c r="R10" s="700" t="s">
        <v>14</v>
      </c>
      <c r="S10" s="701">
        <f t="shared" si="0"/>
        <v>118</v>
      </c>
      <c r="T10" s="700" t="s">
        <v>14</v>
      </c>
      <c r="U10" s="701">
        <f t="shared" si="1"/>
        <v>118</v>
      </c>
      <c r="V10" s="700" t="s">
        <v>14</v>
      </c>
      <c r="W10" s="701">
        <f t="shared" si="2"/>
        <v>118</v>
      </c>
      <c r="X10" s="702"/>
      <c r="Y10" s="3688"/>
      <c r="Z10" s="52" t="str">
        <f t="shared" si="7"/>
        <v>土地使用年限（年）</v>
      </c>
      <c r="AA10" s="703">
        <f t="shared" si="3"/>
        <v>0.84745762711864403</v>
      </c>
      <c r="AB10" s="703">
        <f t="shared" si="4"/>
        <v>0.84745762711864403</v>
      </c>
      <c r="AC10" s="703">
        <f t="shared" si="5"/>
        <v>0.84745762711864403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56"/>
      <c r="Q11" s="1341" t="str">
        <f t="shared" si="6"/>
        <v>容积率</v>
      </c>
      <c r="R11" s="700" t="s">
        <v>14</v>
      </c>
      <c r="S11" s="701" t="e">
        <f t="shared" si="0"/>
        <v>#N/A</v>
      </c>
      <c r="T11" s="700" t="s">
        <v>14</v>
      </c>
      <c r="U11" s="701" t="e">
        <f t="shared" si="1"/>
        <v>#N/A</v>
      </c>
      <c r="V11" s="700" t="s">
        <v>14</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56"/>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56"/>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6"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56"/>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15">
      <c r="A15" s="391" t="s">
        <v>1688</v>
      </c>
      <c r="B15" s="576" t="s">
        <v>1917</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71" t="s">
        <v>1689</v>
      </c>
      <c r="Q15" s="1350" t="str">
        <f t="shared" si="6"/>
        <v>产业集聚程度</v>
      </c>
      <c r="R15" s="704" t="s">
        <v>14</v>
      </c>
      <c r="S15" s="705">
        <f t="shared" si="0"/>
        <v>100</v>
      </c>
      <c r="T15" s="704" t="s">
        <v>14</v>
      </c>
      <c r="U15" s="705">
        <f t="shared" si="1"/>
        <v>100</v>
      </c>
      <c r="V15" s="704" t="s">
        <v>14</v>
      </c>
      <c r="W15" s="705">
        <f t="shared" si="2"/>
        <v>100</v>
      </c>
      <c r="X15" s="1353"/>
      <c r="Y15" s="3771"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5"/>
      <c r="M16" s="2709"/>
      <c r="N16" s="2709"/>
      <c r="O16" s="2767"/>
      <c r="P16" s="3772"/>
      <c r="Q16" s="1350"/>
      <c r="R16" s="704"/>
      <c r="S16" s="705"/>
      <c r="T16" s="704"/>
      <c r="U16" s="705"/>
      <c r="V16" s="704"/>
      <c r="W16" s="705"/>
      <c r="X16" s="1353"/>
      <c r="Y16" s="3772"/>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72"/>
      <c r="Q17" s="1350" t="str">
        <f>B17</f>
        <v>交通便捷度</v>
      </c>
      <c r="R17" s="704" t="s">
        <v>14</v>
      </c>
      <c r="S17" s="705">
        <f>F17</f>
        <v>100</v>
      </c>
      <c r="T17" s="704" t="s">
        <v>14</v>
      </c>
      <c r="U17" s="705">
        <f>H17</f>
        <v>100</v>
      </c>
      <c r="V17" s="704" t="s">
        <v>14</v>
      </c>
      <c r="W17" s="705">
        <f>J17</f>
        <v>100</v>
      </c>
      <c r="X17" s="1353"/>
      <c r="Y17" s="3772"/>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5"/>
      <c r="M18" s="2709"/>
      <c r="N18" s="2709"/>
      <c r="O18" s="2767"/>
      <c r="P18" s="3772"/>
      <c r="Q18" s="1350"/>
      <c r="R18" s="704"/>
      <c r="S18" s="705"/>
      <c r="T18" s="704"/>
      <c r="U18" s="705"/>
      <c r="V18" s="704"/>
      <c r="W18" s="705"/>
      <c r="X18" s="1353"/>
      <c r="Y18" s="3772"/>
      <c r="Z18" s="1354"/>
      <c r="AA18" s="1351">
        <v>1</v>
      </c>
      <c r="AB18" s="1351">
        <v>1</v>
      </c>
      <c r="AC18" s="1351">
        <v>1</v>
      </c>
    </row>
    <row r="19" spans="1:29" ht="28.8">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72"/>
      <c r="Q19" s="1350" t="str">
        <f t="shared" ref="Q19:Q33" si="8">B19</f>
        <v>区域土地利用方向</v>
      </c>
      <c r="R19" s="704" t="s">
        <v>14</v>
      </c>
      <c r="S19" s="705">
        <f>F19</f>
        <v>100</v>
      </c>
      <c r="T19" s="704" t="s">
        <v>14</v>
      </c>
      <c r="U19" s="705">
        <f>H19</f>
        <v>100</v>
      </c>
      <c r="V19" s="704" t="s">
        <v>14</v>
      </c>
      <c r="W19" s="705">
        <f>J19</f>
        <v>100</v>
      </c>
      <c r="X19" s="1353"/>
      <c r="Y19" s="3772"/>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5"/>
      <c r="M20" s="2709"/>
      <c r="N20" s="2709"/>
      <c r="O20" s="2767"/>
      <c r="P20" s="3772"/>
      <c r="Q20" s="1350"/>
      <c r="R20" s="704"/>
      <c r="S20" s="705"/>
      <c r="T20" s="704"/>
      <c r="U20" s="705"/>
      <c r="V20" s="704"/>
      <c r="W20" s="705"/>
      <c r="X20" s="1353"/>
      <c r="Y20" s="3772"/>
      <c r="Z20" s="1354"/>
      <c r="AA20" s="1351"/>
      <c r="AB20" s="1351"/>
      <c r="AC20" s="1351"/>
    </row>
    <row r="21" spans="1:29" ht="15">
      <c r="A21" s="358"/>
      <c r="B21" s="578" t="s">
        <v>1918</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72"/>
      <c r="Q21" s="1350" t="str">
        <f t="shared" si="8"/>
        <v>环境状况</v>
      </c>
      <c r="R21" s="704" t="s">
        <v>14</v>
      </c>
      <c r="S21" s="705">
        <f>F21</f>
        <v>100</v>
      </c>
      <c r="T21" s="704" t="s">
        <v>14</v>
      </c>
      <c r="U21" s="705">
        <f>H21</f>
        <v>100</v>
      </c>
      <c r="V21" s="704" t="s">
        <v>14</v>
      </c>
      <c r="W21" s="705">
        <f>J21</f>
        <v>100</v>
      </c>
      <c r="X21" s="1353"/>
      <c r="Y21" s="3772"/>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5"/>
      <c r="M22" s="2709"/>
      <c r="N22" s="2709"/>
      <c r="O22" s="2767"/>
      <c r="P22" s="3772"/>
      <c r="Q22" s="1350"/>
      <c r="R22" s="704"/>
      <c r="S22" s="705"/>
      <c r="T22" s="704"/>
      <c r="U22" s="705"/>
      <c r="V22" s="704"/>
      <c r="W22" s="705"/>
      <c r="X22" s="1353"/>
      <c r="Y22" s="3772"/>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72"/>
      <c r="Q23" s="1341" t="str">
        <f t="shared" si="8"/>
        <v>公共配套设施</v>
      </c>
      <c r="R23" s="700" t="s">
        <v>14</v>
      </c>
      <c r="S23" s="701">
        <f>F23</f>
        <v>100</v>
      </c>
      <c r="T23" s="700" t="s">
        <v>14</v>
      </c>
      <c r="U23" s="701">
        <f>H23</f>
        <v>100</v>
      </c>
      <c r="V23" s="700" t="s">
        <v>14</v>
      </c>
      <c r="W23" s="701">
        <f>J23</f>
        <v>100</v>
      </c>
      <c r="X23" s="702"/>
      <c r="Y23" s="3772"/>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0"/>
      <c r="M24" s="2711"/>
      <c r="N24" s="2711"/>
      <c r="O24" s="2765"/>
      <c r="P24" s="3772"/>
      <c r="Q24" s="1341"/>
      <c r="R24" s="700"/>
      <c r="S24" s="701"/>
      <c r="T24" s="700"/>
      <c r="U24" s="701"/>
      <c r="V24" s="700"/>
      <c r="W24" s="701"/>
      <c r="X24" s="702"/>
      <c r="Y24" s="3772"/>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72"/>
      <c r="Q25" s="1341" t="str">
        <f t="shared" ref="Q25" si="9">B25</f>
        <v>基础设施水平</v>
      </c>
      <c r="R25" s="700" t="s">
        <v>14</v>
      </c>
      <c r="S25" s="701">
        <f>F25</f>
        <v>100</v>
      </c>
      <c r="T25" s="700" t="s">
        <v>14</v>
      </c>
      <c r="U25" s="701">
        <f>H25</f>
        <v>100</v>
      </c>
      <c r="V25" s="700" t="s">
        <v>14</v>
      </c>
      <c r="W25" s="701">
        <f>J25</f>
        <v>100</v>
      </c>
      <c r="X25" s="702"/>
      <c r="Y25" s="3772"/>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0"/>
      <c r="M26" s="2711"/>
      <c r="N26" s="2711"/>
      <c r="O26" s="2765"/>
      <c r="P26" s="3772"/>
      <c r="Q26" s="1341"/>
      <c r="R26" s="700"/>
      <c r="S26" s="701"/>
      <c r="T26" s="700"/>
      <c r="U26" s="701"/>
      <c r="V26" s="700"/>
      <c r="W26" s="701"/>
      <c r="X26" s="702"/>
      <c r="Y26" s="3772"/>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7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72"/>
      <c r="Z27" s="1354" t="str">
        <f t="shared" ref="Z27:Z40" si="13">Q27</f>
        <v>临街状况</v>
      </c>
      <c r="AA27" s="1351">
        <f t="shared" si="3"/>
        <v>1</v>
      </c>
      <c r="AB27" s="1351">
        <f t="shared" si="4"/>
        <v>1</v>
      </c>
      <c r="AC27" s="1351">
        <f t="shared" si="5"/>
        <v>1</v>
      </c>
    </row>
    <row r="28" spans="1:29" ht="28.8">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72"/>
      <c r="Q28" s="1350" t="str">
        <f t="shared" si="8"/>
        <v>毗邻道路的类型与等级</v>
      </c>
      <c r="R28" s="704" t="s">
        <v>14</v>
      </c>
      <c r="S28" s="705">
        <f t="shared" si="10"/>
        <v>100</v>
      </c>
      <c r="T28" s="704" t="s">
        <v>14</v>
      </c>
      <c r="U28" s="705">
        <f t="shared" si="11"/>
        <v>100</v>
      </c>
      <c r="V28" s="704" t="s">
        <v>14</v>
      </c>
      <c r="W28" s="705">
        <f t="shared" si="12"/>
        <v>100</v>
      </c>
      <c r="X28" s="1353"/>
      <c r="Y28" s="3772"/>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5"/>
      <c r="M29" s="2709"/>
      <c r="N29" s="2709"/>
      <c r="O29" s="2767"/>
      <c r="P29" s="3772"/>
      <c r="Q29" s="1350"/>
      <c r="R29" s="704"/>
      <c r="S29" s="705"/>
      <c r="T29" s="704"/>
      <c r="U29" s="705"/>
      <c r="V29" s="704"/>
      <c r="W29" s="705"/>
      <c r="X29" s="1353"/>
      <c r="Y29" s="3772"/>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72"/>
      <c r="Q30" s="1350" t="str">
        <f t="shared" si="8"/>
        <v>土地级别</v>
      </c>
      <c r="R30" s="704" t="s">
        <v>14</v>
      </c>
      <c r="S30" s="705">
        <f t="shared" si="10"/>
        <v>100</v>
      </c>
      <c r="T30" s="704" t="s">
        <v>14</v>
      </c>
      <c r="U30" s="705">
        <f t="shared" si="11"/>
        <v>100</v>
      </c>
      <c r="V30" s="704" t="s">
        <v>14</v>
      </c>
      <c r="W30" s="705">
        <f t="shared" si="12"/>
        <v>100</v>
      </c>
      <c r="X30" s="1353"/>
      <c r="Y30" s="3772"/>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72"/>
      <c r="Q31" s="1350">
        <f t="shared" si="8"/>
        <v>111</v>
      </c>
      <c r="R31" s="704" t="s">
        <v>14</v>
      </c>
      <c r="S31" s="705">
        <f t="shared" si="10"/>
        <v>100</v>
      </c>
      <c r="T31" s="704" t="s">
        <v>14</v>
      </c>
      <c r="U31" s="705">
        <f t="shared" si="11"/>
        <v>100</v>
      </c>
      <c r="V31" s="704" t="s">
        <v>14</v>
      </c>
      <c r="W31" s="705">
        <f t="shared" si="12"/>
        <v>100</v>
      </c>
      <c r="X31" s="1353"/>
      <c r="Y31" s="3772"/>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773" t="s">
        <v>1694</v>
      </c>
      <c r="Q32" s="1350">
        <f t="shared" si="8"/>
        <v>111</v>
      </c>
      <c r="R32" s="704" t="s">
        <v>14</v>
      </c>
      <c r="S32" s="705">
        <f t="shared" si="10"/>
        <v>100</v>
      </c>
      <c r="T32" s="704" t="s">
        <v>14</v>
      </c>
      <c r="U32" s="705">
        <f t="shared" si="11"/>
        <v>100</v>
      </c>
      <c r="V32" s="704" t="s">
        <v>14</v>
      </c>
      <c r="W32" s="705">
        <f t="shared" si="12"/>
        <v>100</v>
      </c>
      <c r="X32" s="1353"/>
      <c r="Y32" s="3774" t="s">
        <v>1694</v>
      </c>
      <c r="Z32" s="1354">
        <f t="shared" si="13"/>
        <v>111</v>
      </c>
      <c r="AA32" s="1351">
        <f t="shared" si="3"/>
        <v>1</v>
      </c>
      <c r="AB32" s="1351">
        <f t="shared" si="4"/>
        <v>1</v>
      </c>
      <c r="AC32" s="1351">
        <f t="shared" si="5"/>
        <v>1</v>
      </c>
    </row>
    <row r="33" spans="1:31" s="422" customFormat="1" ht="15.6"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74"/>
      <c r="Q33" s="1350">
        <f t="shared" si="8"/>
        <v>111</v>
      </c>
      <c r="R33" s="707" t="s">
        <v>14</v>
      </c>
      <c r="S33" s="708">
        <f t="shared" si="10"/>
        <v>100</v>
      </c>
      <c r="T33" s="707" t="s">
        <v>14</v>
      </c>
      <c r="U33" s="708">
        <f t="shared" si="11"/>
        <v>100</v>
      </c>
      <c r="V33" s="707" t="s">
        <v>14</v>
      </c>
      <c r="W33" s="708">
        <f t="shared" si="12"/>
        <v>100</v>
      </c>
      <c r="X33" s="709"/>
      <c r="Y33" s="3774"/>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74"/>
      <c r="Q34" s="1350" t="str">
        <f>B34</f>
        <v>宗地面积</v>
      </c>
      <c r="R34" s="704" t="s">
        <v>14</v>
      </c>
      <c r="S34" s="705" t="e">
        <f t="shared" si="10"/>
        <v>#N/A</v>
      </c>
      <c r="T34" s="704" t="s">
        <v>14</v>
      </c>
      <c r="U34" s="705" t="e">
        <f t="shared" si="11"/>
        <v>#N/A</v>
      </c>
      <c r="V34" s="704" t="s">
        <v>14</v>
      </c>
      <c r="W34" s="705" t="e">
        <f t="shared" si="12"/>
        <v>#N/A</v>
      </c>
      <c r="X34" s="1353"/>
      <c r="Y34" s="3774"/>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74"/>
      <c r="Q35" s="1350" t="str">
        <f t="shared" ref="Q35:Q40" si="14">B35</f>
        <v>宗地形状</v>
      </c>
      <c r="R35" s="704" t="s">
        <v>14</v>
      </c>
      <c r="S35" s="705">
        <f t="shared" si="10"/>
        <v>100</v>
      </c>
      <c r="T35" s="704" t="s">
        <v>14</v>
      </c>
      <c r="U35" s="705">
        <f t="shared" si="11"/>
        <v>100</v>
      </c>
      <c r="V35" s="704" t="s">
        <v>14</v>
      </c>
      <c r="W35" s="705">
        <f t="shared" si="12"/>
        <v>100</v>
      </c>
      <c r="X35" s="1353"/>
      <c r="Y35" s="3774"/>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74"/>
      <c r="Q36" s="1350" t="str">
        <f t="shared" si="14"/>
        <v>宗地开发程度</v>
      </c>
      <c r="R36" s="700" t="s">
        <v>14</v>
      </c>
      <c r="S36" s="701">
        <f t="shared" si="10"/>
        <v>100</v>
      </c>
      <c r="T36" s="700" t="s">
        <v>14</v>
      </c>
      <c r="U36" s="701">
        <f t="shared" si="11"/>
        <v>100</v>
      </c>
      <c r="V36" s="700" t="s">
        <v>14</v>
      </c>
      <c r="W36" s="701">
        <f t="shared" si="12"/>
        <v>100</v>
      </c>
      <c r="X36" s="702"/>
      <c r="Y36" s="3774"/>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74" t="s">
        <v>1694</v>
      </c>
      <c r="Q37" s="1350" t="str">
        <f t="shared" si="14"/>
        <v>工程地质条件</v>
      </c>
      <c r="R37" s="704" t="s">
        <v>14</v>
      </c>
      <c r="S37" s="705">
        <f t="shared" si="10"/>
        <v>100</v>
      </c>
      <c r="T37" s="704" t="s">
        <v>14</v>
      </c>
      <c r="U37" s="705">
        <f t="shared" si="11"/>
        <v>100</v>
      </c>
      <c r="V37" s="704" t="s">
        <v>14</v>
      </c>
      <c r="W37" s="705">
        <f t="shared" si="12"/>
        <v>100</v>
      </c>
      <c r="X37" s="1353"/>
      <c r="Y37" s="3774"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74"/>
      <c r="Q38" s="1350">
        <f t="shared" si="14"/>
        <v>111</v>
      </c>
      <c r="R38" s="704" t="s">
        <v>14</v>
      </c>
      <c r="S38" s="705">
        <f t="shared" si="10"/>
        <v>100</v>
      </c>
      <c r="T38" s="704" t="s">
        <v>14</v>
      </c>
      <c r="U38" s="705">
        <f t="shared" si="11"/>
        <v>100</v>
      </c>
      <c r="V38" s="704" t="s">
        <v>14</v>
      </c>
      <c r="W38" s="705">
        <f t="shared" si="12"/>
        <v>100</v>
      </c>
      <c r="X38" s="1353"/>
      <c r="Y38" s="3774"/>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74"/>
      <c r="Q39" s="1350">
        <f t="shared" si="14"/>
        <v>111</v>
      </c>
      <c r="R39" s="704" t="s">
        <v>14</v>
      </c>
      <c r="S39" s="705">
        <f t="shared" si="10"/>
        <v>100</v>
      </c>
      <c r="T39" s="704" t="s">
        <v>14</v>
      </c>
      <c r="U39" s="705">
        <f t="shared" si="11"/>
        <v>100</v>
      </c>
      <c r="V39" s="704" t="s">
        <v>14</v>
      </c>
      <c r="W39" s="705">
        <f t="shared" si="12"/>
        <v>100</v>
      </c>
      <c r="X39" s="1353"/>
      <c r="Y39" s="3774"/>
      <c r="Z39" s="1354">
        <f t="shared" si="13"/>
        <v>111</v>
      </c>
      <c r="AA39" s="1351">
        <f t="shared" si="3"/>
        <v>1</v>
      </c>
      <c r="AB39" s="1351">
        <f t="shared" si="4"/>
        <v>1</v>
      </c>
      <c r="AC39" s="1351">
        <f t="shared" si="5"/>
        <v>1</v>
      </c>
    </row>
    <row r="40" spans="1:31" s="422" customFormat="1" ht="15.6"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74"/>
      <c r="Q40" s="1350">
        <f t="shared" si="14"/>
        <v>111</v>
      </c>
      <c r="R40" s="707" t="s">
        <v>14</v>
      </c>
      <c r="S40" s="708">
        <f t="shared" si="10"/>
        <v>100</v>
      </c>
      <c r="T40" s="707" t="s">
        <v>14</v>
      </c>
      <c r="U40" s="708">
        <f t="shared" si="11"/>
        <v>100</v>
      </c>
      <c r="V40" s="707" t="s">
        <v>14</v>
      </c>
      <c r="W40" s="708">
        <f t="shared" si="12"/>
        <v>100</v>
      </c>
      <c r="X40" s="709"/>
      <c r="Y40" s="3774"/>
      <c r="Z40" s="710">
        <f t="shared" si="13"/>
        <v>111</v>
      </c>
      <c r="AA40" s="1351">
        <f t="shared" si="3"/>
        <v>1</v>
      </c>
      <c r="AB40" s="1351">
        <f t="shared" si="4"/>
        <v>1</v>
      </c>
      <c r="AC40" s="1351">
        <f t="shared" si="5"/>
        <v>1</v>
      </c>
    </row>
    <row r="41" spans="1:31" ht="14.4">
      <c r="A41" s="430" t="s">
        <v>1842</v>
      </c>
      <c r="B41" s="1978" t="s">
        <v>1919</v>
      </c>
      <c r="C41" s="629" t="s">
        <v>0</v>
      </c>
      <c r="D41" s="432"/>
      <c r="E41" s="433"/>
      <c r="F41" s="434"/>
      <c r="G41" s="435"/>
      <c r="H41" s="436"/>
      <c r="I41" s="433"/>
      <c r="J41" s="436"/>
      <c r="K41" s="713"/>
      <c r="L41" s="2717"/>
      <c r="M41" s="2709"/>
      <c r="N41" s="2709"/>
      <c r="O41" s="2718"/>
      <c r="P41" s="3756" t="str">
        <f>A41</f>
        <v>成交单价</v>
      </c>
      <c r="Q41" s="3756"/>
      <c r="R41" s="3769">
        <f>E41</f>
        <v>0</v>
      </c>
      <c r="S41" s="3769"/>
      <c r="T41" s="3769">
        <f>G41</f>
        <v>0</v>
      </c>
      <c r="U41" s="3769"/>
      <c r="V41" s="3769">
        <f>I41</f>
        <v>0</v>
      </c>
      <c r="W41" s="3769"/>
      <c r="X41" s="689"/>
      <c r="Y41" s="711"/>
      <c r="Z41" s="689"/>
      <c r="AA41" s="689"/>
      <c r="AB41" s="689"/>
      <c r="AC41" s="689"/>
    </row>
    <row r="42" spans="1:31" ht="15" thickBot="1">
      <c r="A42" s="437" t="s">
        <v>1791</v>
      </c>
      <c r="B42" s="630"/>
      <c r="C42" s="440" t="e">
        <f>R43</f>
        <v>#DIV/0!</v>
      </c>
      <c r="D42" s="2313" t="s">
        <v>2135</v>
      </c>
      <c r="E42" s="440" t="e">
        <f>R42</f>
        <v>#DIV/0!</v>
      </c>
      <c r="F42" s="2314"/>
      <c r="G42" s="439" t="e">
        <f>T42</f>
        <v>#DIV/0!</v>
      </c>
      <c r="H42" s="2314"/>
      <c r="I42" s="440" t="e">
        <f>V42</f>
        <v>#DIV/0!</v>
      </c>
      <c r="J42" s="2314"/>
      <c r="K42" s="2316">
        <f>F42+H42+J42</f>
        <v>0</v>
      </c>
      <c r="L42" s="2717"/>
      <c r="M42" s="2709"/>
      <c r="N42" s="2709"/>
      <c r="O42" s="2718"/>
      <c r="P42" s="3756" t="str">
        <f>A42</f>
        <v>比较价值（元/平方米）</v>
      </c>
      <c r="Q42" s="3756"/>
      <c r="R42" s="3775" t="e">
        <f>ROUND(PRODUCT(R41,AA7:AA40),0)</f>
        <v>#DIV/0!</v>
      </c>
      <c r="S42" s="3775"/>
      <c r="T42" s="3775" t="e">
        <f>ROUND(PRODUCT(T41,AB7:AB40),0)</f>
        <v>#DIV/0!</v>
      </c>
      <c r="U42" s="3775"/>
      <c r="V42" s="3775" t="e">
        <f>ROUND(PRODUCT(V41,AC7:AC40),0)</f>
        <v>#DIV/0!</v>
      </c>
      <c r="W42" s="3775"/>
      <c r="X42" s="689"/>
      <c r="Y42" s="689"/>
      <c r="Z42" s="689"/>
      <c r="AA42" s="689"/>
      <c r="AB42" s="689"/>
      <c r="AC42" s="689"/>
    </row>
    <row r="43" spans="1:31" ht="15" thickBot="1">
      <c r="A43" s="441" t="s">
        <v>1792</v>
      </c>
      <c r="B43" s="442"/>
      <c r="C43" s="443" t="e">
        <f>R43</f>
        <v>#DIV/0!</v>
      </c>
      <c r="D43" s="443"/>
      <c r="E43" s="443"/>
      <c r="F43" s="443"/>
      <c r="G43" s="443"/>
      <c r="H43" s="443"/>
      <c r="I43" s="443"/>
      <c r="J43" s="443"/>
      <c r="K43" s="714"/>
      <c r="L43" s="2717"/>
      <c r="M43" s="2709"/>
      <c r="N43" s="2709"/>
      <c r="O43" s="2718"/>
      <c r="P43" s="3776" t="str">
        <f>A43</f>
        <v>估价对象XX用房的比较价值（楼面单价，元/平方米）</v>
      </c>
      <c r="Q43" s="3777"/>
      <c r="R43" s="3778" t="e">
        <f>ROUND(IF(D42="简单平均",AVERAGE(R42:W42),R42*F42+T42*H42+V42*J42),0)</f>
        <v>#DIV/0!</v>
      </c>
      <c r="S43" s="3778"/>
      <c r="T43" s="3778"/>
      <c r="U43" s="3778"/>
      <c r="V43" s="3778"/>
      <c r="W43" s="3778"/>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4.4"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8.8">
      <c r="A50" s="631" t="s">
        <v>1879</v>
      </c>
      <c r="B50" s="632" t="s">
        <v>1880</v>
      </c>
      <c r="C50" s="1979" t="s">
        <v>1881</v>
      </c>
      <c r="D50" s="1980" t="s">
        <v>1882</v>
      </c>
      <c r="E50" s="633" t="s">
        <v>1883</v>
      </c>
      <c r="F50" s="634" t="s">
        <v>1884</v>
      </c>
      <c r="G50" s="3757" t="s">
        <v>1885</v>
      </c>
      <c r="H50" s="3779"/>
      <c r="I50" s="1354" t="s">
        <v>1920</v>
      </c>
      <c r="J50" s="1354">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33021.620000000003</v>
      </c>
      <c r="F51" s="638" t="e">
        <f t="shared" ref="F51:F60" si="15">ROUND(B51*E51/10000,0)</f>
        <v>#DIV/0!</v>
      </c>
      <c r="G51" s="3780"/>
      <c r="H51" s="3756"/>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1889</v>
      </c>
      <c r="B52" s="218" t="e">
        <f>ROUND($C$43*C52*D52,0)</f>
        <v>#DIV/0!</v>
      </c>
      <c r="C52" s="171">
        <f t="shared" ref="C52:C60" si="16">IF($C$50="北京市系数",I52,J52)</f>
        <v>0.6</v>
      </c>
      <c r="D52" s="944">
        <v>0.25</v>
      </c>
      <c r="E52" s="641"/>
      <c r="F52" s="638" t="e">
        <f t="shared" si="15"/>
        <v>#DIV/0!</v>
      </c>
      <c r="G52" s="2999" t="s">
        <v>1890</v>
      </c>
      <c r="H52" s="886" t="str">
        <f>项目基本情况!B37</f>
        <v>四级</v>
      </c>
      <c r="I52" s="772">
        <f>SUMIF(修正!A57:A68,H52,修正!B57:B68)</f>
        <v>0.6</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1891</v>
      </c>
      <c r="B53" s="218" t="e">
        <f t="shared" ref="B53:B60" si="17">ROUND($C$43*C53*D53,0)</f>
        <v>#DIV/0!</v>
      </c>
      <c r="C53" s="171">
        <f t="shared" si="16"/>
        <v>0.3</v>
      </c>
      <c r="D53" s="944">
        <v>0.25</v>
      </c>
      <c r="E53" s="641"/>
      <c r="F53" s="638" t="e">
        <f t="shared" si="15"/>
        <v>#DIV/0!</v>
      </c>
      <c r="G53" s="3000"/>
      <c r="H53" s="886" t="str">
        <f>项目基本情况!B37</f>
        <v>四级</v>
      </c>
      <c r="I53" s="772">
        <f>SUMIF(修正!A57:A68,H53,修正!C57:C68)</f>
        <v>0.3</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1892</v>
      </c>
      <c r="B54" s="218" t="e">
        <f t="shared" si="17"/>
        <v>#DIV/0!</v>
      </c>
      <c r="C54" s="171">
        <f t="shared" si="16"/>
        <v>0.25</v>
      </c>
      <c r="D54" s="944">
        <v>0.25</v>
      </c>
      <c r="E54" s="641"/>
      <c r="F54" s="638" t="e">
        <f t="shared" si="15"/>
        <v>#DIV/0!</v>
      </c>
      <c r="G54" s="3000"/>
      <c r="H54" s="886" t="str">
        <f>项目基本情况!B37</f>
        <v>四级</v>
      </c>
      <c r="I54" s="772">
        <f>SUMIF(修正!A57:A68,H54,修正!D57:D68)</f>
        <v>0.25</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4"/>
      <c r="E55" s="641"/>
      <c r="F55" s="638"/>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四级</v>
      </c>
      <c r="I59" s="772">
        <f>SUMIF(修正!A57:A68,H59,修正!G57:G68)</f>
        <v>0.15</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4.4"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4.4" thickBot="1">
      <c r="A61" s="642" t="s">
        <v>1901</v>
      </c>
      <c r="B61" s="643" t="s">
        <v>22</v>
      </c>
      <c r="C61" s="643" t="s">
        <v>23</v>
      </c>
      <c r="D61" s="643" t="s">
        <v>392</v>
      </c>
      <c r="E61" s="643">
        <f>IF(B41="楼面地价",SUM(E51:E60),'数据-汇总表'!D3)</f>
        <v>10479.049999999999</v>
      </c>
      <c r="F61" s="644" t="e">
        <f>IF(B41="楼面地价",SUM(F51:F60),ROUND(C43*E61/10000,0))</f>
        <v>#DIV/0!</v>
      </c>
      <c r="G61" s="938"/>
      <c r="H61" s="938"/>
      <c r="I61" s="938"/>
      <c r="J61" s="938"/>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8"/>
      <c r="Q63" s="2718"/>
      <c r="R63" s="2718"/>
      <c r="S63" s="2718"/>
      <c r="T63" s="2718"/>
      <c r="U63" s="2718"/>
      <c r="V63" s="2718"/>
      <c r="W63" s="2718"/>
      <c r="X63" s="2718"/>
      <c r="Y63" s="2718"/>
      <c r="Z63" s="2718"/>
      <c r="AA63" s="2718"/>
      <c r="AB63" s="2718"/>
      <c r="AC63" s="2718"/>
      <c r="AD63" s="2718"/>
      <c r="AE63" s="2718"/>
    </row>
    <row r="64" spans="1:31" ht="22.2" thickBot="1">
      <c r="A64" s="693" t="s">
        <v>1796</v>
      </c>
      <c r="B64" s="689"/>
      <c r="C64" s="694"/>
      <c r="D64" s="694"/>
      <c r="E64" s="694"/>
      <c r="F64" s="695"/>
      <c r="G64" s="695"/>
      <c r="H64" s="694"/>
      <c r="I64" s="694"/>
      <c r="J64" s="694"/>
      <c r="K64" s="696"/>
      <c r="L64" s="697"/>
      <c r="M64" s="694"/>
      <c r="N64" s="694"/>
      <c r="O64" s="939"/>
      <c r="P64" s="2762"/>
      <c r="Q64" s="2732"/>
      <c r="R64" s="2718"/>
      <c r="S64" s="2718"/>
      <c r="T64" s="2718"/>
      <c r="U64" s="2718"/>
      <c r="V64" s="2718"/>
      <c r="W64" s="2718"/>
      <c r="X64" s="2718"/>
      <c r="Y64" s="2718"/>
      <c r="Z64" s="2718"/>
      <c r="AA64" s="2718"/>
      <c r="AB64" s="2718"/>
      <c r="AC64" s="2718"/>
      <c r="AD64" s="2718"/>
      <c r="AE64" s="2718"/>
    </row>
    <row r="65" spans="1:31" s="457" customFormat="1" ht="14.4">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2"/>
      <c r="Q66" s="2654"/>
      <c r="R66" s="2654"/>
      <c r="S66" s="2654"/>
      <c r="T66" s="2654"/>
      <c r="U66" s="2654"/>
      <c r="V66" s="2654"/>
      <c r="W66" s="2654"/>
      <c r="X66" s="2654"/>
      <c r="Y66" s="2654"/>
      <c r="Z66" s="2654"/>
      <c r="AA66" s="2654"/>
      <c r="AB66" s="2654"/>
      <c r="AC66" s="2654"/>
      <c r="AD66" s="2654"/>
      <c r="AE66" s="2654"/>
    </row>
    <row r="67" spans="1:31" s="108" customFormat="1" ht="1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4.4">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4.4"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ht="14.4">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4.4"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9.4"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4.4"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4.4"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4.4"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4.4"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4.4"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4.4"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4.4"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ht="14.4">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29.4" thickTop="1">
      <c r="A87" s="528"/>
      <c r="B87" s="487" t="s">
        <v>1904</v>
      </c>
      <c r="C87" s="522" t="s">
        <v>1719</v>
      </c>
      <c r="D87" s="522" t="s">
        <v>1720</v>
      </c>
      <c r="E87" s="522" t="s">
        <v>1721</v>
      </c>
      <c r="F87" s="522" t="s">
        <v>1722</v>
      </c>
      <c r="G87" s="522" t="s">
        <v>1723</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9.4" thickTop="1">
      <c r="A89" s="528"/>
      <c r="B89" s="487" t="s">
        <v>1905</v>
      </c>
      <c r="C89" s="522" t="s">
        <v>1719</v>
      </c>
      <c r="D89" s="522" t="s">
        <v>1720</v>
      </c>
      <c r="E89" s="522" t="s">
        <v>1721</v>
      </c>
      <c r="F89" s="522" t="s">
        <v>1722</v>
      </c>
      <c r="G89" s="522" t="s">
        <v>1723</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 thickTop="1">
      <c r="A93" s="502"/>
      <c r="B93" s="495" t="s">
        <v>1922</v>
      </c>
      <c r="C93" s="607" t="s">
        <v>1797</v>
      </c>
      <c r="D93" s="607" t="s">
        <v>1798</v>
      </c>
      <c r="E93" s="607" t="s">
        <v>1799</v>
      </c>
      <c r="F93" s="607" t="s">
        <v>1800</v>
      </c>
      <c r="G93" s="607"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48"/>
      <c r="O94" s="2748"/>
      <c r="P94" s="2772"/>
      <c r="Q94" s="2739"/>
      <c r="R94" s="2740"/>
      <c r="S94" s="2740"/>
      <c r="T94" s="2740"/>
      <c r="U94" s="2740"/>
      <c r="V94" s="2740"/>
      <c r="W94" s="2740"/>
      <c r="X94" s="2740"/>
      <c r="Y94" s="2740"/>
      <c r="Z94" s="2740"/>
      <c r="AA94" s="2740"/>
      <c r="AB94" s="2740"/>
      <c r="AC94" s="2740"/>
      <c r="AD94" s="2740"/>
      <c r="AE94" s="2740"/>
    </row>
    <row r="95" spans="1:31" ht="15" thickTop="1">
      <c r="A95" s="483"/>
      <c r="B95" s="487" t="str">
        <f>B27</f>
        <v>临街状况</v>
      </c>
      <c r="C95" s="488" t="s">
        <v>1906</v>
      </c>
      <c r="D95" s="488" t="s">
        <v>1907</v>
      </c>
      <c r="E95" s="488" t="s">
        <v>1908</v>
      </c>
      <c r="F95" s="488" t="s">
        <v>1909</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9.4"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4.4"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4.4"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4.4"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4.4"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4.4"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4.4"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ht="14.4">
      <c r="A107" s="476" t="s">
        <v>1692</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4.4"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1914</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4.4"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4.4"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4.4"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4.4"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4.4"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4.4"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833" t="s">
        <v>2081</v>
      </c>
      <c r="D1" s="3834"/>
      <c r="E1" s="3834"/>
      <c r="F1" s="3834"/>
      <c r="G1" s="3834"/>
      <c r="H1" s="3834"/>
      <c r="I1" s="3834"/>
      <c r="J1" s="3834"/>
      <c r="K1" s="3834"/>
      <c r="L1" s="3834"/>
      <c r="M1" s="3834"/>
      <c r="N1" s="3834"/>
      <c r="O1" s="3834"/>
      <c r="P1" s="3834"/>
      <c r="Q1" s="3834"/>
      <c r="R1" s="3834"/>
      <c r="S1" s="3835"/>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2090</v>
      </c>
      <c r="B17" s="2145"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2092</v>
      </c>
      <c r="E19" s="1338"/>
      <c r="F19" s="1338"/>
      <c r="G19" s="1338"/>
      <c r="H19" s="1058"/>
      <c r="I19" s="159"/>
      <c r="J19" s="159"/>
      <c r="K19" s="159"/>
      <c r="L19" s="159"/>
      <c r="M19" s="159"/>
      <c r="N19" s="159"/>
      <c r="O19" s="159"/>
      <c r="P19" s="159"/>
      <c r="Q19" s="159"/>
      <c r="R19" s="717"/>
      <c r="S19" s="129"/>
    </row>
    <row r="20" spans="1:45" ht="16.2" thickBot="1">
      <c r="A20" s="661" t="s">
        <v>2093</v>
      </c>
      <c r="B20" s="294" t="e">
        <f ca="1">IF(D20="——",S22,S22-F20)</f>
        <v>#REF!</v>
      </c>
      <c r="C20" s="159"/>
      <c r="D20" s="2147"/>
      <c r="E20" s="1339"/>
      <c r="F20" s="982" t="e">
        <f ca="1">SUMIF(INDIRECT("'"&amp;H20&amp;"'"&amp;"!A:A"),"承租人权益价值",INDIRECT("'"&amp;H20&amp;"'"&amp;"!c:c"))</f>
        <v>#REF!</v>
      </c>
      <c r="G20" s="982" t="s">
        <v>2094</v>
      </c>
      <c r="H20" s="2148"/>
      <c r="I20" s="159"/>
      <c r="J20" s="159"/>
      <c r="K20" s="159"/>
      <c r="L20" s="159"/>
      <c r="M20" s="159"/>
      <c r="N20" s="159"/>
      <c r="O20" s="159"/>
      <c r="P20" s="159"/>
      <c r="Q20" s="159"/>
      <c r="R20" s="717"/>
      <c r="S20" s="129"/>
    </row>
    <row r="21" spans="1:45" ht="15.6">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830" t="s">
        <v>27</v>
      </c>
      <c r="D22" s="3831"/>
      <c r="E22" s="3831"/>
      <c r="F22" s="3831"/>
      <c r="G22" s="3831"/>
      <c r="H22" s="3831"/>
      <c r="I22" s="3831"/>
      <c r="J22" s="3831"/>
      <c r="K22" s="3831"/>
      <c r="L22" s="3831"/>
      <c r="M22" s="3831"/>
      <c r="N22" s="3831"/>
      <c r="O22" s="3831"/>
      <c r="P22" s="3831"/>
      <c r="Q22" s="3832"/>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3">
        <v>1</v>
      </c>
      <c r="D24" s="2804"/>
      <c r="E24" s="2803">
        <v>1</v>
      </c>
      <c r="F24" s="2804"/>
      <c r="G24" s="2803">
        <v>1</v>
      </c>
      <c r="H24" s="2804"/>
      <c r="I24" s="2803">
        <v>1</v>
      </c>
      <c r="J24" s="2804"/>
      <c r="K24" s="2803">
        <v>1</v>
      </c>
      <c r="L24" s="2804"/>
      <c r="M24" s="2803">
        <v>1</v>
      </c>
      <c r="N24" s="2804"/>
      <c r="O24" s="2803">
        <v>1</v>
      </c>
      <c r="P24" s="2804"/>
      <c r="Q24" s="2803">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2078</v>
      </c>
      <c r="B1" s="2143"/>
      <c r="C1" s="2143"/>
      <c r="D1" s="2143"/>
      <c r="E1" s="2143"/>
      <c r="F1" s="2786"/>
      <c r="G1" s="2786"/>
      <c r="H1" s="2786"/>
      <c r="I1" s="2786"/>
      <c r="J1" s="2786"/>
      <c r="K1" s="2786"/>
      <c r="L1" s="2786"/>
      <c r="M1" s="2786"/>
      <c r="N1" s="2786"/>
      <c r="O1" s="2786"/>
      <c r="P1" s="2786"/>
    </row>
    <row r="2" spans="1:16" ht="15.6">
      <c r="A2" s="2141" t="s">
        <v>2070</v>
      </c>
      <c r="B2" s="2595">
        <f ca="1">SUMIF(B6:B13,"&lt;&gt;#ref!",B6:B13)</f>
        <v>48292</v>
      </c>
      <c r="C2" s="2141" t="s">
        <v>2071</v>
      </c>
      <c r="D2" s="2141" t="s">
        <v>2072</v>
      </c>
      <c r="E2" s="2605">
        <f ca="1">SUMIF(E6:E13,"&lt;&gt;#ref!",E6:E13)</f>
        <v>43006.62</v>
      </c>
      <c r="F2" s="2786"/>
      <c r="G2" s="2786"/>
      <c r="H2" s="2786"/>
      <c r="I2" s="2786"/>
      <c r="J2" s="2786"/>
      <c r="K2" s="2786"/>
      <c r="L2" s="2786"/>
      <c r="M2" s="2786"/>
      <c r="N2" s="2786"/>
      <c r="O2" s="2786"/>
      <c r="P2" s="2786"/>
    </row>
    <row r="3" spans="1:16" ht="15.6">
      <c r="A3" s="2141" t="s">
        <v>2073</v>
      </c>
      <c r="B3" s="2595">
        <f ca="1">ROUND(B2*10000/E2,0)</f>
        <v>11229</v>
      </c>
      <c r="C3" s="2141" t="s">
        <v>2079</v>
      </c>
      <c r="D3" s="2786"/>
      <c r="E3" s="2786"/>
      <c r="F3" s="2786"/>
      <c r="G3" s="2786"/>
      <c r="H3" s="2786"/>
      <c r="I3" s="2786"/>
      <c r="J3" s="2786"/>
      <c r="K3" s="2786"/>
      <c r="L3" s="2786"/>
      <c r="M3" s="2786"/>
      <c r="N3" s="2786"/>
      <c r="O3" s="2786"/>
      <c r="P3" s="2786"/>
    </row>
    <row r="4" spans="1:16" ht="15.6">
      <c r="A4" s="2787"/>
      <c r="B4" s="2786"/>
      <c r="C4" s="2786"/>
      <c r="D4" s="2786"/>
      <c r="E4" s="2786"/>
      <c r="F4" s="2786"/>
      <c r="G4" s="2786"/>
      <c r="H4" s="2786"/>
      <c r="I4" s="2786"/>
      <c r="J4" s="2786"/>
      <c r="K4" s="2786"/>
      <c r="L4" s="2786"/>
      <c r="M4" s="2786"/>
      <c r="N4" s="2786"/>
      <c r="O4" s="2786"/>
      <c r="P4" s="2786"/>
    </row>
    <row r="5" spans="1:16" ht="31.2">
      <c r="A5" s="2601" t="s">
        <v>2074</v>
      </c>
      <c r="B5" s="2603" t="s">
        <v>2075</v>
      </c>
      <c r="C5" s="2142"/>
      <c r="D5" s="2786"/>
      <c r="E5" s="2604" t="s">
        <v>2076</v>
      </c>
      <c r="F5" s="2786"/>
      <c r="G5" s="2786"/>
      <c r="H5" s="2786"/>
      <c r="I5" s="2786"/>
      <c r="J5" s="2786"/>
      <c r="K5" s="2786"/>
      <c r="L5" s="2786"/>
      <c r="M5" s="2786"/>
      <c r="N5" s="2786"/>
      <c r="O5" s="2786"/>
      <c r="P5" s="2786"/>
    </row>
    <row r="6" spans="1:16" ht="15.6">
      <c r="A6" s="2602" t="s">
        <v>2077</v>
      </c>
      <c r="B6" s="2595">
        <f ca="1">SUMIF(INDIRECT("'"&amp;A6&amp;"'"&amp;"!A:A"),"总价",INDIRECT("'"&amp;A6&amp;"'"&amp;"!B:B"))</f>
        <v>48292</v>
      </c>
      <c r="C6" s="2141" t="s">
        <v>2071</v>
      </c>
      <c r="D6" s="2786"/>
      <c r="E6" s="2605">
        <f ca="1">SUMIF(INDIRECT("'"&amp;A6&amp;"'"&amp;"!C:C"),"建筑面积",INDIRECT("'"&amp;A6&amp;"'"&amp;"!D:D"))</f>
        <v>43006.62</v>
      </c>
      <c r="F6" s="2786"/>
      <c r="G6" s="2786"/>
      <c r="H6" s="2786"/>
      <c r="I6" s="2786"/>
      <c r="J6" s="2786"/>
      <c r="K6" s="2786"/>
      <c r="L6" s="2786"/>
      <c r="M6" s="2786"/>
      <c r="N6" s="2786"/>
      <c r="O6" s="2786"/>
      <c r="P6" s="2786"/>
    </row>
    <row r="7" spans="1:16" ht="15.6">
      <c r="A7" s="2602"/>
      <c r="B7" s="2595" t="e">
        <f ca="1">SUMIF(INDIRECT("'"&amp;A7&amp;"'"&amp;"!A:A"),"总价",INDIRECT("'"&amp;A7&amp;"'"&amp;"!B:B"))</f>
        <v>#REF!</v>
      </c>
      <c r="C7" s="2141" t="s">
        <v>2071</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6">
      <c r="A8" s="2602"/>
      <c r="B8" s="2595" t="e">
        <f t="shared" ref="B8:B13" ca="1" si="1">SUMIF(INDIRECT("'"&amp;A8&amp;"'"&amp;"!A:A"),"总价",INDIRECT("'"&amp;A8&amp;"'"&amp;"!B:B"))</f>
        <v>#REF!</v>
      </c>
      <c r="C8" s="2141" t="s">
        <v>2071</v>
      </c>
      <c r="D8" s="2786"/>
      <c r="E8" s="2605" t="e">
        <f t="shared" ca="1" si="0"/>
        <v>#REF!</v>
      </c>
      <c r="F8" s="2786"/>
      <c r="G8" s="2786"/>
      <c r="H8" s="2786"/>
      <c r="I8" s="2786"/>
      <c r="J8" s="2786"/>
      <c r="K8" s="2786"/>
      <c r="L8" s="2786"/>
      <c r="M8" s="2786"/>
      <c r="N8" s="2786"/>
      <c r="O8" s="2786"/>
      <c r="P8" s="2786"/>
    </row>
    <row r="9" spans="1:16" ht="15.6">
      <c r="A9" s="2602"/>
      <c r="B9" s="2595" t="e">
        <f t="shared" ca="1" si="1"/>
        <v>#REF!</v>
      </c>
      <c r="C9" s="2141" t="s">
        <v>2071</v>
      </c>
      <c r="D9" s="2786"/>
      <c r="E9" s="2605" t="e">
        <f t="shared" ca="1" si="0"/>
        <v>#REF!</v>
      </c>
      <c r="F9" s="2786"/>
      <c r="G9" s="2786"/>
      <c r="H9" s="2786"/>
      <c r="I9" s="2786"/>
      <c r="J9" s="2786"/>
      <c r="K9" s="2786"/>
      <c r="L9" s="2786"/>
      <c r="M9" s="2786"/>
      <c r="N9" s="2786"/>
      <c r="O9" s="2786"/>
      <c r="P9" s="2786"/>
    </row>
    <row r="10" spans="1:16" ht="15.6">
      <c r="A10" s="2602"/>
      <c r="B10" s="2595" t="e">
        <f t="shared" ca="1" si="1"/>
        <v>#REF!</v>
      </c>
      <c r="C10" s="2141" t="s">
        <v>2071</v>
      </c>
      <c r="D10" s="2786"/>
      <c r="E10" s="2605" t="e">
        <f t="shared" ca="1" si="0"/>
        <v>#REF!</v>
      </c>
      <c r="F10" s="2786"/>
      <c r="G10" s="2786"/>
      <c r="H10" s="2786"/>
      <c r="I10" s="2786"/>
      <c r="J10" s="2786"/>
      <c r="K10" s="2786"/>
      <c r="L10" s="2786"/>
      <c r="M10" s="2786"/>
      <c r="N10" s="2786"/>
      <c r="O10" s="2786"/>
      <c r="P10" s="2786"/>
    </row>
    <row r="11" spans="1:16" ht="15.6">
      <c r="A11" s="2602"/>
      <c r="B11" s="2595" t="e">
        <f t="shared" ca="1" si="1"/>
        <v>#REF!</v>
      </c>
      <c r="C11" s="2141" t="s">
        <v>2071</v>
      </c>
      <c r="D11" s="2786"/>
      <c r="E11" s="2605" t="e">
        <f t="shared" ca="1" si="0"/>
        <v>#REF!</v>
      </c>
      <c r="F11" s="2786"/>
      <c r="G11" s="2786"/>
      <c r="H11" s="2786"/>
      <c r="I11" s="2786"/>
      <c r="J11" s="2786"/>
      <c r="K11" s="2786"/>
      <c r="L11" s="2786"/>
      <c r="M11" s="2786"/>
      <c r="N11" s="2786"/>
      <c r="O11" s="2786"/>
      <c r="P11" s="2786"/>
    </row>
    <row r="12" spans="1:16" ht="15.6">
      <c r="A12" s="2602"/>
      <c r="B12" s="2595" t="e">
        <f t="shared" ca="1" si="1"/>
        <v>#REF!</v>
      </c>
      <c r="C12" s="2141" t="s">
        <v>2071</v>
      </c>
      <c r="D12" s="2786"/>
      <c r="E12" s="2605" t="e">
        <f t="shared" ca="1" si="0"/>
        <v>#REF!</v>
      </c>
      <c r="F12" s="2786"/>
      <c r="G12" s="2786"/>
      <c r="H12" s="2786"/>
      <c r="I12" s="2786"/>
      <c r="J12" s="2786"/>
      <c r="K12" s="2786"/>
      <c r="L12" s="2786"/>
      <c r="M12" s="2786"/>
      <c r="N12" s="2786"/>
      <c r="O12" s="2786"/>
      <c r="P12" s="2786"/>
    </row>
    <row r="13" spans="1:16" ht="15.6">
      <c r="A13" s="2602"/>
      <c r="B13" s="2595" t="e">
        <f t="shared" ca="1" si="1"/>
        <v>#REF!</v>
      </c>
      <c r="C13" s="2141" t="s">
        <v>2071</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7" customWidth="1"/>
    <col min="14" max="14" width="10" style="3067" customWidth="1"/>
    <col min="15" max="16" width="8.21875" style="3067"/>
    <col min="17" max="17" width="34.109375" style="3067" customWidth="1"/>
    <col min="18" max="18" width="8.21875" style="3067" customWidth="1"/>
    <col min="19" max="19" width="8.21875" style="3067"/>
    <col min="20" max="20" width="11.6640625" style="3067" customWidth="1"/>
    <col min="21" max="16384" width="8.21875" style="3067"/>
  </cols>
  <sheetData>
    <row r="1" spans="1:13" ht="19.5" customHeight="1" thickBot="1">
      <c r="A1" s="3064" t="s">
        <v>2583</v>
      </c>
      <c r="B1" s="3065" t="s">
        <v>2584</v>
      </c>
      <c r="C1" s="3065" t="s">
        <v>2585</v>
      </c>
      <c r="D1" s="3065" t="s">
        <v>2586</v>
      </c>
      <c r="E1" s="3065" t="s">
        <v>2587</v>
      </c>
      <c r="F1" s="3065" t="s">
        <v>2588</v>
      </c>
      <c r="G1" s="3065" t="s">
        <v>2589</v>
      </c>
      <c r="H1" s="3065" t="s">
        <v>2590</v>
      </c>
      <c r="I1" s="3065" t="s">
        <v>2591</v>
      </c>
      <c r="J1" s="3065" t="s">
        <v>2592</v>
      </c>
      <c r="K1" s="3065" t="s">
        <v>2593</v>
      </c>
      <c r="L1" s="3065" t="s">
        <v>2594</v>
      </c>
      <c r="M1" s="3066" t="s">
        <v>2595</v>
      </c>
    </row>
    <row r="2" spans="1:13" ht="19.5" customHeight="1">
      <c r="A2" s="3068" t="s">
        <v>2596</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2597</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2598</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2599</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2600</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2601</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2602</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2603</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2604</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2605</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2606</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2607</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2608</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2609</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2610</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2611</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2612</v>
      </c>
      <c r="B18" s="3090"/>
      <c r="C18" s="3091"/>
      <c r="D18" s="3091"/>
      <c r="E18" s="3090"/>
      <c r="F18" s="3091"/>
      <c r="G18" s="3091"/>
    </row>
    <row r="19" spans="1:13" ht="19.5" customHeight="1" thickBot="1">
      <c r="A19" s="3088" t="s">
        <v>2613</v>
      </c>
      <c r="B19" s="3093" t="s">
        <v>2614</v>
      </c>
      <c r="C19" s="3093" t="s">
        <v>2615</v>
      </c>
      <c r="D19" s="3094"/>
      <c r="E19" s="3088" t="s">
        <v>2616</v>
      </c>
      <c r="F19" s="3095"/>
      <c r="G19" s="3095"/>
    </row>
    <row r="20" spans="1:13" ht="19.5" customHeight="1">
      <c r="A20" s="3843" t="s">
        <v>2596</v>
      </c>
      <c r="B20" s="3836" t="s">
        <v>2617</v>
      </c>
      <c r="C20" s="3096" t="s">
        <v>2428</v>
      </c>
      <c r="D20" s="3097"/>
      <c r="E20" s="3098">
        <v>1</v>
      </c>
      <c r="F20" s="3099" t="s">
        <v>2429</v>
      </c>
      <c r="G20" s="3099"/>
    </row>
    <row r="21" spans="1:13" ht="19.5" customHeight="1">
      <c r="A21" s="3844"/>
      <c r="B21" s="3837"/>
      <c r="C21" s="3100" t="s">
        <v>2430</v>
      </c>
      <c r="D21" s="3101"/>
      <c r="E21" s="3102">
        <v>1</v>
      </c>
      <c r="F21" s="3099" t="s">
        <v>2431</v>
      </c>
      <c r="G21" s="3099"/>
    </row>
    <row r="22" spans="1:13" ht="19.5" customHeight="1">
      <c r="A22" s="3844"/>
      <c r="B22" s="3837"/>
      <c r="C22" s="3100" t="s">
        <v>2432</v>
      </c>
      <c r="D22" s="3101"/>
      <c r="E22" s="3102">
        <v>0.9</v>
      </c>
      <c r="F22" s="3099" t="s">
        <v>2433</v>
      </c>
      <c r="G22" s="3099"/>
    </row>
    <row r="23" spans="1:13" ht="19.5" customHeight="1">
      <c r="A23" s="3844"/>
      <c r="B23" s="3837"/>
      <c r="C23" s="3100" t="s">
        <v>2434</v>
      </c>
      <c r="D23" s="3101"/>
      <c r="E23" s="3102">
        <v>0.9</v>
      </c>
      <c r="F23" s="3099" t="s">
        <v>2435</v>
      </c>
      <c r="G23" s="3099"/>
    </row>
    <row r="24" spans="1:13" ht="19.5" customHeight="1">
      <c r="A24" s="3844"/>
      <c r="B24" s="3837"/>
      <c r="C24" s="3100" t="s">
        <v>2436</v>
      </c>
      <c r="D24" s="3101"/>
      <c r="E24" s="3102">
        <v>0.8</v>
      </c>
      <c r="F24" s="3099" t="s">
        <v>2437</v>
      </c>
      <c r="G24" s="3099"/>
    </row>
    <row r="25" spans="1:13" ht="19.5" customHeight="1" thickBot="1">
      <c r="A25" s="3845"/>
      <c r="B25" s="3838"/>
      <c r="C25" s="3103" t="s">
        <v>2438</v>
      </c>
      <c r="D25" s="3104"/>
      <c r="E25" s="3105">
        <v>0.8</v>
      </c>
      <c r="F25" s="3099" t="s">
        <v>2439</v>
      </c>
      <c r="G25" s="3099"/>
    </row>
    <row r="26" spans="1:13" ht="19.5" customHeight="1" thickBot="1">
      <c r="A26" s="3106" t="s">
        <v>2618</v>
      </c>
      <c r="B26" s="3107" t="s">
        <v>2617</v>
      </c>
      <c r="C26" s="3108" t="s">
        <v>2619</v>
      </c>
      <c r="D26" s="3109"/>
      <c r="E26" s="3110">
        <v>1</v>
      </c>
      <c r="F26" s="3099" t="s">
        <v>2440</v>
      </c>
      <c r="G26" s="3099"/>
    </row>
    <row r="27" spans="1:13" ht="19.5" customHeight="1">
      <c r="A27" s="3839" t="s">
        <v>2620</v>
      </c>
      <c r="B27" s="3836" t="s">
        <v>2601</v>
      </c>
      <c r="C27" s="3096" t="s">
        <v>2441</v>
      </c>
      <c r="D27" s="3097"/>
      <c r="E27" s="3098">
        <v>1</v>
      </c>
      <c r="F27" s="3099" t="s">
        <v>2442</v>
      </c>
      <c r="G27" s="3099"/>
    </row>
    <row r="28" spans="1:13" ht="19.5" customHeight="1">
      <c r="A28" s="3840"/>
      <c r="B28" s="3837"/>
      <c r="C28" s="3100" t="s">
        <v>2443</v>
      </c>
      <c r="D28" s="3101"/>
      <c r="E28" s="3102">
        <v>1</v>
      </c>
      <c r="F28" s="3099" t="s">
        <v>2444</v>
      </c>
      <c r="G28" s="3099"/>
    </row>
    <row r="29" spans="1:13" ht="19.5" customHeight="1">
      <c r="A29" s="3840"/>
      <c r="B29" s="3837"/>
      <c r="C29" s="3100" t="s">
        <v>2445</v>
      </c>
      <c r="D29" s="3101"/>
      <c r="E29" s="3102">
        <v>0.8</v>
      </c>
      <c r="F29" s="3099" t="s">
        <v>2446</v>
      </c>
      <c r="G29" s="3099"/>
    </row>
    <row r="30" spans="1:13" ht="19.5" customHeight="1">
      <c r="A30" s="3840"/>
      <c r="B30" s="3837"/>
      <c r="C30" s="3100" t="s">
        <v>2447</v>
      </c>
      <c r="D30" s="3101"/>
      <c r="E30" s="3102">
        <v>0.8</v>
      </c>
      <c r="F30" s="3099" t="s">
        <v>2448</v>
      </c>
      <c r="G30" s="3099"/>
    </row>
    <row r="31" spans="1:13" ht="19.5" customHeight="1">
      <c r="A31" s="3840"/>
      <c r="B31" s="3837"/>
      <c r="C31" s="3100" t="s">
        <v>2449</v>
      </c>
      <c r="D31" s="3101"/>
      <c r="E31" s="3102">
        <v>0.8</v>
      </c>
      <c r="F31" s="3099" t="s">
        <v>2450</v>
      </c>
      <c r="G31" s="3099"/>
    </row>
    <row r="32" spans="1:13" ht="19.5" customHeight="1">
      <c r="A32" s="3840"/>
      <c r="B32" s="3837"/>
      <c r="C32" s="3100" t="s">
        <v>2451</v>
      </c>
      <c r="D32" s="3101"/>
      <c r="E32" s="3102">
        <v>0.7</v>
      </c>
      <c r="F32" s="3099" t="s">
        <v>2452</v>
      </c>
      <c r="G32" s="3099"/>
    </row>
    <row r="33" spans="1:7" ht="19.5" customHeight="1">
      <c r="A33" s="3840"/>
      <c r="B33" s="3837"/>
      <c r="C33" s="3100" t="s">
        <v>2453</v>
      </c>
      <c r="D33" s="3101"/>
      <c r="E33" s="3102">
        <v>0.8</v>
      </c>
      <c r="F33" s="3099" t="s">
        <v>2454</v>
      </c>
      <c r="G33" s="3099"/>
    </row>
    <row r="34" spans="1:7" ht="19.5" customHeight="1">
      <c r="A34" s="3840"/>
      <c r="B34" s="3837"/>
      <c r="C34" s="3100" t="s">
        <v>2455</v>
      </c>
      <c r="D34" s="3101"/>
      <c r="E34" s="3102">
        <v>0.6</v>
      </c>
      <c r="F34" s="3099" t="s">
        <v>2456</v>
      </c>
      <c r="G34" s="3099"/>
    </row>
    <row r="35" spans="1:7" ht="19.5" customHeight="1">
      <c r="A35" s="3840"/>
      <c r="B35" s="3837"/>
      <c r="C35" s="3100" t="s">
        <v>2457</v>
      </c>
      <c r="D35" s="3101"/>
      <c r="E35" s="3102">
        <v>0.2</v>
      </c>
      <c r="F35" s="3099" t="s">
        <v>2458</v>
      </c>
      <c r="G35" s="3099"/>
    </row>
    <row r="36" spans="1:7" ht="19.5" customHeight="1">
      <c r="A36" s="3840"/>
      <c r="B36" s="3837"/>
      <c r="C36" s="3100" t="s">
        <v>2459</v>
      </c>
      <c r="D36" s="3101"/>
      <c r="E36" s="3102">
        <v>0.2</v>
      </c>
      <c r="F36" s="3099" t="s">
        <v>2460</v>
      </c>
      <c r="G36" s="3099"/>
    </row>
    <row r="37" spans="1:7" ht="19.5" customHeight="1">
      <c r="A37" s="3840"/>
      <c r="B37" s="3842" t="s">
        <v>2621</v>
      </c>
      <c r="C37" s="3100" t="s">
        <v>2461</v>
      </c>
      <c r="D37" s="3101"/>
      <c r="E37" s="3102">
        <v>0.6</v>
      </c>
      <c r="F37" s="3099" t="s">
        <v>2462</v>
      </c>
      <c r="G37" s="3099"/>
    </row>
    <row r="38" spans="1:7" ht="19.5" customHeight="1">
      <c r="A38" s="3840"/>
      <c r="B38" s="3837"/>
      <c r="C38" s="3100" t="s">
        <v>2463</v>
      </c>
      <c r="D38" s="3101"/>
      <c r="E38" s="3102">
        <v>0.6</v>
      </c>
      <c r="F38" s="3099" t="s">
        <v>2464</v>
      </c>
      <c r="G38" s="3099"/>
    </row>
    <row r="39" spans="1:7" ht="19.5" customHeight="1" thickBot="1">
      <c r="A39" s="3841"/>
      <c r="B39" s="3838"/>
      <c r="C39" s="3103" t="s">
        <v>2465</v>
      </c>
      <c r="D39" s="3104"/>
      <c r="E39" s="3105">
        <v>0.6</v>
      </c>
      <c r="F39" s="3099" t="s">
        <v>2466</v>
      </c>
      <c r="G39" s="3099"/>
    </row>
    <row r="40" spans="1:7" ht="19.5" customHeight="1" thickBot="1">
      <c r="A40" s="3106" t="s">
        <v>2598</v>
      </c>
      <c r="B40" s="3107" t="s">
        <v>2598</v>
      </c>
      <c r="C40" s="3108" t="s">
        <v>2622</v>
      </c>
      <c r="D40" s="3109"/>
      <c r="E40" s="3110">
        <v>1</v>
      </c>
      <c r="F40" s="3099" t="s">
        <v>2467</v>
      </c>
      <c r="G40" s="3099"/>
    </row>
    <row r="41" spans="1:7" ht="19.5" customHeight="1">
      <c r="A41" s="3843" t="s">
        <v>2599</v>
      </c>
      <c r="B41" s="3836" t="s">
        <v>2623</v>
      </c>
      <c r="C41" s="3096" t="s">
        <v>2468</v>
      </c>
      <c r="D41" s="3097"/>
      <c r="E41" s="3098">
        <v>1</v>
      </c>
      <c r="F41" s="3099" t="s">
        <v>2469</v>
      </c>
      <c r="G41" s="3099"/>
    </row>
    <row r="42" spans="1:7" ht="19.5" customHeight="1">
      <c r="A42" s="3844"/>
      <c r="B42" s="3837"/>
      <c r="C42" s="3100" t="s">
        <v>2470</v>
      </c>
      <c r="D42" s="3101"/>
      <c r="E42" s="3102">
        <v>1</v>
      </c>
      <c r="F42" s="3099" t="s">
        <v>2471</v>
      </c>
      <c r="G42" s="3099"/>
    </row>
    <row r="43" spans="1:7" ht="19.5" customHeight="1">
      <c r="A43" s="3844"/>
      <c r="B43" s="3846"/>
      <c r="C43" s="3100" t="s">
        <v>2472</v>
      </c>
      <c r="D43" s="3101"/>
      <c r="E43" s="3102">
        <v>1.5</v>
      </c>
      <c r="F43" s="3099" t="s">
        <v>2473</v>
      </c>
      <c r="G43" s="3099"/>
    </row>
    <row r="44" spans="1:7" ht="19.5" customHeight="1">
      <c r="A44" s="3844"/>
      <c r="B44" s="3111" t="s">
        <v>2624</v>
      </c>
      <c r="C44" s="3100" t="s">
        <v>2625</v>
      </c>
      <c r="D44" s="3101"/>
      <c r="E44" s="3102">
        <v>2</v>
      </c>
      <c r="F44" s="3099" t="s">
        <v>2474</v>
      </c>
      <c r="G44" s="3099"/>
    </row>
    <row r="45" spans="1:7" ht="19.5" customHeight="1">
      <c r="A45" s="3844"/>
      <c r="B45" s="3842" t="s">
        <v>2626</v>
      </c>
      <c r="C45" s="3100" t="s">
        <v>2475</v>
      </c>
      <c r="D45" s="3101"/>
      <c r="E45" s="3102">
        <v>1</v>
      </c>
      <c r="F45" s="3099" t="s">
        <v>2476</v>
      </c>
      <c r="G45" s="3099"/>
    </row>
    <row r="46" spans="1:7" ht="19.5" customHeight="1">
      <c r="A46" s="3844"/>
      <c r="B46" s="3837"/>
      <c r="C46" s="3100" t="s">
        <v>2477</v>
      </c>
      <c r="D46" s="3101"/>
      <c r="E46" s="3102">
        <v>1</v>
      </c>
      <c r="F46" s="3099" t="s">
        <v>2478</v>
      </c>
      <c r="G46" s="3099"/>
    </row>
    <row r="47" spans="1:7" ht="19.5" customHeight="1">
      <c r="A47" s="3844"/>
      <c r="B47" s="3837"/>
      <c r="C47" s="3100" t="s">
        <v>2479</v>
      </c>
      <c r="D47" s="3101"/>
      <c r="E47" s="3102">
        <v>1</v>
      </c>
      <c r="F47" s="3099" t="s">
        <v>2480</v>
      </c>
      <c r="G47" s="3099"/>
    </row>
    <row r="48" spans="1:7" ht="19.5" customHeight="1">
      <c r="A48" s="3844"/>
      <c r="B48" s="3837"/>
      <c r="C48" s="3100" t="s">
        <v>2481</v>
      </c>
      <c r="D48" s="3101"/>
      <c r="E48" s="3102">
        <v>1</v>
      </c>
      <c r="F48" s="3099" t="s">
        <v>2482</v>
      </c>
      <c r="G48" s="3099"/>
    </row>
    <row r="49" spans="1:7" ht="19.5" customHeight="1">
      <c r="A49" s="3844"/>
      <c r="B49" s="3837"/>
      <c r="C49" s="3100" t="s">
        <v>2483</v>
      </c>
      <c r="D49" s="3101"/>
      <c r="E49" s="3102">
        <v>1</v>
      </c>
      <c r="F49" s="3099" t="s">
        <v>2484</v>
      </c>
      <c r="G49" s="3099"/>
    </row>
    <row r="50" spans="1:7" ht="19.5" customHeight="1">
      <c r="A50" s="3844"/>
      <c r="B50" s="3837"/>
      <c r="C50" s="3100" t="s">
        <v>2485</v>
      </c>
      <c r="D50" s="3101"/>
      <c r="E50" s="3102">
        <v>1</v>
      </c>
      <c r="F50" s="3099" t="s">
        <v>2486</v>
      </c>
      <c r="G50" s="3099"/>
    </row>
    <row r="51" spans="1:7" ht="19.5" customHeight="1" thickBot="1">
      <c r="A51" s="3845"/>
      <c r="B51" s="3838"/>
      <c r="C51" s="3103" t="s">
        <v>2487</v>
      </c>
      <c r="D51" s="3104"/>
      <c r="E51" s="3105">
        <v>1</v>
      </c>
      <c r="F51" s="3099" t="s">
        <v>2488</v>
      </c>
      <c r="G51" s="3099"/>
    </row>
    <row r="52" spans="1:7" ht="19.5" customHeight="1">
      <c r="A52" s="3112"/>
      <c r="B52" s="3112"/>
      <c r="C52" s="3112"/>
      <c r="D52" s="3112"/>
      <c r="E52" s="3112"/>
      <c r="F52" s="3112"/>
      <c r="G52" s="3112"/>
    </row>
    <row r="54" spans="1:7" ht="19.5" customHeight="1">
      <c r="A54" s="3113"/>
      <c r="B54" s="3085" t="s">
        <v>2627</v>
      </c>
      <c r="C54" s="3085" t="s">
        <v>2627</v>
      </c>
      <c r="D54" s="3085" t="s">
        <v>2627</v>
      </c>
      <c r="E54" s="3088" t="s">
        <v>2627</v>
      </c>
      <c r="F54" s="3088" t="s">
        <v>2628</v>
      </c>
      <c r="G54" s="3088" t="s">
        <v>2629</v>
      </c>
    </row>
    <row r="55" spans="1:7" ht="19.5" customHeight="1">
      <c r="A55" s="3114"/>
      <c r="B55" s="3088" t="s">
        <v>2596</v>
      </c>
      <c r="C55" s="3088" t="s">
        <v>2596</v>
      </c>
      <c r="D55" s="3088" t="s">
        <v>2596</v>
      </c>
      <c r="E55" s="3085" t="s">
        <v>2597</v>
      </c>
      <c r="F55" s="3085" t="s">
        <v>2599</v>
      </c>
      <c r="G55" s="3085" t="s">
        <v>2630</v>
      </c>
    </row>
    <row r="56" spans="1:7" ht="19.5" customHeight="1">
      <c r="A56" s="3115"/>
      <c r="B56" s="3085">
        <v>1</v>
      </c>
      <c r="C56" s="3085">
        <v>2</v>
      </c>
      <c r="D56" s="3085">
        <v>3</v>
      </c>
      <c r="E56" s="3116" t="s">
        <v>2631</v>
      </c>
      <c r="F56" s="3116" t="s">
        <v>2631</v>
      </c>
      <c r="G56" s="3116" t="s">
        <v>2631</v>
      </c>
    </row>
    <row r="57" spans="1:7" ht="19.5" customHeight="1">
      <c r="A57" s="3117" t="s">
        <v>2584</v>
      </c>
      <c r="B57" s="3085">
        <v>0.7</v>
      </c>
      <c r="C57" s="3085">
        <v>0.4</v>
      </c>
      <c r="D57" s="3085">
        <v>0.3</v>
      </c>
      <c r="E57" s="3116">
        <v>0.3</v>
      </c>
      <c r="F57" s="3085">
        <v>0.3</v>
      </c>
      <c r="G57" s="3085">
        <v>0.2</v>
      </c>
    </row>
    <row r="58" spans="1:7" ht="19.5" customHeight="1">
      <c r="A58" s="3117" t="s">
        <v>2585</v>
      </c>
      <c r="B58" s="3085">
        <v>0.7</v>
      </c>
      <c r="C58" s="3085">
        <v>0.4</v>
      </c>
      <c r="D58" s="3085">
        <v>0.3</v>
      </c>
      <c r="E58" s="3085">
        <v>0.3</v>
      </c>
      <c r="F58" s="3085">
        <v>0.3</v>
      </c>
      <c r="G58" s="3085">
        <v>0.2</v>
      </c>
    </row>
    <row r="59" spans="1:7" ht="19.5" customHeight="1">
      <c r="A59" s="3117" t="s">
        <v>2586</v>
      </c>
      <c r="B59" s="3085">
        <v>0.6</v>
      </c>
      <c r="C59" s="3085">
        <v>0.3</v>
      </c>
      <c r="D59" s="3085">
        <v>0.25</v>
      </c>
      <c r="E59" s="3085">
        <v>0.25</v>
      </c>
      <c r="F59" s="3085">
        <v>0.25</v>
      </c>
      <c r="G59" s="3085">
        <v>0.15</v>
      </c>
    </row>
    <row r="60" spans="1:7" ht="19.5" customHeight="1">
      <c r="A60" s="3117" t="s">
        <v>2587</v>
      </c>
      <c r="B60" s="3085">
        <v>0.6</v>
      </c>
      <c r="C60" s="3085">
        <v>0.3</v>
      </c>
      <c r="D60" s="3085">
        <v>0.25</v>
      </c>
      <c r="E60" s="3085">
        <v>0.25</v>
      </c>
      <c r="F60" s="3085">
        <v>0.25</v>
      </c>
      <c r="G60" s="3085">
        <v>0.15</v>
      </c>
    </row>
    <row r="61" spans="1:7" ht="19.5" customHeight="1">
      <c r="A61" s="3117" t="s">
        <v>2588</v>
      </c>
      <c r="B61" s="3085">
        <v>0.6</v>
      </c>
      <c r="C61" s="3085">
        <v>0.3</v>
      </c>
      <c r="D61" s="3085">
        <v>0.25</v>
      </c>
      <c r="E61" s="3085">
        <v>0.25</v>
      </c>
      <c r="F61" s="3085">
        <v>0.25</v>
      </c>
      <c r="G61" s="3085">
        <v>0.15</v>
      </c>
    </row>
    <row r="62" spans="1:7" ht="19.5" customHeight="1">
      <c r="A62" s="3117" t="s">
        <v>2589</v>
      </c>
      <c r="B62" s="3085">
        <v>0.6</v>
      </c>
      <c r="C62" s="3085">
        <v>0.3</v>
      </c>
      <c r="D62" s="3085">
        <v>0.25</v>
      </c>
      <c r="E62" s="3085">
        <v>0.25</v>
      </c>
      <c r="F62" s="3085">
        <v>0.25</v>
      </c>
      <c r="G62" s="3085">
        <v>0.15</v>
      </c>
    </row>
    <row r="63" spans="1:7" ht="19.5" customHeight="1">
      <c r="A63" s="3117" t="s">
        <v>2590</v>
      </c>
      <c r="B63" s="3085">
        <v>0.6</v>
      </c>
      <c r="C63" s="3085">
        <v>0.3</v>
      </c>
      <c r="D63" s="3085">
        <v>0.25</v>
      </c>
      <c r="E63" s="3085">
        <v>0.25</v>
      </c>
      <c r="F63" s="3085">
        <v>0.25</v>
      </c>
      <c r="G63" s="3085">
        <v>0.15</v>
      </c>
    </row>
    <row r="64" spans="1:7" ht="19.5" customHeight="1">
      <c r="A64" s="3117" t="s">
        <v>2591</v>
      </c>
      <c r="B64" s="3085">
        <v>0.5</v>
      </c>
      <c r="C64" s="3085">
        <v>0.2</v>
      </c>
      <c r="D64" s="3085">
        <v>0.2</v>
      </c>
      <c r="E64" s="3085">
        <v>0.2</v>
      </c>
      <c r="F64" s="3085">
        <v>0.2</v>
      </c>
      <c r="G64" s="3085">
        <v>0.1</v>
      </c>
    </row>
    <row r="65" spans="1:7" ht="19.5" customHeight="1">
      <c r="A65" s="3117" t="s">
        <v>2592</v>
      </c>
      <c r="B65" s="3085">
        <v>0.5</v>
      </c>
      <c r="C65" s="3085">
        <v>0.2</v>
      </c>
      <c r="D65" s="3085">
        <v>0.2</v>
      </c>
      <c r="E65" s="3085">
        <v>0.2</v>
      </c>
      <c r="F65" s="3085">
        <v>0.2</v>
      </c>
      <c r="G65" s="3085">
        <v>0.1</v>
      </c>
    </row>
    <row r="66" spans="1:7" ht="19.5" customHeight="1">
      <c r="A66" s="3117" t="s">
        <v>2593</v>
      </c>
      <c r="B66" s="3085">
        <v>0.5</v>
      </c>
      <c r="C66" s="3085">
        <v>0.2</v>
      </c>
      <c r="D66" s="3085">
        <v>0.2</v>
      </c>
      <c r="E66" s="3085">
        <v>0.2</v>
      </c>
      <c r="F66" s="3085">
        <v>0.2</v>
      </c>
      <c r="G66" s="3085">
        <v>0.1</v>
      </c>
    </row>
    <row r="67" spans="1:7" ht="19.5" customHeight="1">
      <c r="A67" s="3117" t="s">
        <v>2594</v>
      </c>
      <c r="B67" s="3085">
        <v>0.5</v>
      </c>
      <c r="C67" s="3085">
        <v>0.2</v>
      </c>
      <c r="D67" s="3085">
        <v>0.2</v>
      </c>
      <c r="E67" s="3085">
        <v>0.2</v>
      </c>
      <c r="F67" s="3085">
        <v>0.2</v>
      </c>
      <c r="G67" s="3085">
        <v>0.1</v>
      </c>
    </row>
    <row r="68" spans="1:7" ht="19.5" customHeight="1">
      <c r="A68" s="3117" t="s">
        <v>2595</v>
      </c>
      <c r="B68" s="3085">
        <v>0.5</v>
      </c>
      <c r="C68" s="3085">
        <v>0.2</v>
      </c>
      <c r="D68" s="3085">
        <v>0.2</v>
      </c>
      <c r="E68" s="3085">
        <v>0.2</v>
      </c>
      <c r="F68" s="3085">
        <v>0.2</v>
      </c>
      <c r="G68" s="3085">
        <v>0.1</v>
      </c>
    </row>
    <row r="70" spans="1:7" ht="19.5" customHeight="1">
      <c r="A70" s="3118"/>
      <c r="B70" s="3119"/>
      <c r="C70" s="3119"/>
      <c r="D70" s="3119" t="s">
        <v>2632</v>
      </c>
      <c r="E70" s="3119"/>
      <c r="F70" s="3119"/>
    </row>
    <row r="71" spans="1:7" ht="19.5" customHeight="1">
      <c r="A71" s="3111" t="s">
        <v>2633</v>
      </c>
      <c r="B71" s="3111" t="s">
        <v>2634</v>
      </c>
      <c r="C71" s="3111" t="s">
        <v>2635</v>
      </c>
      <c r="D71" s="3111" t="s">
        <v>2636</v>
      </c>
      <c r="E71" s="3111" t="s">
        <v>2637</v>
      </c>
      <c r="F71" s="3111" t="s">
        <v>2638</v>
      </c>
    </row>
    <row r="72" spans="1:7" ht="14.4">
      <c r="A72" s="3111"/>
      <c r="B72" s="3111"/>
      <c r="C72" s="3111" t="s">
        <v>2639</v>
      </c>
      <c r="D72" s="3111"/>
      <c r="E72" s="3111" t="s">
        <v>2610</v>
      </c>
      <c r="F72" s="3111" t="s">
        <v>2610</v>
      </c>
    </row>
    <row r="73" spans="1:7" ht="14.4">
      <c r="A73" s="3111">
        <v>1</v>
      </c>
      <c r="B73" s="3842" t="s">
        <v>2640</v>
      </c>
      <c r="C73" s="3085" t="s">
        <v>2641</v>
      </c>
      <c r="D73" s="3085" t="s">
        <v>2642</v>
      </c>
      <c r="E73" s="3111">
        <v>0.2</v>
      </c>
      <c r="F73" s="3111">
        <v>25</v>
      </c>
    </row>
    <row r="74" spans="1:7" ht="24">
      <c r="A74" s="3111">
        <v>2</v>
      </c>
      <c r="B74" s="3837"/>
      <c r="C74" s="3085" t="s">
        <v>2643</v>
      </c>
      <c r="D74" s="3085" t="s">
        <v>2644</v>
      </c>
      <c r="E74" s="3111">
        <v>0.2</v>
      </c>
      <c r="F74" s="3111">
        <v>25</v>
      </c>
    </row>
    <row r="75" spans="1:7" ht="24">
      <c r="A75" s="3111">
        <v>3</v>
      </c>
      <c r="B75" s="3837"/>
      <c r="C75" s="3085" t="s">
        <v>2645</v>
      </c>
      <c r="D75" s="3085" t="s">
        <v>2646</v>
      </c>
      <c r="E75" s="3111">
        <v>0.2</v>
      </c>
      <c r="F75" s="3111">
        <v>25</v>
      </c>
    </row>
    <row r="76" spans="1:7" ht="14.4">
      <c r="A76" s="3111">
        <v>4</v>
      </c>
      <c r="B76" s="3837"/>
      <c r="C76" s="3085" t="s">
        <v>2647</v>
      </c>
      <c r="D76" s="3085" t="s">
        <v>2648</v>
      </c>
      <c r="E76" s="3111">
        <v>0.15</v>
      </c>
      <c r="F76" s="3111">
        <v>20</v>
      </c>
    </row>
    <row r="77" spans="1:7" ht="24">
      <c r="A77" s="3111">
        <v>5</v>
      </c>
      <c r="B77" s="3837"/>
      <c r="C77" s="3085" t="s">
        <v>2649</v>
      </c>
      <c r="D77" s="3085" t="s">
        <v>2650</v>
      </c>
      <c r="E77" s="3111">
        <v>0.15</v>
      </c>
      <c r="F77" s="3111">
        <v>20</v>
      </c>
    </row>
    <row r="78" spans="1:7" ht="24">
      <c r="A78" s="3111">
        <v>6</v>
      </c>
      <c r="B78" s="3837"/>
      <c r="C78" s="3085" t="s">
        <v>2651</v>
      </c>
      <c r="D78" s="3085" t="s">
        <v>2652</v>
      </c>
      <c r="E78" s="3111">
        <v>0.15</v>
      </c>
      <c r="F78" s="3111">
        <v>20</v>
      </c>
    </row>
    <row r="79" spans="1:7" ht="24">
      <c r="A79" s="3111">
        <v>7</v>
      </c>
      <c r="B79" s="3837"/>
      <c r="C79" s="3085" t="s">
        <v>2653</v>
      </c>
      <c r="D79" s="3085" t="s">
        <v>2654</v>
      </c>
      <c r="E79" s="3111">
        <v>0.15</v>
      </c>
      <c r="F79" s="3111">
        <v>20</v>
      </c>
    </row>
    <row r="80" spans="1:7" ht="24">
      <c r="A80" s="3111">
        <v>8</v>
      </c>
      <c r="B80" s="3837"/>
      <c r="C80" s="3085" t="s">
        <v>2655</v>
      </c>
      <c r="D80" s="3085" t="s">
        <v>2656</v>
      </c>
      <c r="E80" s="3111">
        <v>0.1</v>
      </c>
      <c r="F80" s="3111">
        <v>15</v>
      </c>
    </row>
    <row r="81" spans="1:6" ht="24">
      <c r="A81" s="3111">
        <v>9</v>
      </c>
      <c r="B81" s="3837"/>
      <c r="C81" s="3085" t="s">
        <v>2657</v>
      </c>
      <c r="D81" s="3085" t="s">
        <v>2658</v>
      </c>
      <c r="E81" s="3111">
        <v>0.1</v>
      </c>
      <c r="F81" s="3111">
        <v>15</v>
      </c>
    </row>
    <row r="82" spans="1:6" ht="24">
      <c r="A82" s="3111">
        <v>10</v>
      </c>
      <c r="B82" s="3837"/>
      <c r="C82" s="3085" t="s">
        <v>2659</v>
      </c>
      <c r="D82" s="3085" t="s">
        <v>2660</v>
      </c>
      <c r="E82" s="3111">
        <v>0.1</v>
      </c>
      <c r="F82" s="3111">
        <v>15</v>
      </c>
    </row>
    <row r="83" spans="1:6" ht="24">
      <c r="A83" s="3111">
        <v>11</v>
      </c>
      <c r="B83" s="3837"/>
      <c r="C83" s="3085" t="s">
        <v>2661</v>
      </c>
      <c r="D83" s="3085" t="s">
        <v>2662</v>
      </c>
      <c r="E83" s="3111">
        <v>0.1</v>
      </c>
      <c r="F83" s="3111">
        <v>15</v>
      </c>
    </row>
    <row r="84" spans="1:6" ht="24">
      <c r="A84" s="3111">
        <v>12</v>
      </c>
      <c r="B84" s="3837"/>
      <c r="C84" s="3085" t="s">
        <v>2663</v>
      </c>
      <c r="D84" s="3085" t="s">
        <v>2664</v>
      </c>
      <c r="E84" s="3111">
        <v>0.1</v>
      </c>
      <c r="F84" s="3111">
        <v>15</v>
      </c>
    </row>
    <row r="85" spans="1:6" ht="24">
      <c r="A85" s="3111">
        <v>13</v>
      </c>
      <c r="B85" s="3837"/>
      <c r="C85" s="3085" t="s">
        <v>2665</v>
      </c>
      <c r="D85" s="3085" t="s">
        <v>2666</v>
      </c>
      <c r="E85" s="3111">
        <v>0.1</v>
      </c>
      <c r="F85" s="3111">
        <v>15</v>
      </c>
    </row>
    <row r="86" spans="1:6" ht="24">
      <c r="A86" s="3111">
        <v>14</v>
      </c>
      <c r="B86" s="3837"/>
      <c r="C86" s="3085" t="s">
        <v>2667</v>
      </c>
      <c r="D86" s="3085" t="s">
        <v>2668</v>
      </c>
      <c r="E86" s="3111">
        <v>0.1</v>
      </c>
      <c r="F86" s="3111">
        <v>15</v>
      </c>
    </row>
    <row r="87" spans="1:6" ht="24">
      <c r="A87" s="3111">
        <v>15</v>
      </c>
      <c r="B87" s="3837"/>
      <c r="C87" s="3085" t="s">
        <v>2669</v>
      </c>
      <c r="D87" s="3085" t="s">
        <v>2670</v>
      </c>
      <c r="E87" s="3111">
        <v>0.1</v>
      </c>
      <c r="F87" s="3111">
        <v>15</v>
      </c>
    </row>
    <row r="88" spans="1:6" ht="24">
      <c r="A88" s="3111">
        <v>16</v>
      </c>
      <c r="B88" s="3837"/>
      <c r="C88" s="3085" t="s">
        <v>2671</v>
      </c>
      <c r="D88" s="3085" t="s">
        <v>2672</v>
      </c>
      <c r="E88" s="3111">
        <v>0.1</v>
      </c>
      <c r="F88" s="3111">
        <v>15</v>
      </c>
    </row>
    <row r="89" spans="1:6" ht="24">
      <c r="A89" s="3111">
        <v>17</v>
      </c>
      <c r="B89" s="3846"/>
      <c r="C89" s="3085" t="s">
        <v>2673</v>
      </c>
      <c r="D89" s="3085" t="s">
        <v>2674</v>
      </c>
      <c r="E89" s="3111">
        <v>0.1</v>
      </c>
      <c r="F89" s="3111">
        <v>15</v>
      </c>
    </row>
    <row r="90" spans="1:6" ht="14.4">
      <c r="A90" s="3111">
        <v>18</v>
      </c>
      <c r="B90" s="3842" t="s">
        <v>2675</v>
      </c>
      <c r="C90" s="3085" t="s">
        <v>2676</v>
      </c>
      <c r="D90" s="3085" t="s">
        <v>2677</v>
      </c>
      <c r="E90" s="3111">
        <v>0.2</v>
      </c>
      <c r="F90" s="3111">
        <v>25</v>
      </c>
    </row>
    <row r="91" spans="1:6" ht="24">
      <c r="A91" s="3111">
        <v>19</v>
      </c>
      <c r="B91" s="3837"/>
      <c r="C91" s="3085" t="s">
        <v>2678</v>
      </c>
      <c r="D91" s="3085" t="s">
        <v>2679</v>
      </c>
      <c r="E91" s="3111">
        <v>0.2</v>
      </c>
      <c r="F91" s="3111">
        <v>25</v>
      </c>
    </row>
    <row r="92" spans="1:6" ht="14.4">
      <c r="A92" s="3111">
        <v>20</v>
      </c>
      <c r="B92" s="3837"/>
      <c r="C92" s="3085" t="s">
        <v>2680</v>
      </c>
      <c r="D92" s="3085" t="s">
        <v>2681</v>
      </c>
      <c r="E92" s="3111">
        <v>0.15</v>
      </c>
      <c r="F92" s="3111">
        <v>20</v>
      </c>
    </row>
    <row r="93" spans="1:6" ht="24">
      <c r="A93" s="3111">
        <v>21</v>
      </c>
      <c r="B93" s="3837"/>
      <c r="C93" s="3085" t="s">
        <v>2682</v>
      </c>
      <c r="D93" s="3085" t="s">
        <v>2683</v>
      </c>
      <c r="E93" s="3111">
        <v>0.15</v>
      </c>
      <c r="F93" s="3111">
        <v>20</v>
      </c>
    </row>
    <row r="94" spans="1:6" ht="24">
      <c r="A94" s="3111">
        <v>22</v>
      </c>
      <c r="B94" s="3837"/>
      <c r="C94" s="3085" t="s">
        <v>2684</v>
      </c>
      <c r="D94" s="3085" t="s">
        <v>2685</v>
      </c>
      <c r="E94" s="3111">
        <v>0.15</v>
      </c>
      <c r="F94" s="3111">
        <v>20</v>
      </c>
    </row>
    <row r="95" spans="1:6" ht="36">
      <c r="A95" s="3111">
        <v>23</v>
      </c>
      <c r="B95" s="3837"/>
      <c r="C95" s="3085" t="s">
        <v>2686</v>
      </c>
      <c r="D95" s="3085" t="s">
        <v>2687</v>
      </c>
      <c r="E95" s="3111">
        <v>0.15</v>
      </c>
      <c r="F95" s="3111">
        <v>20</v>
      </c>
    </row>
    <row r="96" spans="1:6" ht="24">
      <c r="A96" s="3111">
        <v>24</v>
      </c>
      <c r="B96" s="3837"/>
      <c r="C96" s="3085" t="s">
        <v>2688</v>
      </c>
      <c r="D96" s="3085" t="s">
        <v>2689</v>
      </c>
      <c r="E96" s="3111">
        <v>0.1</v>
      </c>
      <c r="F96" s="3111">
        <v>15</v>
      </c>
    </row>
    <row r="97" spans="1:6" ht="24">
      <c r="A97" s="3111">
        <v>25</v>
      </c>
      <c r="B97" s="3837"/>
      <c r="C97" s="3085" t="s">
        <v>2690</v>
      </c>
      <c r="D97" s="3085" t="s">
        <v>2691</v>
      </c>
      <c r="E97" s="3111">
        <v>0.1</v>
      </c>
      <c r="F97" s="3111">
        <v>15</v>
      </c>
    </row>
    <row r="98" spans="1:6" ht="24">
      <c r="A98" s="3111">
        <v>26</v>
      </c>
      <c r="B98" s="3837"/>
      <c r="C98" s="3085" t="s">
        <v>2692</v>
      </c>
      <c r="D98" s="3085" t="s">
        <v>2693</v>
      </c>
      <c r="E98" s="3111">
        <v>0.1</v>
      </c>
      <c r="F98" s="3111">
        <v>15</v>
      </c>
    </row>
    <row r="99" spans="1:6" ht="24">
      <c r="A99" s="3111">
        <v>27</v>
      </c>
      <c r="B99" s="3837"/>
      <c r="C99" s="3085" t="s">
        <v>2694</v>
      </c>
      <c r="D99" s="3085" t="s">
        <v>2695</v>
      </c>
      <c r="E99" s="3111">
        <v>0.1</v>
      </c>
      <c r="F99" s="3111">
        <v>15</v>
      </c>
    </row>
    <row r="100" spans="1:6" ht="24">
      <c r="A100" s="3111">
        <v>28</v>
      </c>
      <c r="B100" s="3837"/>
      <c r="C100" s="3085" t="s">
        <v>2696</v>
      </c>
      <c r="D100" s="3085" t="s">
        <v>2697</v>
      </c>
      <c r="E100" s="3111">
        <v>0.1</v>
      </c>
      <c r="F100" s="3111">
        <v>15</v>
      </c>
    </row>
    <row r="101" spans="1:6" ht="24">
      <c r="A101" s="3111">
        <v>29</v>
      </c>
      <c r="B101" s="3837"/>
      <c r="C101" s="3085" t="s">
        <v>2698</v>
      </c>
      <c r="D101" s="3085" t="s">
        <v>2699</v>
      </c>
      <c r="E101" s="3111">
        <v>0.1</v>
      </c>
      <c r="F101" s="3111">
        <v>15</v>
      </c>
    </row>
    <row r="102" spans="1:6" ht="24">
      <c r="A102" s="3111">
        <v>30</v>
      </c>
      <c r="B102" s="3837"/>
      <c r="C102" s="3085" t="s">
        <v>2700</v>
      </c>
      <c r="D102" s="3085" t="s">
        <v>2701</v>
      </c>
      <c r="E102" s="3111">
        <v>0.1</v>
      </c>
      <c r="F102" s="3111">
        <v>15</v>
      </c>
    </row>
    <row r="103" spans="1:6" ht="24">
      <c r="A103" s="3111">
        <v>31</v>
      </c>
      <c r="B103" s="3837"/>
      <c r="C103" s="3085" t="s">
        <v>2702</v>
      </c>
      <c r="D103" s="3085" t="s">
        <v>2703</v>
      </c>
      <c r="E103" s="3111">
        <v>0.1</v>
      </c>
      <c r="F103" s="3111">
        <v>15</v>
      </c>
    </row>
    <row r="104" spans="1:6" ht="24">
      <c r="A104" s="3111">
        <v>32</v>
      </c>
      <c r="B104" s="3837"/>
      <c r="C104" s="3085" t="s">
        <v>2704</v>
      </c>
      <c r="D104" s="3085" t="s">
        <v>2705</v>
      </c>
      <c r="E104" s="3111">
        <v>0.1</v>
      </c>
      <c r="F104" s="3111">
        <v>15</v>
      </c>
    </row>
    <row r="105" spans="1:6" ht="24">
      <c r="A105" s="3111">
        <v>33</v>
      </c>
      <c r="B105" s="3837"/>
      <c r="C105" s="3085" t="s">
        <v>2706</v>
      </c>
      <c r="D105" s="3085" t="s">
        <v>2707</v>
      </c>
      <c r="E105" s="3111">
        <v>0.1</v>
      </c>
      <c r="F105" s="3111">
        <v>15</v>
      </c>
    </row>
    <row r="106" spans="1:6" ht="24">
      <c r="A106" s="3111">
        <v>34</v>
      </c>
      <c r="B106" s="3846"/>
      <c r="C106" s="3085" t="s">
        <v>2708</v>
      </c>
      <c r="D106" s="3085" t="s">
        <v>2709</v>
      </c>
      <c r="E106" s="3111">
        <v>0.1</v>
      </c>
      <c r="F106" s="3111">
        <v>15</v>
      </c>
    </row>
    <row r="107" spans="1:6" ht="36">
      <c r="A107" s="3111">
        <v>35</v>
      </c>
      <c r="B107" s="3842" t="s">
        <v>2710</v>
      </c>
      <c r="C107" s="3111" t="s">
        <v>2711</v>
      </c>
      <c r="D107" s="3085" t="s">
        <v>2712</v>
      </c>
      <c r="E107" s="3111">
        <v>0.15</v>
      </c>
      <c r="F107" s="3111">
        <v>20</v>
      </c>
    </row>
    <row r="108" spans="1:6" ht="24">
      <c r="A108" s="3111">
        <v>36</v>
      </c>
      <c r="B108" s="3837"/>
      <c r="C108" s="3111" t="s">
        <v>2713</v>
      </c>
      <c r="D108" s="3085" t="s">
        <v>2714</v>
      </c>
      <c r="E108" s="3111">
        <v>0.15</v>
      </c>
      <c r="F108" s="3111">
        <v>20</v>
      </c>
    </row>
    <row r="109" spans="1:6" ht="24">
      <c r="A109" s="3111">
        <v>37</v>
      </c>
      <c r="B109" s="3837"/>
      <c r="C109" s="3111" t="s">
        <v>2715</v>
      </c>
      <c r="D109" s="3085" t="s">
        <v>2716</v>
      </c>
      <c r="E109" s="3111">
        <v>0.15</v>
      </c>
      <c r="F109" s="3111">
        <v>20</v>
      </c>
    </row>
    <row r="110" spans="1:6" ht="24">
      <c r="A110" s="3111">
        <v>38</v>
      </c>
      <c r="B110" s="3837"/>
      <c r="C110" s="3111" t="s">
        <v>2717</v>
      </c>
      <c r="D110" s="3085" t="s">
        <v>2718</v>
      </c>
      <c r="E110" s="3111">
        <v>0.1</v>
      </c>
      <c r="F110" s="3111">
        <v>15</v>
      </c>
    </row>
    <row r="111" spans="1:6" ht="24">
      <c r="A111" s="3111">
        <v>39</v>
      </c>
      <c r="B111" s="3837"/>
      <c r="C111" s="3111" t="s">
        <v>2719</v>
      </c>
      <c r="D111" s="3085" t="s">
        <v>2720</v>
      </c>
      <c r="E111" s="3111">
        <v>0.1</v>
      </c>
      <c r="F111" s="3111">
        <v>15</v>
      </c>
    </row>
    <row r="112" spans="1:6" ht="24">
      <c r="A112" s="3111">
        <v>40</v>
      </c>
      <c r="B112" s="3846"/>
      <c r="C112" s="3111" t="s">
        <v>2721</v>
      </c>
      <c r="D112" s="3085" t="s">
        <v>2722</v>
      </c>
      <c r="E112" s="3111">
        <v>0.1</v>
      </c>
      <c r="F112" s="3111">
        <v>15</v>
      </c>
    </row>
    <row r="113" spans="1:6" ht="24">
      <c r="A113" s="3111">
        <v>41</v>
      </c>
      <c r="B113" s="3847" t="s">
        <v>2723</v>
      </c>
      <c r="C113" s="3111" t="s">
        <v>2724</v>
      </c>
      <c r="D113" s="3085" t="s">
        <v>2725</v>
      </c>
      <c r="E113" s="3111">
        <v>0.1</v>
      </c>
      <c r="F113" s="3111">
        <v>15</v>
      </c>
    </row>
    <row r="114" spans="1:6" ht="24">
      <c r="A114" s="3111">
        <v>42</v>
      </c>
      <c r="B114" s="3847"/>
      <c r="C114" s="3111" t="s">
        <v>2726</v>
      </c>
      <c r="D114" s="3085" t="s">
        <v>2727</v>
      </c>
      <c r="E114" s="3111">
        <v>0.1</v>
      </c>
      <c r="F114" s="3111">
        <v>15</v>
      </c>
    </row>
    <row r="115" spans="1:6" ht="24">
      <c r="A115" s="3111">
        <v>43</v>
      </c>
      <c r="B115" s="3847"/>
      <c r="C115" s="3111" t="s">
        <v>2728</v>
      </c>
      <c r="D115" s="3085" t="s">
        <v>2729</v>
      </c>
      <c r="E115" s="3111">
        <v>0.1</v>
      </c>
      <c r="F115" s="3111">
        <v>15</v>
      </c>
    </row>
    <row r="116" spans="1:6" ht="24">
      <c r="A116" s="3111">
        <v>44</v>
      </c>
      <c r="B116" s="3842" t="s">
        <v>2730</v>
      </c>
      <c r="C116" s="3111" t="s">
        <v>2731</v>
      </c>
      <c r="D116" s="3085" t="s">
        <v>2732</v>
      </c>
      <c r="E116" s="3111">
        <v>0.1</v>
      </c>
      <c r="F116" s="3111">
        <v>15</v>
      </c>
    </row>
    <row r="117" spans="1:6" ht="24">
      <c r="A117" s="3111">
        <v>45</v>
      </c>
      <c r="B117" s="3846"/>
      <c r="C117" s="3085" t="s">
        <v>2733</v>
      </c>
      <c r="D117" s="3085" t="s">
        <v>2734</v>
      </c>
      <c r="E117" s="3111">
        <v>0.1</v>
      </c>
      <c r="F117" s="3111">
        <v>15</v>
      </c>
    </row>
    <row r="118" spans="1:6" ht="24">
      <c r="A118" s="3111">
        <v>46</v>
      </c>
      <c r="B118" s="3842" t="s">
        <v>2735</v>
      </c>
      <c r="C118" s="3111" t="s">
        <v>2736</v>
      </c>
      <c r="D118" s="3085" t="s">
        <v>2737</v>
      </c>
      <c r="E118" s="3111">
        <v>0.1</v>
      </c>
      <c r="F118" s="3111">
        <v>15</v>
      </c>
    </row>
    <row r="119" spans="1:6" ht="24">
      <c r="A119" s="3111">
        <v>47</v>
      </c>
      <c r="B119" s="3846"/>
      <c r="C119" s="3111" t="s">
        <v>2738</v>
      </c>
      <c r="D119" s="3085" t="s">
        <v>2739</v>
      </c>
      <c r="E119" s="3111">
        <v>0.1</v>
      </c>
      <c r="F119" s="3111">
        <v>15</v>
      </c>
    </row>
    <row r="120" spans="1:6" ht="24">
      <c r="A120" s="3111">
        <v>48</v>
      </c>
      <c r="B120" s="3842" t="s">
        <v>2740</v>
      </c>
      <c r="C120" s="3111" t="s">
        <v>2741</v>
      </c>
      <c r="D120" s="3085" t="s">
        <v>2742</v>
      </c>
      <c r="E120" s="3111">
        <v>0.1</v>
      </c>
      <c r="F120" s="3111">
        <v>15</v>
      </c>
    </row>
    <row r="121" spans="1:6" ht="24">
      <c r="A121" s="3111">
        <v>49</v>
      </c>
      <c r="B121" s="3846"/>
      <c r="C121" s="3111" t="s">
        <v>2743</v>
      </c>
      <c r="D121" s="3085" t="s">
        <v>2744</v>
      </c>
      <c r="E121" s="3111">
        <v>0.1</v>
      </c>
      <c r="F121" s="3111">
        <v>15</v>
      </c>
    </row>
    <row r="122" spans="1:6" ht="24">
      <c r="A122" s="3111">
        <v>50</v>
      </c>
      <c r="B122" s="3847" t="s">
        <v>2745</v>
      </c>
      <c r="C122" s="3111" t="s">
        <v>2746</v>
      </c>
      <c r="D122" s="3085" t="s">
        <v>2747</v>
      </c>
      <c r="E122" s="3111">
        <v>0.1</v>
      </c>
      <c r="F122" s="3111">
        <v>15</v>
      </c>
    </row>
    <row r="123" spans="1:6" ht="24">
      <c r="A123" s="3111">
        <v>51</v>
      </c>
      <c r="B123" s="3847"/>
      <c r="C123" s="3111" t="s">
        <v>2748</v>
      </c>
      <c r="D123" s="3085" t="s">
        <v>2749</v>
      </c>
      <c r="E123" s="3111">
        <v>0.1</v>
      </c>
      <c r="F123" s="3111">
        <v>15</v>
      </c>
    </row>
    <row r="124" spans="1:6" ht="24">
      <c r="A124" s="3111">
        <v>52</v>
      </c>
      <c r="B124" s="3847" t="s">
        <v>2750</v>
      </c>
      <c r="C124" s="3111" t="s">
        <v>2751</v>
      </c>
      <c r="D124" s="3085" t="s">
        <v>2752</v>
      </c>
      <c r="E124" s="3111">
        <v>0.1</v>
      </c>
      <c r="F124" s="3111">
        <v>15</v>
      </c>
    </row>
    <row r="125" spans="1:6" ht="24">
      <c r="A125" s="3111">
        <v>53</v>
      </c>
      <c r="B125" s="3847"/>
      <c r="C125" s="3111" t="s">
        <v>2753</v>
      </c>
      <c r="D125" s="3085" t="s">
        <v>2754</v>
      </c>
      <c r="E125" s="3111">
        <v>0.1</v>
      </c>
      <c r="F125" s="3111">
        <v>15</v>
      </c>
    </row>
    <row r="126" spans="1:6" ht="24">
      <c r="A126" s="3111">
        <v>54</v>
      </c>
      <c r="B126" s="3111" t="s">
        <v>2755</v>
      </c>
      <c r="C126" s="3111" t="s">
        <v>2756</v>
      </c>
      <c r="D126" s="3085" t="s">
        <v>2757</v>
      </c>
      <c r="E126" s="3111">
        <v>0.1</v>
      </c>
      <c r="F126" s="3111">
        <v>15</v>
      </c>
    </row>
    <row r="127" spans="1:6" ht="24">
      <c r="A127" s="3111">
        <v>55</v>
      </c>
      <c r="B127" s="3847" t="s">
        <v>2758</v>
      </c>
      <c r="C127" s="3111" t="s">
        <v>2759</v>
      </c>
      <c r="D127" s="3085" t="s">
        <v>2760</v>
      </c>
      <c r="E127" s="3111">
        <v>0.1</v>
      </c>
      <c r="F127" s="3111">
        <v>15</v>
      </c>
    </row>
    <row r="128" spans="1:6" ht="24">
      <c r="A128" s="3111">
        <v>56</v>
      </c>
      <c r="B128" s="3847"/>
      <c r="C128" s="3111" t="s">
        <v>2761</v>
      </c>
      <c r="D128" s="3085" t="s">
        <v>2762</v>
      </c>
      <c r="E128" s="3111">
        <v>0.1</v>
      </c>
      <c r="F128" s="3111">
        <v>15</v>
      </c>
    </row>
    <row r="129" spans="1:6" ht="24">
      <c r="A129" s="3111">
        <v>57</v>
      </c>
      <c r="B129" s="3847"/>
      <c r="C129" s="3111" t="s">
        <v>2763</v>
      </c>
      <c r="D129" s="3085" t="s">
        <v>2764</v>
      </c>
      <c r="E129" s="3111">
        <v>0.1</v>
      </c>
      <c r="F129" s="3111">
        <v>15</v>
      </c>
    </row>
    <row r="130" spans="1:6" ht="24">
      <c r="A130" s="3111">
        <v>58</v>
      </c>
      <c r="B130" s="3847" t="s">
        <v>2765</v>
      </c>
      <c r="C130" s="3111" t="s">
        <v>2766</v>
      </c>
      <c r="D130" s="3085" t="s">
        <v>2767</v>
      </c>
      <c r="E130" s="3111">
        <v>0.1</v>
      </c>
      <c r="F130" s="3111">
        <v>15</v>
      </c>
    </row>
    <row r="131" spans="1:6" ht="24">
      <c r="A131" s="3111">
        <v>59</v>
      </c>
      <c r="B131" s="3847"/>
      <c r="C131" s="3111" t="s">
        <v>2768</v>
      </c>
      <c r="D131" s="3085" t="s">
        <v>2769</v>
      </c>
      <c r="E131" s="3111">
        <v>0.1</v>
      </c>
      <c r="F131" s="3111">
        <v>15</v>
      </c>
    </row>
    <row r="132" spans="1:6" ht="24">
      <c r="A132" s="3111">
        <v>60</v>
      </c>
      <c r="B132" s="3842" t="s">
        <v>2770</v>
      </c>
      <c r="C132" s="3111" t="s">
        <v>2771</v>
      </c>
      <c r="D132" s="3085" t="s">
        <v>2772</v>
      </c>
      <c r="E132" s="3111">
        <v>0.1</v>
      </c>
      <c r="F132" s="3111">
        <v>15</v>
      </c>
    </row>
    <row r="133" spans="1:6" ht="24">
      <c r="A133" s="3111">
        <v>61</v>
      </c>
      <c r="B133" s="3846"/>
      <c r="C133" s="3111" t="s">
        <v>2773</v>
      </c>
      <c r="D133" s="3085" t="s">
        <v>2774</v>
      </c>
      <c r="E133" s="3111">
        <v>0.1</v>
      </c>
      <c r="F133" s="3111">
        <v>15</v>
      </c>
    </row>
    <row r="134" spans="1:6" ht="24">
      <c r="A134" s="3111">
        <v>62</v>
      </c>
      <c r="B134" s="3111" t="s">
        <v>2775</v>
      </c>
      <c r="C134" s="3111" t="s">
        <v>2776</v>
      </c>
      <c r="D134" s="3085" t="s">
        <v>2777</v>
      </c>
      <c r="E134" s="3111">
        <v>0.1</v>
      </c>
      <c r="F134" s="3111">
        <v>15</v>
      </c>
    </row>
    <row r="135" spans="1:6" ht="24">
      <c r="A135" s="3111">
        <v>63</v>
      </c>
      <c r="B135" s="3847" t="s">
        <v>2778</v>
      </c>
      <c r="C135" s="3111" t="s">
        <v>2779</v>
      </c>
      <c r="D135" s="3085" t="s">
        <v>2780</v>
      </c>
      <c r="E135" s="3111">
        <v>0.1</v>
      </c>
      <c r="F135" s="3111">
        <v>15</v>
      </c>
    </row>
    <row r="136" spans="1:6" ht="24">
      <c r="A136" s="3111">
        <v>64</v>
      </c>
      <c r="B136" s="3847"/>
      <c r="C136" s="3111" t="s">
        <v>2781</v>
      </c>
      <c r="D136" s="3085" t="s">
        <v>2782</v>
      </c>
      <c r="E136" s="3111">
        <v>0.1</v>
      </c>
      <c r="F136" s="3111">
        <v>15</v>
      </c>
    </row>
    <row r="137" spans="1:6" ht="24">
      <c r="A137" s="3111">
        <v>65</v>
      </c>
      <c r="B137" s="3111" t="s">
        <v>2783</v>
      </c>
      <c r="C137" s="3111" t="s">
        <v>2784</v>
      </c>
      <c r="D137" s="3085" t="s">
        <v>2785</v>
      </c>
      <c r="E137" s="3111">
        <v>0.1</v>
      </c>
      <c r="F137" s="3111">
        <v>15</v>
      </c>
    </row>
    <row r="138" spans="1:6" ht="14.4">
      <c r="A138" s="3111"/>
      <c r="B138" s="3111"/>
      <c r="C138" s="3111"/>
      <c r="D138" s="3111"/>
      <c r="E138" s="3111" t="s">
        <v>2786</v>
      </c>
      <c r="F138" s="3111"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7.399999999999999">
      <c r="A3" s="3486" t="str">
        <f>IF(项目基本情况!B9="房地产市场价值","估价结果一览表（市场价值不需“结果表-1”）","估价结果一览表")</f>
        <v>估价结果一览表（市场价值不需“结果表-1”）</v>
      </c>
      <c r="B3" s="3486"/>
      <c r="C3" s="3486"/>
      <c r="D3" s="3486"/>
      <c r="E3" s="3486"/>
    </row>
    <row r="4" spans="1:5" ht="18" thickBot="1">
      <c r="A4" s="1491"/>
      <c r="B4" s="3484" t="s">
        <v>917</v>
      </c>
      <c r="C4" s="3484"/>
      <c r="D4" s="3484"/>
      <c r="E4" s="1491"/>
    </row>
    <row r="5" spans="1:5" ht="16.2" thickTop="1">
      <c r="A5" s="1489"/>
      <c r="B5" s="3482" t="s">
        <v>909</v>
      </c>
      <c r="C5" s="1492" t="s">
        <v>910</v>
      </c>
      <c r="D5" s="849">
        <f ca="1">结果表!H101</f>
        <v>108920</v>
      </c>
      <c r="E5" s="1489"/>
    </row>
    <row r="6" spans="1:5" ht="15.6">
      <c r="A6" s="1489"/>
      <c r="B6" s="3482"/>
      <c r="C6" s="1492" t="s">
        <v>911</v>
      </c>
      <c r="D6" s="849" t="str">
        <f ca="1">NUMBERSTRING(INT(D5*10000),2)&amp;"元整"</f>
        <v>壹拾亿捌仟玖佰贰拾万元整</v>
      </c>
      <c r="E6" s="1489"/>
    </row>
    <row r="7" spans="1:5" ht="15.6">
      <c r="A7" s="1489"/>
      <c r="B7" s="3487"/>
      <c r="C7" s="1493" t="s">
        <v>912</v>
      </c>
      <c r="D7" s="850">
        <f ca="1">结果表!H102</f>
        <v>22462</v>
      </c>
      <c r="E7" s="1489"/>
    </row>
    <row r="8" spans="1:5" ht="15.6">
      <c r="A8" s="1489"/>
      <c r="B8" s="3488" t="str">
        <f>结果表!E103</f>
        <v>2.估价师知悉的法定优先受偿款</v>
      </c>
      <c r="C8" s="1494" t="s">
        <v>913</v>
      </c>
      <c r="D8" s="850">
        <f>结果表!H103</f>
        <v>0</v>
      </c>
      <c r="E8" s="1489"/>
    </row>
    <row r="9" spans="1:5" ht="15.6">
      <c r="A9" s="1489"/>
      <c r="B9" s="3490"/>
      <c r="C9" s="1492" t="s">
        <v>911</v>
      </c>
      <c r="D9" s="849" t="str">
        <f>NUMBERSTRING(INT(D8*10000),2)&amp;"元整"</f>
        <v>零元整</v>
      </c>
      <c r="E9" s="1489"/>
    </row>
    <row r="10" spans="1:5" ht="15.6">
      <c r="A10" s="1489"/>
      <c r="B10" s="1495" t="s">
        <v>916</v>
      </c>
      <c r="C10" s="1496" t="s">
        <v>914</v>
      </c>
      <c r="D10" s="851">
        <f>结果表!H104</f>
        <v>0</v>
      </c>
      <c r="E10" s="1489"/>
    </row>
    <row r="11" spans="1:5" ht="15.6">
      <c r="A11" s="1489"/>
      <c r="B11" s="1495" t="s">
        <v>918</v>
      </c>
      <c r="C11" s="1496" t="s">
        <v>919</v>
      </c>
      <c r="D11" s="851">
        <f>结果表!H105</f>
        <v>0</v>
      </c>
      <c r="E11" s="1489"/>
    </row>
    <row r="12" spans="1:5" ht="15.6">
      <c r="A12" s="1489"/>
      <c r="B12" s="1495" t="s">
        <v>920</v>
      </c>
      <c r="C12" s="1496" t="s">
        <v>919</v>
      </c>
      <c r="D12" s="851">
        <f>结果表!H106</f>
        <v>0</v>
      </c>
      <c r="E12" s="1489"/>
    </row>
    <row r="13" spans="1:5" ht="15.6">
      <c r="A13" s="1489"/>
      <c r="B13" s="3481" t="str">
        <f>结果表!E107</f>
        <v>3.房地产抵押价值</v>
      </c>
      <c r="C13" s="1497" t="s">
        <v>910</v>
      </c>
      <c r="D13" s="852">
        <f ca="1">结果表!H107</f>
        <v>108920</v>
      </c>
      <c r="E13" s="1489"/>
    </row>
    <row r="14" spans="1:5" ht="15.6">
      <c r="A14" s="1489"/>
      <c r="B14" s="3482"/>
      <c r="C14" s="1492" t="s">
        <v>911</v>
      </c>
      <c r="D14" s="849" t="str">
        <f ca="1">NUMBERSTRING(INT(D13*10000),2)&amp;"元整"</f>
        <v>壹拾亿捌仟玖佰贰拾万元整</v>
      </c>
      <c r="E14" s="1489"/>
    </row>
    <row r="15" spans="1:5" ht="15.6">
      <c r="A15" s="1489"/>
      <c r="B15" s="3487"/>
      <c r="C15" s="1493" t="s">
        <v>921</v>
      </c>
      <c r="D15" s="858">
        <f ca="1">结果表!H108</f>
        <v>22462</v>
      </c>
      <c r="E15" s="1489"/>
    </row>
    <row r="16" spans="1:5" ht="15.6">
      <c r="A16" s="1489"/>
      <c r="B16" s="3488" t="str">
        <f>结果表!E109</f>
        <v>——</v>
      </c>
      <c r="C16" s="1497" t="s">
        <v>922</v>
      </c>
      <c r="D16" s="1498" t="str">
        <f>结果表!H109</f>
        <v>——</v>
      </c>
      <c r="E16" s="1489"/>
    </row>
    <row r="17" spans="1:5" ht="15.6">
      <c r="A17" s="1489"/>
      <c r="B17" s="3489"/>
      <c r="C17" s="1492" t="s">
        <v>923</v>
      </c>
      <c r="D17" s="849" t="e">
        <f>NUMBERSTRING(INT(D16*10000),2)&amp;"元整"</f>
        <v>#VALUE!</v>
      </c>
      <c r="E17" s="1489"/>
    </row>
    <row r="18" spans="1:5" ht="15.6">
      <c r="A18" s="1489"/>
      <c r="B18" s="3490"/>
      <c r="C18" s="1493" t="s">
        <v>912</v>
      </c>
      <c r="D18" s="858" t="str">
        <f>结果表!H110</f>
        <v>——</v>
      </c>
      <c r="E18" s="1489"/>
    </row>
    <row r="19" spans="1:5" ht="15.6">
      <c r="A19" s="1489"/>
      <c r="B19" s="3481" t="str">
        <f>结果表!E111</f>
        <v>——</v>
      </c>
      <c r="C19" s="1497" t="s">
        <v>910</v>
      </c>
      <c r="D19" s="850" t="str">
        <f>结果表!H111</f>
        <v>——</v>
      </c>
      <c r="E19" s="1489"/>
    </row>
    <row r="20" spans="1:5" ht="15.6">
      <c r="A20" s="1489"/>
      <c r="B20" s="3482"/>
      <c r="C20" s="1492" t="s">
        <v>923</v>
      </c>
      <c r="D20" s="849" t="e">
        <f>NUMBERSTRING(INT(D19*10000),2)&amp;"元整"</f>
        <v>#VALUE!</v>
      </c>
      <c r="E20" s="1489"/>
    </row>
    <row r="21" spans="1:5" ht="16.2" thickBot="1">
      <c r="A21" s="1489"/>
      <c r="B21" s="3483"/>
      <c r="C21" s="1499" t="s">
        <v>921</v>
      </c>
      <c r="D21" s="859"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4"/>
    <col min="14" max="16384" width="9" style="749"/>
  </cols>
  <sheetData>
    <row r="1" spans="1:20" ht="16.2" thickBot="1">
      <c r="A1" s="3120" t="s">
        <v>2787</v>
      </c>
      <c r="B1" s="3120"/>
      <c r="C1" s="3120"/>
      <c r="D1" s="3120"/>
      <c r="E1" s="3120"/>
      <c r="F1" s="3120"/>
      <c r="G1" s="3120"/>
      <c r="H1" s="3120"/>
      <c r="I1" s="3120"/>
      <c r="J1" s="3120"/>
      <c r="K1" s="3120"/>
      <c r="L1" s="3120"/>
      <c r="M1" s="3120"/>
      <c r="N1" s="748"/>
    </row>
    <row r="2" spans="1:20">
      <c r="A2" s="3121" t="s">
        <v>2788</v>
      </c>
      <c r="B2" s="3122" t="s">
        <v>2584</v>
      </c>
      <c r="C2" s="3122" t="s">
        <v>2585</v>
      </c>
      <c r="D2" s="3122" t="s">
        <v>2586</v>
      </c>
      <c r="E2" s="3122" t="s">
        <v>2587</v>
      </c>
      <c r="F2" s="3122" t="s">
        <v>2588</v>
      </c>
      <c r="G2" s="3122" t="s">
        <v>2589</v>
      </c>
      <c r="H2" s="3123" t="s">
        <v>2590</v>
      </c>
      <c r="I2" s="3123" t="s">
        <v>2591</v>
      </c>
      <c r="J2" s="3124" t="s">
        <v>2592</v>
      </c>
      <c r="K2" s="3124" t="s">
        <v>2593</v>
      </c>
      <c r="L2" s="3124" t="s">
        <v>2594</v>
      </c>
      <c r="M2" s="3125" t="s">
        <v>2595</v>
      </c>
      <c r="Q2" s="3135" t="s">
        <v>2793</v>
      </c>
      <c r="R2" s="3135" t="s">
        <v>2794</v>
      </c>
      <c r="S2" s="3135" t="s">
        <v>2795</v>
      </c>
      <c r="T2" s="3135" t="s">
        <v>2796</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6.2" thickBot="1">
      <c r="A93" s="3120" t="s">
        <v>2789</v>
      </c>
      <c r="B93" s="3120"/>
      <c r="C93" s="3120"/>
      <c r="D93" s="3120"/>
      <c r="E93" s="3120"/>
      <c r="F93" s="3120"/>
      <c r="G93" s="3120"/>
      <c r="H93" s="3120"/>
      <c r="I93" s="3120"/>
      <c r="J93" s="3120"/>
      <c r="K93" s="3120"/>
      <c r="L93" s="3120"/>
      <c r="M93" s="3120"/>
    </row>
    <row r="94" spans="1:20">
      <c r="A94" s="3121" t="s">
        <v>2788</v>
      </c>
      <c r="B94" s="3122" t="s">
        <v>2584</v>
      </c>
      <c r="C94" s="3122" t="s">
        <v>2585</v>
      </c>
      <c r="D94" s="3122" t="s">
        <v>2586</v>
      </c>
      <c r="E94" s="3122" t="s">
        <v>2587</v>
      </c>
      <c r="F94" s="3122" t="s">
        <v>2588</v>
      </c>
      <c r="G94" s="3122" t="s">
        <v>2589</v>
      </c>
      <c r="H94" s="3123" t="s">
        <v>2590</v>
      </c>
      <c r="I94" s="3123" t="s">
        <v>2591</v>
      </c>
      <c r="J94" s="3124" t="s">
        <v>2592</v>
      </c>
      <c r="K94" s="3124" t="s">
        <v>2593</v>
      </c>
      <c r="L94" s="3124" t="s">
        <v>2594</v>
      </c>
      <c r="M94" s="3125" t="s">
        <v>2595</v>
      </c>
      <c r="N94" s="749">
        <f>SUMPRODUCT((A95:A184=ROUNDDOWN(基准地价修正!G3,1))*(B94:M94=基准地价修正!G2)*(B95:M184))</f>
        <v>0.90459999999999996</v>
      </c>
      <c r="Q94" s="3135" t="s">
        <v>2793</v>
      </c>
      <c r="R94" s="3135" t="s">
        <v>2794</v>
      </c>
      <c r="S94" s="3135" t="s">
        <v>2795</v>
      </c>
      <c r="T94" s="3135" t="s">
        <v>2796</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5.6">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5.6">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6.2" thickBot="1">
      <c r="A185" s="3120" t="s">
        <v>2790</v>
      </c>
      <c r="B185" s="3120"/>
      <c r="C185" s="3120"/>
      <c r="D185" s="3120"/>
      <c r="E185" s="3120"/>
      <c r="F185" s="3120"/>
      <c r="G185" s="3120"/>
      <c r="H185" s="3120"/>
      <c r="I185" s="3120"/>
      <c r="J185" s="3120"/>
      <c r="K185" s="3120"/>
      <c r="L185" s="3120"/>
      <c r="M185" s="3120"/>
    </row>
    <row r="186" spans="1:20">
      <c r="A186" s="3121" t="s">
        <v>2788</v>
      </c>
      <c r="B186" s="3122" t="s">
        <v>2584</v>
      </c>
      <c r="C186" s="3122" t="s">
        <v>2585</v>
      </c>
      <c r="D186" s="3122" t="s">
        <v>2586</v>
      </c>
      <c r="E186" s="3122" t="s">
        <v>2587</v>
      </c>
      <c r="F186" s="3122" t="s">
        <v>2588</v>
      </c>
      <c r="G186" s="3122" t="s">
        <v>2589</v>
      </c>
      <c r="H186" s="3123" t="s">
        <v>2590</v>
      </c>
      <c r="I186" s="3123" t="s">
        <v>2591</v>
      </c>
      <c r="J186" s="3124" t="s">
        <v>2592</v>
      </c>
      <c r="K186" s="3124" t="s">
        <v>2593</v>
      </c>
      <c r="L186" s="3124" t="s">
        <v>2594</v>
      </c>
      <c r="M186" s="3125" t="s">
        <v>2595</v>
      </c>
      <c r="Q186" s="3135" t="s">
        <v>2793</v>
      </c>
      <c r="R186" s="3135" t="s">
        <v>2794</v>
      </c>
      <c r="S186" s="3135" t="s">
        <v>2795</v>
      </c>
      <c r="T186" s="3135" t="s">
        <v>2796</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6.2" thickBot="1">
      <c r="A277" s="3120" t="s">
        <v>2791</v>
      </c>
      <c r="B277" s="3120"/>
      <c r="C277" s="3120"/>
      <c r="D277" s="3120"/>
      <c r="E277" s="3120"/>
      <c r="F277" s="3120"/>
      <c r="G277" s="3120"/>
      <c r="H277" s="3120"/>
      <c r="I277" s="3120"/>
      <c r="J277" s="3120"/>
      <c r="K277" s="3120"/>
      <c r="L277" s="3120"/>
      <c r="M277" s="3120"/>
    </row>
    <row r="278" spans="1:21">
      <c r="A278" s="3121" t="s">
        <v>2788</v>
      </c>
      <c r="B278" s="3122" t="s">
        <v>2584</v>
      </c>
      <c r="C278" s="3122" t="s">
        <v>2585</v>
      </c>
      <c r="D278" s="3122" t="s">
        <v>2586</v>
      </c>
      <c r="E278" s="3122" t="s">
        <v>2587</v>
      </c>
      <c r="F278" s="3122" t="s">
        <v>2588</v>
      </c>
      <c r="G278" s="3122" t="s">
        <v>2589</v>
      </c>
      <c r="H278" s="3123" t="s">
        <v>2590</v>
      </c>
      <c r="I278" s="3123" t="s">
        <v>2591</v>
      </c>
      <c r="J278" s="3124" t="s">
        <v>2592</v>
      </c>
      <c r="K278" s="3124" t="s">
        <v>2593</v>
      </c>
      <c r="L278" s="3124" t="s">
        <v>2594</v>
      </c>
      <c r="M278" s="3125" t="s">
        <v>2595</v>
      </c>
      <c r="Q278" s="3135" t="s">
        <v>2793</v>
      </c>
      <c r="R278" s="3135" t="s">
        <v>2794</v>
      </c>
      <c r="S278" s="3135" t="s">
        <v>2797</v>
      </c>
      <c r="T278" s="3135" t="s">
        <v>2798</v>
      </c>
      <c r="U278" s="3135" t="s">
        <v>2796</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6.2" thickBot="1">
      <c r="A369" s="3120" t="s">
        <v>2792</v>
      </c>
      <c r="B369" s="3133"/>
      <c r="C369" s="3133"/>
      <c r="D369" s="3133"/>
      <c r="E369" s="3133"/>
      <c r="F369" s="3133"/>
      <c r="G369" s="3133"/>
      <c r="H369" s="3133"/>
      <c r="I369" s="3133"/>
      <c r="J369" s="3133"/>
      <c r="K369" s="3133"/>
      <c r="L369" s="3133"/>
      <c r="M369" s="3133"/>
    </row>
    <row r="370" spans="1:20">
      <c r="A370" s="3121" t="s">
        <v>2788</v>
      </c>
      <c r="B370" s="3122" t="s">
        <v>2584</v>
      </c>
      <c r="C370" s="3122" t="s">
        <v>2585</v>
      </c>
      <c r="D370" s="3122" t="s">
        <v>2586</v>
      </c>
      <c r="E370" s="3122" t="s">
        <v>2587</v>
      </c>
      <c r="F370" s="3122" t="s">
        <v>2588</v>
      </c>
      <c r="G370" s="3122" t="s">
        <v>2589</v>
      </c>
      <c r="H370" s="3123" t="s">
        <v>2590</v>
      </c>
      <c r="I370" s="3123" t="s">
        <v>2591</v>
      </c>
      <c r="J370" s="3124" t="s">
        <v>2592</v>
      </c>
      <c r="K370" s="3124" t="s">
        <v>2593</v>
      </c>
      <c r="L370" s="3124" t="s">
        <v>2594</v>
      </c>
      <c r="M370" s="3125" t="s">
        <v>2595</v>
      </c>
      <c r="N370" s="749">
        <f>SUMPRODUCT((A371:A460=ROUNDDOWN(基准地价修正!G3,1))*(B370:M370=基准地价修正!G2)*(B371:M460))</f>
        <v>0.86050000000000004</v>
      </c>
      <c r="Q370" s="3135" t="s">
        <v>2793</v>
      </c>
      <c r="R370" s="3135" t="s">
        <v>2794</v>
      </c>
      <c r="S370" s="3135" t="s">
        <v>2795</v>
      </c>
      <c r="T370" s="3135" t="s">
        <v>2796</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87156</v>
      </c>
      <c r="C2" s="2" t="s">
        <v>106</v>
      </c>
      <c r="D2" s="199"/>
      <c r="E2" s="199"/>
      <c r="F2" s="199"/>
      <c r="G2" s="199"/>
    </row>
    <row r="3" spans="1:7" s="200" customFormat="1" ht="18" customHeight="1" thickBot="1">
      <c r="A3" s="203" t="s">
        <v>58</v>
      </c>
      <c r="B3" s="204">
        <f ca="1">ROUND(B2*10000/'数据-汇总表'!E3,0)</f>
        <v>17973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970</v>
      </c>
      <c r="D10" s="844">
        <f>'数据-汇总表'!E6</f>
        <v>48491.65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970</v>
      </c>
      <c r="D19" s="848">
        <f>'数据-汇总表'!E3</f>
        <v>48491.65</v>
      </c>
      <c r="E19" s="211">
        <f>'数据-取费表'!B31</f>
        <v>200</v>
      </c>
      <c r="F19" s="231"/>
      <c r="G19" s="1" t="s">
        <v>436</v>
      </c>
    </row>
    <row r="20" spans="1:7" s="214" customFormat="1" ht="13.5" customHeight="1">
      <c r="A20" s="776" t="s">
        <v>419</v>
      </c>
      <c r="B20" s="210" t="s">
        <v>77</v>
      </c>
      <c r="C20" s="232">
        <f>ROUND((C5+C19)*F20,0)</f>
        <v>432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1574</v>
      </c>
      <c r="D22" s="235">
        <f ca="1">C26</f>
        <v>6.9999999999999999E-4</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1489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70</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6.4">
      <c r="A27" s="776" t="s">
        <v>342</v>
      </c>
      <c r="B27" s="244" t="s">
        <v>85</v>
      </c>
      <c r="C27" s="245">
        <f>C28</f>
        <v>4402</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4402</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30326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45735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41449</v>
      </c>
      <c r="D34" s="217"/>
      <c r="E34" s="220"/>
      <c r="F34" s="257">
        <f>IF('数据-取费表'!B24=0,1,'数据-取费表'!N16)</f>
        <v>1</v>
      </c>
      <c r="G34" s="219" t="s">
        <v>89</v>
      </c>
    </row>
    <row r="35" spans="1:7" ht="13.5" customHeight="1">
      <c r="A35" s="779" t="s">
        <v>351</v>
      </c>
      <c r="B35" s="215" t="s">
        <v>33</v>
      </c>
      <c r="C35" s="220">
        <f>ROUND(C34*F35,0)</f>
        <v>2487</v>
      </c>
      <c r="D35" s="220"/>
      <c r="E35" s="220"/>
      <c r="F35" s="259">
        <f>'数据-取费表'!B33</f>
        <v>0.06</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970</v>
      </c>
      <c r="D37" s="217">
        <f>'数据-汇总表'!E3</f>
        <v>48491.65</v>
      </c>
      <c r="E37" s="249">
        <f>'数据-取费表'!B35</f>
        <v>200</v>
      </c>
      <c r="F37" s="259"/>
      <c r="G37" s="261" t="s">
        <v>92</v>
      </c>
    </row>
    <row r="38" spans="1:7" ht="13.5" customHeight="1">
      <c r="A38" s="779" t="s">
        <v>354</v>
      </c>
      <c r="B38" s="215" t="s">
        <v>36</v>
      </c>
      <c r="C38" s="220">
        <f>ROUND(C34*F38,0)</f>
        <v>829</v>
      </c>
      <c r="D38" s="220"/>
      <c r="E38" s="220"/>
      <c r="F38" s="259">
        <f>'数据-取费表'!B36</f>
        <v>0.02</v>
      </c>
      <c r="G38" s="219" t="s">
        <v>90</v>
      </c>
    </row>
    <row r="39" spans="1:7" s="214" customFormat="1" ht="13.5" customHeight="1">
      <c r="A39" s="776" t="s">
        <v>338</v>
      </c>
      <c r="B39" s="210" t="s">
        <v>77</v>
      </c>
      <c r="C39" s="232">
        <f>ROUND(C33*F20,0)</f>
        <v>915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1656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1624</v>
      </c>
      <c r="D42" s="238"/>
      <c r="E42" s="238"/>
      <c r="F42" s="239"/>
      <c r="G42" s="3712" t="s">
        <v>94</v>
      </c>
    </row>
    <row r="43" spans="1:7" ht="13.5" customHeight="1">
      <c r="A43" s="779" t="s">
        <v>347</v>
      </c>
      <c r="B43" s="215" t="s">
        <v>426</v>
      </c>
      <c r="C43" s="238">
        <f ca="1">ROUND(IF('数据-取费表'!B22&lt;=1,C39*F22*'数据-取费表'!B21/2,C39*(POWER((1+F22),'数据-取费表'!B21/2)-1)),0)</f>
        <v>32</v>
      </c>
      <c r="D43" s="238"/>
      <c r="E43" s="238"/>
      <c r="F43" s="239"/>
      <c r="G43" s="3713"/>
    </row>
    <row r="44" spans="1:7" ht="13.5" customHeight="1">
      <c r="A44" s="779" t="s">
        <v>348</v>
      </c>
      <c r="B44" s="215" t="s">
        <v>428</v>
      </c>
      <c r="C44" s="238">
        <f ca="1">ROUND(IF('数据-取费表'!B22&lt;=1,C40*F22*'数据-取费表'!B21/2,C40*(POWER((1+F22),'数据-取费表'!B21/2)-1)),4)</f>
        <v>6.9999999999999999E-4</v>
      </c>
      <c r="D44" s="238"/>
      <c r="E44" s="238"/>
      <c r="F44" s="239"/>
      <c r="G44" s="3714"/>
    </row>
    <row r="45" spans="1:7" s="214" customFormat="1" ht="13.5" customHeight="1">
      <c r="A45" s="776" t="s">
        <v>341</v>
      </c>
      <c r="B45" s="244" t="s">
        <v>85</v>
      </c>
      <c r="C45" s="245">
        <f>C46</f>
        <v>9330</v>
      </c>
      <c r="D45" s="235">
        <f>C47</f>
        <v>4.0000000000000001E-3</v>
      </c>
      <c r="E45" s="236" t="s">
        <v>102</v>
      </c>
      <c r="F45" s="246"/>
      <c r="G45" s="247" t="s">
        <v>434</v>
      </c>
    </row>
    <row r="46" spans="1:7" s="214" customFormat="1" ht="13.5" customHeight="1">
      <c r="A46" s="779" t="s">
        <v>349</v>
      </c>
      <c r="B46" s="248" t="s">
        <v>427</v>
      </c>
      <c r="C46" s="249">
        <f>ROUND((C33+C39)*F27,0)</f>
        <v>9330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62450</v>
      </c>
      <c r="D49" s="232"/>
      <c r="E49" s="232"/>
      <c r="F49" s="264"/>
      <c r="G49" s="234" t="s">
        <v>435</v>
      </c>
    </row>
    <row r="50" spans="1:7" s="258" customFormat="1" ht="24">
      <c r="A50" s="776" t="s">
        <v>344</v>
      </c>
      <c r="B50" s="210" t="s">
        <v>97</v>
      </c>
      <c r="C50" s="232"/>
      <c r="D50" s="232"/>
      <c r="E50" s="232"/>
      <c r="F50" s="264">
        <f>IF('数据-取费表'!B24=0,'数据-取费表'!N16,1)</f>
        <v>0.91</v>
      </c>
      <c r="G50" s="247" t="s">
        <v>98</v>
      </c>
    </row>
    <row r="51" spans="1:7" ht="16.5" customHeight="1">
      <c r="A51" s="776" t="s">
        <v>345</v>
      </c>
      <c r="B51" s="210" t="s">
        <v>105</v>
      </c>
      <c r="C51" s="232">
        <f ca="1">ROUND(C49*F50,0)</f>
        <v>56830</v>
      </c>
      <c r="D51" s="232"/>
      <c r="E51" s="232"/>
      <c r="F51" s="264"/>
      <c r="G51" s="234" t="s">
        <v>37</v>
      </c>
    </row>
    <row r="52" spans="1:7" s="208" customFormat="1" ht="16.8" thickBot="1">
      <c r="A52" s="265" t="s">
        <v>38</v>
      </c>
      <c r="B52" s="266"/>
      <c r="C52" s="267">
        <f ca="1">C31+C51</f>
        <v>87156</v>
      </c>
      <c r="D52" s="266"/>
      <c r="E52" s="266"/>
      <c r="F52" s="266"/>
      <c r="G52" s="268"/>
    </row>
    <row r="55" spans="1:7" ht="15">
      <c r="B55" s="270" t="s">
        <v>39</v>
      </c>
      <c r="C55" s="271"/>
    </row>
    <row r="56" spans="1:7">
      <c r="B56" s="273" t="s">
        <v>40</v>
      </c>
      <c r="C56" s="274">
        <f ca="1">ROUND(C51/C52,3)</f>
        <v>0.65200000000000002</v>
      </c>
    </row>
    <row r="57" spans="1:7">
      <c r="B57" s="273" t="s">
        <v>41</v>
      </c>
      <c r="C57" s="275">
        <f ca="1">1-C56</f>
        <v>0.34799999999999998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9" customWidth="1"/>
    <col min="2" max="2" width="18.6640625" style="3219" customWidth="1"/>
    <col min="3" max="6" width="10.21875" style="3219" customWidth="1"/>
    <col min="7" max="7" width="10.44140625" style="3219" bestFit="1" customWidth="1"/>
    <col min="8" max="8" width="8.88671875" style="3215"/>
    <col min="9" max="9" width="13.33203125" style="3215" customWidth="1"/>
    <col min="10" max="13" width="13.33203125" style="3219" customWidth="1"/>
    <col min="14" max="14" width="18.21875" style="3219" customWidth="1"/>
    <col min="15" max="17" width="15.109375" style="3219" customWidth="1"/>
    <col min="18" max="20" width="11.44140625" style="3219" customWidth="1"/>
    <col min="21" max="16384" width="8.88671875" style="3219"/>
  </cols>
  <sheetData>
    <row r="1" spans="1:20" ht="11.4" thickBot="1">
      <c r="A1" s="3850" t="s">
        <v>2830</v>
      </c>
      <c r="B1" s="3850"/>
      <c r="C1" s="3850"/>
      <c r="D1" s="3850"/>
      <c r="E1" s="3850"/>
      <c r="F1" s="3850"/>
      <c r="G1" s="3851"/>
      <c r="I1" s="3216" t="s">
        <v>2831</v>
      </c>
      <c r="J1" s="3217" t="s">
        <v>2832</v>
      </c>
      <c r="K1" s="3217" t="s">
        <v>2833</v>
      </c>
      <c r="L1" s="3217" t="s">
        <v>2834</v>
      </c>
      <c r="M1" s="3217" t="s">
        <v>2835</v>
      </c>
      <c r="N1" s="3217" t="s">
        <v>2836</v>
      </c>
      <c r="O1" s="3217" t="s">
        <v>2837</v>
      </c>
      <c r="P1" s="3217" t="s">
        <v>2838</v>
      </c>
      <c r="Q1" s="3217" t="s">
        <v>2839</v>
      </c>
      <c r="R1" s="3217" t="s">
        <v>2840</v>
      </c>
      <c r="S1" s="3217" t="s">
        <v>2841</v>
      </c>
      <c r="T1" s="3218" t="s">
        <v>2842</v>
      </c>
    </row>
    <row r="2" spans="1:20" ht="11.4" thickBot="1">
      <c r="A2" s="3220" t="s">
        <v>2843</v>
      </c>
      <c r="B2" s="3220"/>
      <c r="C2" s="3220"/>
      <c r="D2" s="3220"/>
      <c r="E2" s="3220"/>
      <c r="F2" s="3220"/>
      <c r="G2" s="3221" t="s">
        <v>2844</v>
      </c>
      <c r="I2" s="3222" t="s">
        <v>2845</v>
      </c>
      <c r="J2" s="3222" t="s">
        <v>2846</v>
      </c>
      <c r="K2" s="3222" t="s">
        <v>2847</v>
      </c>
      <c r="L2" s="3222" t="s">
        <v>2848</v>
      </c>
      <c r="M2" s="3222" t="s">
        <v>2849</v>
      </c>
      <c r="N2" s="3222" t="s">
        <v>2850</v>
      </c>
      <c r="O2" s="3222" t="s">
        <v>2851</v>
      </c>
      <c r="P2" s="3222" t="s">
        <v>2852</v>
      </c>
      <c r="Q2" s="3222" t="s">
        <v>2853</v>
      </c>
      <c r="R2" s="3222" t="s">
        <v>2854</v>
      </c>
      <c r="S2" s="3222" t="s">
        <v>2855</v>
      </c>
      <c r="T2" s="3222" t="s">
        <v>2856</v>
      </c>
    </row>
    <row r="3" spans="1:20" s="3228" customFormat="1">
      <c r="A3" s="3848" t="s">
        <v>2857</v>
      </c>
      <c r="B3" s="3223"/>
      <c r="C3" s="3224" t="s">
        <v>2800</v>
      </c>
      <c r="D3" s="3224" t="s">
        <v>2858</v>
      </c>
      <c r="E3" s="3224" t="s">
        <v>2802</v>
      </c>
      <c r="F3" s="3224" t="s">
        <v>2859</v>
      </c>
      <c r="G3" s="3224" t="s">
        <v>2620</v>
      </c>
      <c r="H3" s="3225"/>
      <c r="I3" s="3226" t="s">
        <v>2860</v>
      </c>
      <c r="J3" s="3227" t="s">
        <v>128</v>
      </c>
      <c r="K3" s="3227" t="s">
        <v>129</v>
      </c>
      <c r="L3" s="3226" t="s">
        <v>130</v>
      </c>
      <c r="M3" s="3226" t="s">
        <v>131</v>
      </c>
      <c r="N3" s="3226" t="s">
        <v>132</v>
      </c>
      <c r="O3" s="3226" t="s">
        <v>133</v>
      </c>
      <c r="P3" s="3226" t="s">
        <v>134</v>
      </c>
      <c r="Q3" s="3226" t="s">
        <v>135</v>
      </c>
      <c r="R3" s="3226" t="s">
        <v>136</v>
      </c>
      <c r="S3" s="3226" t="s">
        <v>2861</v>
      </c>
      <c r="T3" s="3226" t="s">
        <v>2862</v>
      </c>
    </row>
    <row r="4" spans="1:20" s="3228" customFormat="1" ht="11.4" thickBot="1">
      <c r="A4" s="3849"/>
      <c r="B4" s="3229" t="s">
        <v>2863</v>
      </c>
      <c r="C4" s="3229" t="s">
        <v>2864</v>
      </c>
      <c r="D4" s="3229" t="s">
        <v>2864</v>
      </c>
      <c r="E4" s="3229" t="s">
        <v>2864</v>
      </c>
      <c r="F4" s="3230" t="s">
        <v>2864</v>
      </c>
      <c r="G4" s="3230" t="s">
        <v>2864</v>
      </c>
      <c r="H4" s="3225"/>
      <c r="I4" s="3227" t="s">
        <v>137</v>
      </c>
      <c r="J4" s="3227" t="s">
        <v>111</v>
      </c>
      <c r="K4" s="3227" t="s">
        <v>138</v>
      </c>
      <c r="L4" s="3226" t="s">
        <v>139</v>
      </c>
      <c r="M4" s="3226" t="s">
        <v>140</v>
      </c>
      <c r="N4" s="3226" t="s">
        <v>141</v>
      </c>
      <c r="O4" s="3226" t="s">
        <v>142</v>
      </c>
      <c r="P4" s="3226" t="s">
        <v>143</v>
      </c>
      <c r="Q4" s="3226" t="s">
        <v>2865</v>
      </c>
      <c r="R4" s="3226" t="s">
        <v>2866</v>
      </c>
      <c r="S4" s="3226" t="s">
        <v>2867</v>
      </c>
      <c r="T4" s="3226" t="s">
        <v>2868</v>
      </c>
    </row>
    <row r="5" spans="1:20">
      <c r="A5" s="3231" t="s">
        <v>2831</v>
      </c>
      <c r="B5" s="3222" t="s">
        <v>2845</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2869</v>
      </c>
      <c r="R5" s="3226" t="s">
        <v>2870</v>
      </c>
      <c r="S5" s="3226" t="s">
        <v>153</v>
      </c>
      <c r="T5" s="3226" t="s">
        <v>2871</v>
      </c>
    </row>
    <row r="6" spans="1:20" ht="11.4" thickBot="1">
      <c r="A6" s="3226" t="s">
        <v>144</v>
      </c>
      <c r="B6" s="3226" t="s">
        <v>2860</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2872</v>
      </c>
      <c r="Q6" s="3226" t="s">
        <v>2873</v>
      </c>
      <c r="R6" s="3226" t="s">
        <v>161</v>
      </c>
      <c r="S6" s="3226" t="s">
        <v>2874</v>
      </c>
      <c r="T6" s="3226" t="s">
        <v>2875</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2876</v>
      </c>
      <c r="Q7" s="3226" t="s">
        <v>2877</v>
      </c>
      <c r="R7" s="3226" t="s">
        <v>2878</v>
      </c>
      <c r="S7" s="3226" t="s">
        <v>2879</v>
      </c>
      <c r="T7" s="3226" t="s">
        <v>2880</v>
      </c>
    </row>
    <row r="8" spans="1:20" ht="11.4"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2881</v>
      </c>
      <c r="Q8" s="3226" t="s">
        <v>174</v>
      </c>
      <c r="R8" s="3226" t="s">
        <v>2882</v>
      </c>
      <c r="S8" s="3226" t="s">
        <v>2883</v>
      </c>
      <c r="T8" s="3233" t="s">
        <v>2884</v>
      </c>
    </row>
    <row r="9" spans="1:20" ht="11.4"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2885</v>
      </c>
      <c r="Q9" s="3226" t="s">
        <v>182</v>
      </c>
      <c r="R9" s="3226" t="s">
        <v>183</v>
      </c>
      <c r="S9" s="3226" t="s">
        <v>200</v>
      </c>
    </row>
    <row r="10" spans="1:20">
      <c r="A10" s="3231" t="s">
        <v>184</v>
      </c>
      <c r="B10" s="3222" t="s">
        <v>2846</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2886</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2887</v>
      </c>
      <c r="P11" s="3226" t="s">
        <v>191</v>
      </c>
      <c r="Q11" s="3226" t="s">
        <v>199</v>
      </c>
      <c r="R11" s="3226" t="s">
        <v>2888</v>
      </c>
      <c r="S11" s="3226" t="s">
        <v>2889</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2890</v>
      </c>
      <c r="P12" s="3226" t="s">
        <v>2891</v>
      </c>
      <c r="Q12" s="3226" t="s">
        <v>2892</v>
      </c>
      <c r="R12" s="3226" t="s">
        <v>2893</v>
      </c>
      <c r="S12" s="3226" t="s">
        <v>2894</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2895</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2896</v>
      </c>
      <c r="K14" s="3227" t="s">
        <v>215</v>
      </c>
      <c r="L14" s="3226" t="s">
        <v>216</v>
      </c>
      <c r="M14" s="3226" t="s">
        <v>217</v>
      </c>
      <c r="N14" s="3226" t="s">
        <v>218</v>
      </c>
      <c r="O14" s="3226" t="s">
        <v>240</v>
      </c>
      <c r="P14" s="3226" t="s">
        <v>213</v>
      </c>
      <c r="Q14" s="3226" t="s">
        <v>2897</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2898</v>
      </c>
      <c r="P15" s="3226" t="s">
        <v>2899</v>
      </c>
      <c r="Q15" s="3226" t="s">
        <v>242</v>
      </c>
      <c r="R15" s="3226" t="s">
        <v>2900</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2901</v>
      </c>
      <c r="P16" s="3226" t="s">
        <v>227</v>
      </c>
      <c r="Q16" s="3226" t="s">
        <v>250</v>
      </c>
      <c r="R16" s="3226" t="s">
        <v>207</v>
      </c>
      <c r="S16" s="3226" t="s">
        <v>2902</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2903</v>
      </c>
      <c r="P17" s="3226" t="s">
        <v>2904</v>
      </c>
      <c r="Q17" s="3226" t="s">
        <v>256</v>
      </c>
      <c r="R17" s="3226" t="s">
        <v>2905</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2906</v>
      </c>
      <c r="P18" s="3226" t="s">
        <v>241</v>
      </c>
      <c r="Q18" s="3226" t="s">
        <v>2907</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2908</v>
      </c>
      <c r="P19" s="3226" t="s">
        <v>249</v>
      </c>
      <c r="Q19" s="3226" t="s">
        <v>2909</v>
      </c>
      <c r="R19" s="3226" t="s">
        <v>265</v>
      </c>
      <c r="S19" s="3226" t="s">
        <v>2910</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2911</v>
      </c>
      <c r="P20" s="3226" t="s">
        <v>2912</v>
      </c>
      <c r="Q20" s="3226" t="s">
        <v>290</v>
      </c>
      <c r="R20" s="3226" t="s">
        <v>2913</v>
      </c>
      <c r="S20" s="3226" t="s">
        <v>277</v>
      </c>
    </row>
    <row r="21" spans="1:19" ht="14.25" customHeight="1" thickBot="1">
      <c r="A21" s="3226" t="s">
        <v>184</v>
      </c>
      <c r="B21" s="3227" t="s">
        <v>208</v>
      </c>
      <c r="C21" s="3226">
        <v>32370</v>
      </c>
      <c r="D21" s="3226">
        <v>26730</v>
      </c>
      <c r="E21" s="3226">
        <v>26640</v>
      </c>
      <c r="F21" s="3226"/>
      <c r="G21" s="3226">
        <v>19440</v>
      </c>
      <c r="J21" s="3233" t="s">
        <v>2914</v>
      </c>
      <c r="K21" s="3227" t="s">
        <v>267</v>
      </c>
      <c r="L21" s="3226" t="s">
        <v>268</v>
      </c>
      <c r="M21" s="3226" t="s">
        <v>269</v>
      </c>
      <c r="N21" s="3226" t="s">
        <v>270</v>
      </c>
      <c r="O21" s="3226" t="s">
        <v>264</v>
      </c>
      <c r="P21" s="3226" t="s">
        <v>283</v>
      </c>
      <c r="Q21" s="3226" t="s">
        <v>293</v>
      </c>
      <c r="R21" s="3226" t="s">
        <v>2915</v>
      </c>
      <c r="S21" s="3233" t="s">
        <v>2916</v>
      </c>
    </row>
    <row r="22" spans="1:19" ht="14.25" customHeight="1">
      <c r="A22" s="3226" t="s">
        <v>184</v>
      </c>
      <c r="B22" s="3227" t="s">
        <v>2896</v>
      </c>
      <c r="C22" s="3226">
        <v>29830</v>
      </c>
      <c r="D22" s="3226">
        <v>27600</v>
      </c>
      <c r="E22" s="3226">
        <v>28150</v>
      </c>
      <c r="F22" s="3226"/>
      <c r="G22" s="3226">
        <v>20080</v>
      </c>
      <c r="K22" s="3227" t="s">
        <v>2917</v>
      </c>
      <c r="L22" s="3226" t="s">
        <v>272</v>
      </c>
      <c r="M22" s="3226" t="s">
        <v>273</v>
      </c>
      <c r="N22" s="3226" t="s">
        <v>274</v>
      </c>
      <c r="O22" s="3226" t="s">
        <v>2918</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2919</v>
      </c>
      <c r="L23" s="3226" t="s">
        <v>278</v>
      </c>
      <c r="M23" s="3226" t="s">
        <v>279</v>
      </c>
      <c r="N23" s="3226" t="s">
        <v>2920</v>
      </c>
      <c r="O23" s="3226" t="s">
        <v>2921</v>
      </c>
      <c r="P23" s="3226" t="s">
        <v>289</v>
      </c>
      <c r="Q23" s="3226" t="s">
        <v>298</v>
      </c>
      <c r="R23" s="3226" t="s">
        <v>2922</v>
      </c>
    </row>
    <row r="24" spans="1:19" ht="14.25" customHeight="1">
      <c r="A24" s="3226" t="s">
        <v>184</v>
      </c>
      <c r="B24" s="3227" t="s">
        <v>230</v>
      </c>
      <c r="C24" s="3226">
        <v>27930</v>
      </c>
      <c r="D24" s="3226">
        <v>32260</v>
      </c>
      <c r="E24" s="3226">
        <v>32120</v>
      </c>
      <c r="F24" s="3226"/>
      <c r="G24" s="3226">
        <v>23470</v>
      </c>
      <c r="K24" s="3227" t="s">
        <v>2923</v>
      </c>
      <c r="L24" s="3226" t="s">
        <v>281</v>
      </c>
      <c r="M24" s="3226" t="s">
        <v>282</v>
      </c>
      <c r="N24" s="3226" t="s">
        <v>2924</v>
      </c>
      <c r="O24" s="3226" t="s">
        <v>285</v>
      </c>
      <c r="P24" s="3226" t="s">
        <v>2925</v>
      </c>
      <c r="Q24" s="3235" t="s">
        <v>2926</v>
      </c>
      <c r="R24" s="3226" t="s">
        <v>2927</v>
      </c>
    </row>
    <row r="25" spans="1:19" ht="14.25" customHeight="1">
      <c r="A25" s="3226" t="s">
        <v>184</v>
      </c>
      <c r="B25" s="3227" t="s">
        <v>235</v>
      </c>
      <c r="C25" s="3226">
        <v>32230</v>
      </c>
      <c r="D25" s="3226">
        <v>29640</v>
      </c>
      <c r="E25" s="3226">
        <v>29510</v>
      </c>
      <c r="F25" s="3226"/>
      <c r="G25" s="3226">
        <v>21560</v>
      </c>
      <c r="K25" s="3227" t="s">
        <v>2928</v>
      </c>
      <c r="L25" s="3226" t="s">
        <v>2929</v>
      </c>
      <c r="M25" s="3226" t="s">
        <v>284</v>
      </c>
      <c r="N25" s="3226" t="s">
        <v>292</v>
      </c>
      <c r="O25" s="3226" t="s">
        <v>288</v>
      </c>
      <c r="P25" s="3226" t="s">
        <v>275</v>
      </c>
      <c r="Q25" s="3235" t="s">
        <v>271</v>
      </c>
      <c r="R25" s="3226" t="s">
        <v>2930</v>
      </c>
    </row>
    <row r="26" spans="1:19" ht="14.25" customHeight="1" thickBot="1">
      <c r="A26" s="3226" t="s">
        <v>184</v>
      </c>
      <c r="B26" s="3227" t="s">
        <v>244</v>
      </c>
      <c r="C26" s="3226">
        <v>31690</v>
      </c>
      <c r="D26" s="3226">
        <v>27650</v>
      </c>
      <c r="E26" s="3226">
        <v>28200</v>
      </c>
      <c r="F26" s="3226"/>
      <c r="G26" s="3226">
        <v>20110</v>
      </c>
      <c r="K26" s="3232" t="s">
        <v>2931</v>
      </c>
      <c r="L26" s="3226" t="s">
        <v>2932</v>
      </c>
      <c r="M26" s="3226" t="s">
        <v>287</v>
      </c>
      <c r="N26" s="3226" t="s">
        <v>294</v>
      </c>
      <c r="O26" s="3226" t="s">
        <v>2933</v>
      </c>
      <c r="P26" s="3226" t="s">
        <v>2934</v>
      </c>
      <c r="Q26" s="3235" t="s">
        <v>276</v>
      </c>
      <c r="R26" s="3226" t="s">
        <v>2935</v>
      </c>
    </row>
    <row r="27" spans="1:19" ht="14.25" customHeight="1">
      <c r="A27" s="3226" t="s">
        <v>184</v>
      </c>
      <c r="B27" s="3227" t="s">
        <v>251</v>
      </c>
      <c r="C27" s="3226">
        <v>29610</v>
      </c>
      <c r="D27" s="3226">
        <v>27770</v>
      </c>
      <c r="E27" s="3226">
        <v>28300</v>
      </c>
      <c r="F27" s="3226"/>
      <c r="G27" s="3226">
        <v>20210</v>
      </c>
      <c r="L27" s="3226" t="s">
        <v>2936</v>
      </c>
      <c r="M27" s="3226" t="s">
        <v>291</v>
      </c>
      <c r="N27" s="3226" t="s">
        <v>297</v>
      </c>
      <c r="O27" s="3226" t="s">
        <v>2937</v>
      </c>
      <c r="P27" s="3226" t="s">
        <v>2938</v>
      </c>
      <c r="Q27" s="3226" t="s">
        <v>2939</v>
      </c>
      <c r="R27" s="3226" t="s">
        <v>2940</v>
      </c>
    </row>
    <row r="28" spans="1:19" ht="14.25" customHeight="1">
      <c r="A28" s="3226" t="s">
        <v>184</v>
      </c>
      <c r="B28" s="3227" t="s">
        <v>259</v>
      </c>
      <c r="C28" s="3226"/>
      <c r="D28" s="3226">
        <v>31520</v>
      </c>
      <c r="E28" s="3226">
        <v>31410</v>
      </c>
      <c r="F28" s="3226"/>
      <c r="G28" s="3226">
        <v>22940</v>
      </c>
      <c r="L28" s="3226" t="s">
        <v>2941</v>
      </c>
      <c r="M28" s="3226" t="s">
        <v>2942</v>
      </c>
      <c r="N28" s="3226" t="s">
        <v>2943</v>
      </c>
      <c r="O28" s="3226" t="s">
        <v>2944</v>
      </c>
      <c r="P28" s="3226" t="s">
        <v>2945</v>
      </c>
      <c r="Q28" s="3226" t="s">
        <v>2946</v>
      </c>
      <c r="R28" s="3226" t="s">
        <v>2947</v>
      </c>
    </row>
    <row r="29" spans="1:19" ht="14.25" customHeight="1" thickBot="1">
      <c r="A29" s="3234" t="s">
        <v>184</v>
      </c>
      <c r="B29" s="3236" t="s">
        <v>2914</v>
      </c>
      <c r="C29" s="3237"/>
      <c r="D29" s="3237">
        <v>29460</v>
      </c>
      <c r="E29" s="3237">
        <v>28640</v>
      </c>
      <c r="F29" s="3237"/>
      <c r="G29" s="3237">
        <v>21430</v>
      </c>
      <c r="L29" s="3226" t="s">
        <v>2948</v>
      </c>
      <c r="M29" s="3226" t="s">
        <v>2949</v>
      </c>
      <c r="N29" s="3226" t="s">
        <v>2950</v>
      </c>
      <c r="O29" s="3226" t="s">
        <v>2951</v>
      </c>
      <c r="P29" s="3226" t="s">
        <v>2952</v>
      </c>
      <c r="Q29" s="3226" t="s">
        <v>2953</v>
      </c>
      <c r="R29" s="3226" t="s">
        <v>280</v>
      </c>
    </row>
    <row r="30" spans="1:19" ht="14.25" customHeight="1">
      <c r="A30" s="3231" t="s">
        <v>296</v>
      </c>
      <c r="B30" s="3222" t="s">
        <v>2847</v>
      </c>
      <c r="C30" s="3222">
        <v>26890</v>
      </c>
      <c r="D30" s="3222">
        <v>26770</v>
      </c>
      <c r="E30" s="3222">
        <v>25700</v>
      </c>
      <c r="F30" s="3222">
        <v>8180</v>
      </c>
      <c r="G30" s="3238">
        <v>18740</v>
      </c>
      <c r="L30" s="3226" t="s">
        <v>2954</v>
      </c>
      <c r="M30" s="3226" t="s">
        <v>2955</v>
      </c>
      <c r="N30" s="3226" t="s">
        <v>2956</v>
      </c>
      <c r="O30" s="3226" t="s">
        <v>2957</v>
      </c>
      <c r="P30" s="3226" t="s">
        <v>2958</v>
      </c>
      <c r="Q30" s="3226" t="s">
        <v>2959</v>
      </c>
      <c r="R30" s="3226" t="s">
        <v>2960</v>
      </c>
    </row>
    <row r="31" spans="1:19" ht="14.25" customHeight="1">
      <c r="A31" s="3226" t="s">
        <v>296</v>
      </c>
      <c r="B31" s="3227" t="s">
        <v>129</v>
      </c>
      <c r="C31" s="3226">
        <v>24550</v>
      </c>
      <c r="D31" s="3226">
        <v>23990</v>
      </c>
      <c r="E31" s="3226">
        <v>22930</v>
      </c>
      <c r="F31" s="3226">
        <v>7470</v>
      </c>
      <c r="G31" s="3239">
        <v>16790</v>
      </c>
      <c r="L31" s="3226" t="s">
        <v>2961</v>
      </c>
      <c r="M31" s="3226" t="s">
        <v>2962</v>
      </c>
      <c r="N31" s="3226" t="s">
        <v>2963</v>
      </c>
      <c r="O31" s="3226" t="s">
        <v>2964</v>
      </c>
      <c r="P31" s="3226" t="s">
        <v>2965</v>
      </c>
      <c r="Q31" s="3226" t="s">
        <v>2966</v>
      </c>
      <c r="R31" s="3226" t="s">
        <v>2967</v>
      </c>
    </row>
    <row r="32" spans="1:19" ht="14.25" customHeight="1" thickBot="1">
      <c r="A32" s="3226" t="s">
        <v>296</v>
      </c>
      <c r="B32" s="3227" t="s">
        <v>138</v>
      </c>
      <c r="C32" s="3226">
        <v>27210</v>
      </c>
      <c r="D32" s="3226">
        <v>23240</v>
      </c>
      <c r="E32" s="3226">
        <v>23260</v>
      </c>
      <c r="F32" s="3226">
        <v>7130</v>
      </c>
      <c r="G32" s="3239">
        <v>16270</v>
      </c>
      <c r="L32" s="3226" t="s">
        <v>2968</v>
      </c>
      <c r="M32" s="3226" t="s">
        <v>2969</v>
      </c>
      <c r="N32" s="3226" t="s">
        <v>300</v>
      </c>
      <c r="O32" s="3226" t="s">
        <v>2970</v>
      </c>
      <c r="P32" s="3226" t="s">
        <v>299</v>
      </c>
      <c r="Q32" s="3226" t="s">
        <v>2971</v>
      </c>
      <c r="R32" s="3233" t="s">
        <v>2972</v>
      </c>
    </row>
    <row r="33" spans="1:17" ht="14.25" customHeight="1" thickBot="1">
      <c r="A33" s="3226" t="s">
        <v>296</v>
      </c>
      <c r="B33" s="3227" t="s">
        <v>147</v>
      </c>
      <c r="C33" s="3226">
        <v>27300</v>
      </c>
      <c r="D33" s="3226">
        <v>22980</v>
      </c>
      <c r="E33" s="3226">
        <v>24260</v>
      </c>
      <c r="F33" s="3226">
        <v>5860</v>
      </c>
      <c r="G33" s="3239">
        <v>16090</v>
      </c>
      <c r="L33" s="3233" t="s">
        <v>2973</v>
      </c>
      <c r="M33" s="3226" t="s">
        <v>2974</v>
      </c>
      <c r="N33" s="3226" t="s">
        <v>301</v>
      </c>
      <c r="O33" s="3226" t="s">
        <v>2975</v>
      </c>
      <c r="P33" s="3226" t="s">
        <v>2976</v>
      </c>
      <c r="Q33" s="3226" t="s">
        <v>2977</v>
      </c>
    </row>
    <row r="34" spans="1:17" ht="14.25" customHeight="1">
      <c r="A34" s="3226" t="s">
        <v>296</v>
      </c>
      <c r="B34" s="3227" t="s">
        <v>156</v>
      </c>
      <c r="C34" s="3226">
        <v>23090</v>
      </c>
      <c r="D34" s="3226">
        <v>23390</v>
      </c>
      <c r="E34" s="3226">
        <v>23510</v>
      </c>
      <c r="F34" s="3226">
        <v>6700</v>
      </c>
      <c r="G34" s="3239">
        <v>16370</v>
      </c>
      <c r="M34" s="3226" t="s">
        <v>2978</v>
      </c>
      <c r="N34" s="3226" t="s">
        <v>302</v>
      </c>
      <c r="O34" s="3226" t="s">
        <v>2979</v>
      </c>
      <c r="P34" s="3226" t="s">
        <v>2980</v>
      </c>
      <c r="Q34" s="3226" t="s">
        <v>2981</v>
      </c>
    </row>
    <row r="35" spans="1:17" ht="14.25" customHeight="1">
      <c r="A35" s="3226" t="s">
        <v>296</v>
      </c>
      <c r="B35" s="3227" t="s">
        <v>163</v>
      </c>
      <c r="C35" s="3226">
        <v>27270</v>
      </c>
      <c r="D35" s="3226">
        <v>24270</v>
      </c>
      <c r="E35" s="3226">
        <v>24950</v>
      </c>
      <c r="F35" s="3226">
        <v>6600</v>
      </c>
      <c r="G35" s="3239">
        <v>16990</v>
      </c>
      <c r="M35" s="3226" t="s">
        <v>2982</v>
      </c>
      <c r="N35" s="3226" t="s">
        <v>2983</v>
      </c>
      <c r="O35" s="3226" t="s">
        <v>2984</v>
      </c>
      <c r="P35" s="3226" t="s">
        <v>2985</v>
      </c>
      <c r="Q35" s="3226" t="s">
        <v>2986</v>
      </c>
    </row>
    <row r="36" spans="1:17" ht="14.25" customHeight="1">
      <c r="A36" s="3226" t="s">
        <v>296</v>
      </c>
      <c r="B36" s="3227" t="s">
        <v>169</v>
      </c>
      <c r="C36" s="3226">
        <v>23490</v>
      </c>
      <c r="D36" s="3226">
        <v>23020</v>
      </c>
      <c r="E36" s="3226">
        <v>25230</v>
      </c>
      <c r="F36" s="3226">
        <v>6780</v>
      </c>
      <c r="G36" s="3239">
        <v>16120</v>
      </c>
      <c r="M36" s="3226" t="s">
        <v>2987</v>
      </c>
      <c r="N36" s="3226" t="s">
        <v>2988</v>
      </c>
      <c r="O36" s="3226" t="s">
        <v>2989</v>
      </c>
      <c r="P36" s="3226" t="s">
        <v>2990</v>
      </c>
      <c r="Q36" s="3226" t="s">
        <v>2991</v>
      </c>
    </row>
    <row r="37" spans="1:17" ht="14.25" customHeight="1">
      <c r="A37" s="3226" t="s">
        <v>296</v>
      </c>
      <c r="B37" s="3227" t="s">
        <v>176</v>
      </c>
      <c r="C37" s="3226">
        <v>24380</v>
      </c>
      <c r="D37" s="3226">
        <v>22240</v>
      </c>
      <c r="E37" s="3226">
        <v>25980</v>
      </c>
      <c r="F37" s="3226">
        <v>8160</v>
      </c>
      <c r="G37" s="3239">
        <v>15570</v>
      </c>
      <c r="M37" s="3226" t="s">
        <v>2992</v>
      </c>
      <c r="N37" s="3226" t="s">
        <v>2993</v>
      </c>
      <c r="O37" s="3226" t="s">
        <v>2994</v>
      </c>
      <c r="P37" s="3226" t="s">
        <v>2995</v>
      </c>
      <c r="Q37" s="3226" t="s">
        <v>2996</v>
      </c>
    </row>
    <row r="38" spans="1:17" ht="14.25" customHeight="1">
      <c r="A38" s="3226" t="s">
        <v>296</v>
      </c>
      <c r="B38" s="3227" t="s">
        <v>186</v>
      </c>
      <c r="C38" s="3226">
        <v>23120</v>
      </c>
      <c r="D38" s="3226">
        <v>24630</v>
      </c>
      <c r="E38" s="3226">
        <v>25030</v>
      </c>
      <c r="F38" s="3226">
        <v>7710</v>
      </c>
      <c r="G38" s="3239">
        <v>17240</v>
      </c>
      <c r="M38" s="3226" t="s">
        <v>2997</v>
      </c>
      <c r="N38" s="3226" t="s">
        <v>2998</v>
      </c>
      <c r="O38" s="3226" t="s">
        <v>2999</v>
      </c>
      <c r="P38" s="3226" t="s">
        <v>3000</v>
      </c>
      <c r="Q38" s="3226" t="s">
        <v>3001</v>
      </c>
    </row>
    <row r="39" spans="1:17" ht="14.25" customHeight="1">
      <c r="A39" s="3226" t="s">
        <v>296</v>
      </c>
      <c r="B39" s="3227" t="s">
        <v>195</v>
      </c>
      <c r="C39" s="3226">
        <v>22330</v>
      </c>
      <c r="D39" s="3226">
        <v>21140</v>
      </c>
      <c r="E39" s="3226">
        <v>23970</v>
      </c>
      <c r="F39" s="3226">
        <v>7940</v>
      </c>
      <c r="G39" s="3239">
        <v>14790</v>
      </c>
      <c r="M39" s="3226" t="s">
        <v>3002</v>
      </c>
      <c r="N39" s="3226" t="s">
        <v>3003</v>
      </c>
      <c r="O39" s="3226" t="s">
        <v>3004</v>
      </c>
      <c r="P39" s="3226" t="s">
        <v>3005</v>
      </c>
      <c r="Q39" s="3226" t="s">
        <v>3006</v>
      </c>
    </row>
    <row r="40" spans="1:17" ht="14.25" customHeight="1">
      <c r="A40" s="3226" t="s">
        <v>296</v>
      </c>
      <c r="B40" s="3227" t="s">
        <v>202</v>
      </c>
      <c r="C40" s="3226">
        <v>24740</v>
      </c>
      <c r="D40" s="3226">
        <v>24690</v>
      </c>
      <c r="E40" s="3226">
        <v>22610</v>
      </c>
      <c r="F40" s="3226"/>
      <c r="G40" s="3239">
        <v>17280</v>
      </c>
      <c r="M40" s="3226" t="s">
        <v>3007</v>
      </c>
      <c r="N40" s="3226" t="s">
        <v>3008</v>
      </c>
      <c r="O40" s="3226" t="s">
        <v>3009</v>
      </c>
      <c r="P40" s="3226" t="s">
        <v>3010</v>
      </c>
      <c r="Q40" s="3226" t="s">
        <v>3011</v>
      </c>
    </row>
    <row r="41" spans="1:17" ht="14.25" customHeight="1" thickBot="1">
      <c r="A41" s="3226" t="s">
        <v>296</v>
      </c>
      <c r="B41" s="3227" t="s">
        <v>209</v>
      </c>
      <c r="C41" s="3226">
        <v>21220</v>
      </c>
      <c r="D41" s="3226">
        <v>21120</v>
      </c>
      <c r="E41" s="3226">
        <v>22590</v>
      </c>
      <c r="F41" s="3226"/>
      <c r="G41" s="3239">
        <v>14780</v>
      </c>
      <c r="M41" s="3233" t="s">
        <v>3012</v>
      </c>
      <c r="N41" s="3226" t="s">
        <v>3013</v>
      </c>
      <c r="O41" s="3226" t="s">
        <v>3014</v>
      </c>
      <c r="P41" s="3226" t="s">
        <v>3015</v>
      </c>
      <c r="Q41" s="3226" t="s">
        <v>3016</v>
      </c>
    </row>
    <row r="42" spans="1:17" ht="14.25" customHeight="1">
      <c r="A42" s="3226" t="s">
        <v>296</v>
      </c>
      <c r="B42" s="3227" t="s">
        <v>215</v>
      </c>
      <c r="C42" s="3226">
        <v>24800</v>
      </c>
      <c r="D42" s="3226">
        <v>22280</v>
      </c>
      <c r="E42" s="3226">
        <v>24350</v>
      </c>
      <c r="F42" s="3226"/>
      <c r="G42" s="3239">
        <v>15590</v>
      </c>
      <c r="N42" s="3226" t="s">
        <v>3017</v>
      </c>
      <c r="O42" s="3226" t="s">
        <v>3018</v>
      </c>
      <c r="P42" s="3226" t="s">
        <v>3019</v>
      </c>
      <c r="Q42" s="3226" t="s">
        <v>3020</v>
      </c>
    </row>
    <row r="43" spans="1:17" ht="14.25" customHeight="1">
      <c r="A43" s="3226" t="s">
        <v>3021</v>
      </c>
      <c r="B43" s="3227" t="s">
        <v>223</v>
      </c>
      <c r="C43" s="3226">
        <v>21210</v>
      </c>
      <c r="D43" s="3226">
        <v>21160</v>
      </c>
      <c r="E43" s="3226">
        <v>22650</v>
      </c>
      <c r="F43" s="3226"/>
      <c r="G43" s="3239">
        <v>14800</v>
      </c>
      <c r="N43" s="3226" t="s">
        <v>3022</v>
      </c>
      <c r="O43" s="3226" t="s">
        <v>3023</v>
      </c>
      <c r="P43" s="3226" t="s">
        <v>3024</v>
      </c>
      <c r="Q43" s="3226" t="s">
        <v>3025</v>
      </c>
    </row>
    <row r="44" spans="1:17" ht="14.25" customHeight="1" thickBot="1">
      <c r="A44" s="3226" t="s">
        <v>296</v>
      </c>
      <c r="B44" s="3227" t="s">
        <v>231</v>
      </c>
      <c r="C44" s="3226">
        <v>22370</v>
      </c>
      <c r="D44" s="3226">
        <v>23140</v>
      </c>
      <c r="E44" s="3226">
        <v>25090</v>
      </c>
      <c r="F44" s="3226"/>
      <c r="G44" s="3239">
        <v>16190</v>
      </c>
      <c r="N44" s="3226" t="s">
        <v>3026</v>
      </c>
      <c r="O44" s="3226" t="s">
        <v>3027</v>
      </c>
      <c r="P44" s="3233" t="s">
        <v>3028</v>
      </c>
      <c r="Q44" s="3226" t="s">
        <v>3029</v>
      </c>
    </row>
    <row r="45" spans="1:17" ht="14.25" customHeight="1" thickBot="1">
      <c r="A45" s="3226" t="s">
        <v>296</v>
      </c>
      <c r="B45" s="3227" t="s">
        <v>236</v>
      </c>
      <c r="C45" s="3226">
        <v>21240</v>
      </c>
      <c r="D45" s="3226">
        <v>27050</v>
      </c>
      <c r="E45" s="3226">
        <v>28000</v>
      </c>
      <c r="F45" s="3226"/>
      <c r="G45" s="3239">
        <v>18940</v>
      </c>
      <c r="N45" s="3226" t="s">
        <v>3030</v>
      </c>
      <c r="O45" s="3233" t="s">
        <v>3031</v>
      </c>
      <c r="Q45" s="3226" t="s">
        <v>3032</v>
      </c>
    </row>
    <row r="46" spans="1:17" ht="14.25" customHeight="1">
      <c r="A46" s="3226" t="s">
        <v>296</v>
      </c>
      <c r="B46" s="3227" t="s">
        <v>245</v>
      </c>
      <c r="C46" s="3226">
        <v>23240</v>
      </c>
      <c r="D46" s="3226">
        <v>23000</v>
      </c>
      <c r="E46" s="3226">
        <v>24980</v>
      </c>
      <c r="F46" s="3226"/>
      <c r="G46" s="3239">
        <v>16100</v>
      </c>
      <c r="N46" s="3226" t="s">
        <v>3033</v>
      </c>
      <c r="Q46" s="3226" t="s">
        <v>3034</v>
      </c>
    </row>
    <row r="47" spans="1:17" ht="14.25" customHeight="1">
      <c r="A47" s="3226" t="s">
        <v>296</v>
      </c>
      <c r="B47" s="3227" t="s">
        <v>252</v>
      </c>
      <c r="C47" s="3226">
        <v>27150</v>
      </c>
      <c r="D47" s="3226">
        <v>23310</v>
      </c>
      <c r="E47" s="3226">
        <v>25150</v>
      </c>
      <c r="F47" s="3226"/>
      <c r="G47" s="3239">
        <v>16310</v>
      </c>
      <c r="N47" s="3226" t="s">
        <v>3035</v>
      </c>
      <c r="Q47" s="3226" t="s">
        <v>3036</v>
      </c>
    </row>
    <row r="48" spans="1:17" ht="14.25" customHeight="1">
      <c r="A48" s="3226" t="s">
        <v>296</v>
      </c>
      <c r="B48" s="3227" t="s">
        <v>260</v>
      </c>
      <c r="C48" s="3226">
        <v>23100</v>
      </c>
      <c r="D48" s="3226">
        <v>21110</v>
      </c>
      <c r="E48" s="3226">
        <v>23080</v>
      </c>
      <c r="F48" s="3226"/>
      <c r="G48" s="3239">
        <v>14780</v>
      </c>
      <c r="N48" s="3226" t="s">
        <v>3037</v>
      </c>
      <c r="Q48" s="3226" t="s">
        <v>3038</v>
      </c>
    </row>
    <row r="49" spans="1:17" ht="14.25" customHeight="1">
      <c r="A49" s="3226" t="s">
        <v>296</v>
      </c>
      <c r="B49" s="3227" t="s">
        <v>267</v>
      </c>
      <c r="C49" s="3226">
        <v>23400</v>
      </c>
      <c r="D49" s="3226">
        <v>22920</v>
      </c>
      <c r="E49" s="3226">
        <v>24900</v>
      </c>
      <c r="F49" s="3226"/>
      <c r="G49" s="3239">
        <v>16040</v>
      </c>
      <c r="N49" s="3226" t="s">
        <v>3039</v>
      </c>
      <c r="Q49" s="3226" t="s">
        <v>3040</v>
      </c>
    </row>
    <row r="50" spans="1:17" ht="14.25" customHeight="1">
      <c r="A50" s="3226" t="s">
        <v>296</v>
      </c>
      <c r="B50" s="3227" t="s">
        <v>2917</v>
      </c>
      <c r="C50" s="3226">
        <v>21200</v>
      </c>
      <c r="D50" s="3226">
        <v>26540</v>
      </c>
      <c r="E50" s="3226">
        <v>23200</v>
      </c>
      <c r="F50" s="3226"/>
      <c r="G50" s="3239">
        <v>18580</v>
      </c>
      <c r="N50" s="3226" t="s">
        <v>3041</v>
      </c>
      <c r="Q50" s="3227" t="s">
        <v>3042</v>
      </c>
    </row>
    <row r="51" spans="1:17" ht="14.25" customHeight="1" thickBot="1">
      <c r="A51" s="3226" t="s">
        <v>296</v>
      </c>
      <c r="B51" s="3227" t="s">
        <v>2919</v>
      </c>
      <c r="C51" s="3226">
        <v>23000</v>
      </c>
      <c r="D51" s="3226">
        <v>23460</v>
      </c>
      <c r="E51" s="3226">
        <v>25290</v>
      </c>
      <c r="F51" s="3226"/>
      <c r="G51" s="3239">
        <v>16420</v>
      </c>
      <c r="N51" s="3226" t="s">
        <v>3043</v>
      </c>
      <c r="Q51" s="3233" t="s">
        <v>3044</v>
      </c>
    </row>
    <row r="52" spans="1:17" ht="14.25" customHeight="1">
      <c r="A52" s="3226" t="s">
        <v>296</v>
      </c>
      <c r="B52" s="3227" t="s">
        <v>2923</v>
      </c>
      <c r="C52" s="3226">
        <v>26660</v>
      </c>
      <c r="D52" s="3226">
        <v>22350</v>
      </c>
      <c r="E52" s="3226">
        <v>22920</v>
      </c>
      <c r="F52" s="3226"/>
      <c r="G52" s="3239">
        <v>15640</v>
      </c>
      <c r="N52" s="3226" t="s">
        <v>3045</v>
      </c>
    </row>
    <row r="53" spans="1:17" ht="14.25" customHeight="1">
      <c r="A53" s="3226" t="s">
        <v>296</v>
      </c>
      <c r="B53" s="3227" t="s">
        <v>2928</v>
      </c>
      <c r="C53" s="3226">
        <v>23580</v>
      </c>
      <c r="D53" s="3226"/>
      <c r="E53" s="3226">
        <v>24280</v>
      </c>
      <c r="F53" s="3226"/>
      <c r="G53" s="3239"/>
      <c r="N53" s="3226" t="s">
        <v>3046</v>
      </c>
    </row>
    <row r="54" spans="1:17" ht="14.25" customHeight="1" thickBot="1">
      <c r="A54" s="3240" t="s">
        <v>296</v>
      </c>
      <c r="B54" s="3232" t="s">
        <v>2931</v>
      </c>
      <c r="C54" s="3233">
        <v>22460</v>
      </c>
      <c r="D54" s="3233"/>
      <c r="E54" s="3233"/>
      <c r="F54" s="3233"/>
      <c r="G54" s="3241"/>
      <c r="N54" s="3226" t="s">
        <v>3047</v>
      </c>
    </row>
    <row r="55" spans="1:17" ht="14.25" customHeight="1">
      <c r="A55" s="3231" t="s">
        <v>110</v>
      </c>
      <c r="B55" s="3222" t="s">
        <v>3048</v>
      </c>
      <c r="C55" s="3226">
        <v>21970</v>
      </c>
      <c r="D55" s="3226">
        <v>20370</v>
      </c>
      <c r="E55" s="3226">
        <v>20180</v>
      </c>
      <c r="F55" s="3226">
        <v>5730</v>
      </c>
      <c r="G55" s="3226">
        <v>13820</v>
      </c>
      <c r="N55" s="3226" t="s">
        <v>3049</v>
      </c>
    </row>
    <row r="56" spans="1:17" ht="14.25" customHeight="1">
      <c r="A56" s="3226" t="s">
        <v>110</v>
      </c>
      <c r="B56" s="3226" t="s">
        <v>130</v>
      </c>
      <c r="C56" s="3226">
        <v>20470</v>
      </c>
      <c r="D56" s="3226">
        <v>20700</v>
      </c>
      <c r="E56" s="3226">
        <v>20380</v>
      </c>
      <c r="F56" s="3226">
        <v>4760</v>
      </c>
      <c r="G56" s="3226">
        <v>14050</v>
      </c>
      <c r="N56" s="3226" t="s">
        <v>3050</v>
      </c>
    </row>
    <row r="57" spans="1:17" ht="14.25" customHeight="1">
      <c r="A57" s="3226" t="s">
        <v>110</v>
      </c>
      <c r="B57" s="3226" t="s">
        <v>139</v>
      </c>
      <c r="C57" s="3226">
        <v>20790</v>
      </c>
      <c r="D57" s="3226">
        <v>21370</v>
      </c>
      <c r="E57" s="3226">
        <v>20890</v>
      </c>
      <c r="F57" s="3226">
        <v>4910</v>
      </c>
      <c r="G57" s="3226">
        <v>14510</v>
      </c>
      <c r="N57" s="3226" t="s">
        <v>3051</v>
      </c>
    </row>
    <row r="58" spans="1:17" ht="14.25" customHeight="1">
      <c r="A58" s="3226" t="s">
        <v>110</v>
      </c>
      <c r="B58" s="3226" t="s">
        <v>148</v>
      </c>
      <c r="C58" s="3226">
        <v>21460</v>
      </c>
      <c r="D58" s="3226">
        <v>20920</v>
      </c>
      <c r="E58" s="3226">
        <v>23410</v>
      </c>
      <c r="F58" s="3226">
        <v>5100</v>
      </c>
      <c r="G58" s="3226">
        <v>14200</v>
      </c>
      <c r="N58" s="3226" t="s">
        <v>3052</v>
      </c>
    </row>
    <row r="59" spans="1:17" ht="14.25" customHeight="1">
      <c r="A59" s="3226" t="s">
        <v>110</v>
      </c>
      <c r="B59" s="3226" t="s">
        <v>157</v>
      </c>
      <c r="C59" s="3226">
        <v>21000</v>
      </c>
      <c r="D59" s="3226">
        <v>21550</v>
      </c>
      <c r="E59" s="3226">
        <v>21150</v>
      </c>
      <c r="F59" s="3226">
        <v>5250</v>
      </c>
      <c r="G59" s="3226">
        <v>14630</v>
      </c>
      <c r="N59" s="3226" t="s">
        <v>3053</v>
      </c>
    </row>
    <row r="60" spans="1:17" ht="14.25" customHeight="1">
      <c r="A60" s="3226" t="s">
        <v>110</v>
      </c>
      <c r="B60" s="3226" t="s">
        <v>164</v>
      </c>
      <c r="C60" s="3226">
        <v>21640</v>
      </c>
      <c r="D60" s="3226">
        <v>21260</v>
      </c>
      <c r="E60" s="3226">
        <v>24040</v>
      </c>
      <c r="F60" s="3226">
        <v>4470</v>
      </c>
      <c r="G60" s="3226">
        <v>14430</v>
      </c>
      <c r="N60" s="3226" t="s">
        <v>3054</v>
      </c>
    </row>
    <row r="61" spans="1:17" ht="14.25" customHeight="1">
      <c r="A61" s="3226" t="s">
        <v>110</v>
      </c>
      <c r="B61" s="3226" t="s">
        <v>170</v>
      </c>
      <c r="C61" s="3226">
        <v>21330</v>
      </c>
      <c r="D61" s="3226">
        <v>18640</v>
      </c>
      <c r="E61" s="3226">
        <v>21190</v>
      </c>
      <c r="F61" s="3226">
        <v>4180</v>
      </c>
      <c r="G61" s="3226">
        <v>12650</v>
      </c>
      <c r="N61" s="3226" t="s">
        <v>3055</v>
      </c>
    </row>
    <row r="62" spans="1:17" ht="14.25" customHeight="1">
      <c r="A62" s="3226" t="s">
        <v>110</v>
      </c>
      <c r="B62" s="3226" t="s">
        <v>177</v>
      </c>
      <c r="C62" s="3226">
        <v>18710</v>
      </c>
      <c r="D62" s="3226">
        <v>19400</v>
      </c>
      <c r="E62" s="3226">
        <v>23750</v>
      </c>
      <c r="F62" s="3226">
        <v>4860</v>
      </c>
      <c r="G62" s="3226">
        <v>13170</v>
      </c>
      <c r="N62" s="3226" t="s">
        <v>3056</v>
      </c>
    </row>
    <row r="63" spans="1:17" ht="14.25" customHeight="1">
      <c r="A63" s="3226" t="s">
        <v>110</v>
      </c>
      <c r="B63" s="3226" t="s">
        <v>187</v>
      </c>
      <c r="C63" s="3226">
        <v>19480</v>
      </c>
      <c r="D63" s="3226">
        <v>16830</v>
      </c>
      <c r="E63" s="3226">
        <v>21590</v>
      </c>
      <c r="F63" s="3226">
        <v>4560</v>
      </c>
      <c r="G63" s="3226">
        <v>11420</v>
      </c>
      <c r="N63" s="3226" t="s">
        <v>3057</v>
      </c>
    </row>
    <row r="64" spans="1:17" ht="14.25" customHeight="1" thickBot="1">
      <c r="A64" s="3226" t="s">
        <v>110</v>
      </c>
      <c r="B64" s="3226" t="s">
        <v>196</v>
      </c>
      <c r="C64" s="3226">
        <v>16920</v>
      </c>
      <c r="D64" s="3226">
        <v>19190</v>
      </c>
      <c r="E64" s="3226">
        <v>22200</v>
      </c>
      <c r="F64" s="3226">
        <v>4390</v>
      </c>
      <c r="G64" s="3226">
        <v>13030</v>
      </c>
      <c r="N64" s="3233" t="s">
        <v>3058</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2929</v>
      </c>
      <c r="C78" s="3226">
        <v>19820</v>
      </c>
      <c r="D78" s="3226">
        <v>19780</v>
      </c>
      <c r="E78" s="3226">
        <v>18560</v>
      </c>
      <c r="F78" s="3226"/>
      <c r="G78" s="3226">
        <v>13430</v>
      </c>
    </row>
    <row r="79" spans="1:7" s="3215" customFormat="1" ht="14.25" customHeight="1">
      <c r="A79" s="3226" t="s">
        <v>110</v>
      </c>
      <c r="B79" s="3226" t="s">
        <v>2932</v>
      </c>
      <c r="C79" s="3226">
        <v>21660</v>
      </c>
      <c r="D79" s="3226">
        <v>18000</v>
      </c>
      <c r="E79" s="3226">
        <v>22570</v>
      </c>
      <c r="F79" s="3226"/>
      <c r="G79" s="3226">
        <v>12220</v>
      </c>
    </row>
    <row r="80" spans="1:7" s="3215" customFormat="1" ht="14.25" customHeight="1">
      <c r="A80" s="3226" t="s">
        <v>110</v>
      </c>
      <c r="B80" s="3226" t="s">
        <v>2936</v>
      </c>
      <c r="C80" s="3226">
        <v>19850</v>
      </c>
      <c r="D80" s="3226"/>
      <c r="E80" s="3226">
        <v>21700</v>
      </c>
      <c r="F80" s="3226"/>
      <c r="G80" s="3226"/>
    </row>
    <row r="81" spans="1:7" s="3215" customFormat="1" ht="14.25" customHeight="1">
      <c r="A81" s="3226" t="s">
        <v>110</v>
      </c>
      <c r="B81" s="3226" t="s">
        <v>2941</v>
      </c>
      <c r="C81" s="3226">
        <v>18080</v>
      </c>
      <c r="D81" s="3226"/>
      <c r="E81" s="3226">
        <v>20900</v>
      </c>
      <c r="F81" s="3226"/>
      <c r="G81" s="3226"/>
    </row>
    <row r="82" spans="1:7" s="3215" customFormat="1" ht="14.25" customHeight="1">
      <c r="A82" s="3226" t="s">
        <v>110</v>
      </c>
      <c r="B82" s="3226" t="s">
        <v>2948</v>
      </c>
      <c r="C82" s="3226"/>
      <c r="D82" s="3226"/>
      <c r="E82" s="3226">
        <v>20840</v>
      </c>
      <c r="F82" s="3226"/>
      <c r="G82" s="3226"/>
    </row>
    <row r="83" spans="1:7" s="3215" customFormat="1" ht="14.25" customHeight="1">
      <c r="A83" s="3226" t="s">
        <v>110</v>
      </c>
      <c r="B83" s="3226" t="s">
        <v>3059</v>
      </c>
      <c r="C83" s="3226"/>
      <c r="D83" s="3226"/>
      <c r="E83" s="3226"/>
      <c r="F83" s="3226">
        <v>4770</v>
      </c>
      <c r="G83" s="3226"/>
    </row>
    <row r="84" spans="1:7" s="3215" customFormat="1" ht="14.25" customHeight="1">
      <c r="A84" s="3226" t="s">
        <v>110</v>
      </c>
      <c r="B84" s="3226" t="s">
        <v>3060</v>
      </c>
      <c r="C84" s="3226"/>
      <c r="D84" s="3226"/>
      <c r="E84" s="3226"/>
      <c r="F84" s="3226">
        <v>4600</v>
      </c>
      <c r="G84" s="3226"/>
    </row>
    <row r="85" spans="1:7" s="3215" customFormat="1" ht="14.25" customHeight="1">
      <c r="A85" s="3226" t="s">
        <v>110</v>
      </c>
      <c r="B85" s="3226" t="s">
        <v>3061</v>
      </c>
      <c r="C85" s="3226"/>
      <c r="D85" s="3226"/>
      <c r="E85" s="3226"/>
      <c r="F85" s="3226">
        <v>4680</v>
      </c>
      <c r="G85" s="3226"/>
    </row>
    <row r="86" spans="1:7" s="3215" customFormat="1" ht="14.25" customHeight="1" thickBot="1">
      <c r="A86" s="3234" t="s">
        <v>110</v>
      </c>
      <c r="B86" s="3236" t="s">
        <v>3062</v>
      </c>
      <c r="C86" s="3237">
        <v>16610</v>
      </c>
      <c r="D86" s="3237">
        <v>16540</v>
      </c>
      <c r="E86" s="3237">
        <v>18850</v>
      </c>
      <c r="F86" s="3237"/>
      <c r="G86" s="3237">
        <v>11220</v>
      </c>
    </row>
    <row r="87" spans="1:7" s="3215" customFormat="1" ht="14.25" customHeight="1">
      <c r="A87" s="3231" t="s">
        <v>303</v>
      </c>
      <c r="B87" s="3222" t="s">
        <v>3063</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2942</v>
      </c>
      <c r="C113" s="3226">
        <v>15520</v>
      </c>
      <c r="D113" s="3226">
        <v>15450</v>
      </c>
      <c r="E113" s="3226"/>
      <c r="F113" s="3226"/>
      <c r="G113" s="3239">
        <v>10210</v>
      </c>
    </row>
    <row r="114" spans="1:7" s="3215" customFormat="1" ht="14.25" customHeight="1">
      <c r="A114" s="3226" t="s">
        <v>303</v>
      </c>
      <c r="B114" s="3226" t="s">
        <v>2949</v>
      </c>
      <c r="C114" s="3226">
        <v>13110</v>
      </c>
      <c r="D114" s="3226">
        <v>13050</v>
      </c>
      <c r="E114" s="3226"/>
      <c r="F114" s="3226"/>
      <c r="G114" s="3239">
        <v>8620</v>
      </c>
    </row>
    <row r="115" spans="1:7" s="3215" customFormat="1" ht="14.25" customHeight="1">
      <c r="A115" s="3226" t="s">
        <v>303</v>
      </c>
      <c r="B115" s="3226" t="s">
        <v>2955</v>
      </c>
      <c r="C115" s="3226">
        <v>12460</v>
      </c>
      <c r="D115" s="3226">
        <v>12390</v>
      </c>
      <c r="E115" s="3226"/>
      <c r="F115" s="3226"/>
      <c r="G115" s="3239">
        <v>8190</v>
      </c>
    </row>
    <row r="116" spans="1:7" s="3215" customFormat="1" ht="14.25" customHeight="1">
      <c r="A116" s="3226" t="s">
        <v>303</v>
      </c>
      <c r="B116" s="3226" t="s">
        <v>2962</v>
      </c>
      <c r="C116" s="3226">
        <v>13580</v>
      </c>
      <c r="D116" s="3226">
        <v>13520</v>
      </c>
      <c r="E116" s="3226"/>
      <c r="F116" s="3226"/>
      <c r="G116" s="3239">
        <v>8930</v>
      </c>
    </row>
    <row r="117" spans="1:7" s="3215" customFormat="1" ht="14.25" customHeight="1">
      <c r="A117" s="3226" t="s">
        <v>303</v>
      </c>
      <c r="B117" s="3226" t="s">
        <v>2969</v>
      </c>
      <c r="C117" s="3226">
        <v>17120</v>
      </c>
      <c r="D117" s="3226">
        <v>17040</v>
      </c>
      <c r="E117" s="3226"/>
      <c r="F117" s="3226"/>
      <c r="G117" s="3239">
        <v>11260</v>
      </c>
    </row>
    <row r="118" spans="1:7" s="3215" customFormat="1" ht="14.25" customHeight="1">
      <c r="A118" s="3226" t="s">
        <v>303</v>
      </c>
      <c r="B118" s="3226" t="s">
        <v>2974</v>
      </c>
      <c r="C118" s="3226">
        <v>14860</v>
      </c>
      <c r="D118" s="3226">
        <v>14790</v>
      </c>
      <c r="E118" s="3226"/>
      <c r="F118" s="3226"/>
      <c r="G118" s="3239">
        <v>9780</v>
      </c>
    </row>
    <row r="119" spans="1:7" s="3215" customFormat="1" ht="14.25" customHeight="1">
      <c r="A119" s="3226" t="s">
        <v>303</v>
      </c>
      <c r="B119" s="3226" t="s">
        <v>2978</v>
      </c>
      <c r="C119" s="3226">
        <v>16470</v>
      </c>
      <c r="D119" s="3226">
        <v>16400</v>
      </c>
      <c r="E119" s="3226"/>
      <c r="F119" s="3226"/>
      <c r="G119" s="3239">
        <v>10840</v>
      </c>
    </row>
    <row r="120" spans="1:7" s="3215" customFormat="1" ht="14.25" customHeight="1">
      <c r="A120" s="3226" t="s">
        <v>303</v>
      </c>
      <c r="B120" s="3226" t="s">
        <v>3064</v>
      </c>
      <c r="C120" s="3226"/>
      <c r="D120" s="3226"/>
      <c r="E120" s="3226"/>
      <c r="F120" s="3226">
        <v>4160</v>
      </c>
      <c r="G120" s="3239"/>
    </row>
    <row r="121" spans="1:7" s="3215" customFormat="1" ht="14.25" customHeight="1">
      <c r="A121" s="3226" t="s">
        <v>303</v>
      </c>
      <c r="B121" s="3226" t="s">
        <v>3065</v>
      </c>
      <c r="C121" s="3226"/>
      <c r="D121" s="3226"/>
      <c r="E121" s="3226"/>
      <c r="F121" s="3226">
        <v>3880</v>
      </c>
      <c r="G121" s="3239"/>
    </row>
    <row r="122" spans="1:7" s="3215" customFormat="1" ht="14.25" customHeight="1">
      <c r="A122" s="3226" t="s">
        <v>303</v>
      </c>
      <c r="B122" s="3226" t="s">
        <v>3066</v>
      </c>
      <c r="C122" s="3226">
        <v>13750</v>
      </c>
      <c r="D122" s="3226">
        <v>13680</v>
      </c>
      <c r="E122" s="3226">
        <v>16460</v>
      </c>
      <c r="F122" s="3226">
        <v>2880</v>
      </c>
      <c r="G122" s="3239">
        <v>9040</v>
      </c>
    </row>
    <row r="123" spans="1:7" s="3215" customFormat="1" ht="14.25" customHeight="1">
      <c r="A123" s="3226" t="s">
        <v>303</v>
      </c>
      <c r="B123" s="3226" t="s">
        <v>2997</v>
      </c>
      <c r="C123" s="3226">
        <v>13590</v>
      </c>
      <c r="D123" s="3226">
        <v>13520</v>
      </c>
      <c r="E123" s="3226">
        <v>16290</v>
      </c>
      <c r="F123" s="3226">
        <v>2790</v>
      </c>
      <c r="G123" s="3239">
        <v>8930</v>
      </c>
    </row>
    <row r="124" spans="1:7" s="3215" customFormat="1" ht="14.25" customHeight="1">
      <c r="A124" s="3226" t="s">
        <v>303</v>
      </c>
      <c r="B124" s="3226" t="s">
        <v>3002</v>
      </c>
      <c r="C124" s="3226">
        <v>13400</v>
      </c>
      <c r="D124" s="3226">
        <v>13320</v>
      </c>
      <c r="E124" s="3226">
        <v>16100</v>
      </c>
      <c r="F124" s="3226">
        <v>2320</v>
      </c>
      <c r="G124" s="3239">
        <v>8800</v>
      </c>
    </row>
    <row r="125" spans="1:7" s="3215" customFormat="1" ht="14.25" customHeight="1">
      <c r="A125" s="3226" t="s">
        <v>303</v>
      </c>
      <c r="B125" s="3226" t="s">
        <v>3007</v>
      </c>
      <c r="C125" s="3226">
        <v>12860</v>
      </c>
      <c r="D125" s="3226">
        <v>12790</v>
      </c>
      <c r="E125" s="3226">
        <v>15370</v>
      </c>
      <c r="F125" s="3226">
        <v>2280</v>
      </c>
      <c r="G125" s="3239">
        <v>8450</v>
      </c>
    </row>
    <row r="126" spans="1:7" s="3215" customFormat="1" ht="14.25" customHeight="1" thickBot="1">
      <c r="A126" s="3240" t="s">
        <v>303</v>
      </c>
      <c r="B126" s="3233" t="s">
        <v>3012</v>
      </c>
      <c r="C126" s="3233">
        <v>12960</v>
      </c>
      <c r="D126" s="3233">
        <v>12890</v>
      </c>
      <c r="E126" s="3233">
        <v>15530</v>
      </c>
      <c r="F126" s="3233">
        <v>2910</v>
      </c>
      <c r="G126" s="3241">
        <v>8520</v>
      </c>
    </row>
    <row r="127" spans="1:7" s="3215" customFormat="1" ht="14.25" customHeight="1">
      <c r="A127" s="3231" t="s">
        <v>29</v>
      </c>
      <c r="B127" s="3222" t="s">
        <v>3067</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3068</v>
      </c>
      <c r="C148" s="3226">
        <v>10370</v>
      </c>
      <c r="D148" s="3226">
        <v>10310</v>
      </c>
      <c r="E148" s="3226">
        <v>12970</v>
      </c>
      <c r="F148" s="3226"/>
      <c r="G148" s="3226">
        <v>6630</v>
      </c>
    </row>
    <row r="149" spans="1:7" s="3215" customFormat="1" ht="14.25" customHeight="1">
      <c r="A149" s="3226" t="s">
        <v>29</v>
      </c>
      <c r="B149" s="3226" t="s">
        <v>3069</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2943</v>
      </c>
      <c r="C153" s="3226">
        <v>10880</v>
      </c>
      <c r="D153" s="3226">
        <v>10820</v>
      </c>
      <c r="E153" s="3226">
        <v>13660</v>
      </c>
      <c r="F153" s="3226">
        <v>2260</v>
      </c>
      <c r="G153" s="3226">
        <v>6970</v>
      </c>
    </row>
    <row r="154" spans="1:7" s="3215" customFormat="1" ht="14.25" customHeight="1">
      <c r="A154" s="3226" t="s">
        <v>29</v>
      </c>
      <c r="B154" s="3226" t="s">
        <v>3070</v>
      </c>
      <c r="C154" s="3226">
        <v>11220</v>
      </c>
      <c r="D154" s="3226">
        <v>11160</v>
      </c>
      <c r="E154" s="3226">
        <v>14130</v>
      </c>
      <c r="F154" s="3226">
        <v>2230</v>
      </c>
      <c r="G154" s="3226">
        <v>7180</v>
      </c>
    </row>
    <row r="155" spans="1:7" s="3215" customFormat="1" ht="14.25" customHeight="1">
      <c r="A155" s="3226" t="s">
        <v>29</v>
      </c>
      <c r="B155" s="3226" t="s">
        <v>2956</v>
      </c>
      <c r="C155" s="3226">
        <v>10430</v>
      </c>
      <c r="D155" s="3226">
        <v>10380</v>
      </c>
      <c r="E155" s="3226">
        <v>13140</v>
      </c>
      <c r="F155" s="3226">
        <v>2080</v>
      </c>
      <c r="G155" s="3226">
        <v>6650</v>
      </c>
    </row>
    <row r="156" spans="1:7" s="3215" customFormat="1" ht="14.25" customHeight="1">
      <c r="A156" s="3226" t="s">
        <v>29</v>
      </c>
      <c r="B156" s="3226" t="s">
        <v>3071</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3072</v>
      </c>
      <c r="C160" s="3226">
        <v>11180</v>
      </c>
      <c r="D160" s="3226">
        <v>11140</v>
      </c>
      <c r="E160" s="3226">
        <v>14050</v>
      </c>
      <c r="F160" s="3226">
        <v>2270</v>
      </c>
      <c r="G160" s="3226">
        <v>7170</v>
      </c>
    </row>
    <row r="161" spans="1:7" s="3215" customFormat="1" ht="14.25" customHeight="1">
      <c r="A161" s="3226" t="s">
        <v>29</v>
      </c>
      <c r="B161" s="3226" t="s">
        <v>2988</v>
      </c>
      <c r="C161" s="3226">
        <v>11160</v>
      </c>
      <c r="D161" s="3226">
        <v>11120</v>
      </c>
      <c r="E161" s="3226">
        <v>14020</v>
      </c>
      <c r="F161" s="3226">
        <v>2150</v>
      </c>
      <c r="G161" s="3226">
        <v>7160</v>
      </c>
    </row>
    <row r="162" spans="1:7" s="3215" customFormat="1" ht="14.25" customHeight="1">
      <c r="A162" s="3226" t="s">
        <v>29</v>
      </c>
      <c r="B162" s="3226" t="s">
        <v>2993</v>
      </c>
      <c r="C162" s="3226">
        <v>9620</v>
      </c>
      <c r="D162" s="3226">
        <v>9570</v>
      </c>
      <c r="E162" s="3226">
        <v>12320</v>
      </c>
      <c r="F162" s="3226">
        <v>2010</v>
      </c>
      <c r="G162" s="3226">
        <v>6160</v>
      </c>
    </row>
    <row r="163" spans="1:7" s="3215" customFormat="1" ht="14.25" customHeight="1">
      <c r="A163" s="3226" t="s">
        <v>29</v>
      </c>
      <c r="B163" s="3226" t="s">
        <v>2998</v>
      </c>
      <c r="C163" s="3226">
        <v>9320</v>
      </c>
      <c r="D163" s="3226">
        <v>9270</v>
      </c>
      <c r="E163" s="3226">
        <v>11790</v>
      </c>
      <c r="F163" s="3226">
        <v>1920</v>
      </c>
      <c r="G163" s="3226">
        <v>5960</v>
      </c>
    </row>
    <row r="164" spans="1:7" s="3215" customFormat="1" ht="14.25" customHeight="1">
      <c r="A164" s="3226" t="s">
        <v>29</v>
      </c>
      <c r="B164" s="3226" t="s">
        <v>3003</v>
      </c>
      <c r="C164" s="3226"/>
      <c r="D164" s="3226"/>
      <c r="E164" s="3226"/>
      <c r="F164" s="3226">
        <v>1980</v>
      </c>
      <c r="G164" s="3226"/>
    </row>
    <row r="165" spans="1:7" s="3215" customFormat="1" ht="14.25" customHeight="1">
      <c r="A165" s="3226" t="s">
        <v>29</v>
      </c>
      <c r="B165" s="3226" t="s">
        <v>3073</v>
      </c>
      <c r="C165" s="3226">
        <v>11060</v>
      </c>
      <c r="D165" s="3226">
        <v>11030</v>
      </c>
      <c r="E165" s="3226">
        <v>13850</v>
      </c>
      <c r="F165" s="3226">
        <v>2170</v>
      </c>
      <c r="G165" s="3226">
        <v>7090</v>
      </c>
    </row>
    <row r="166" spans="1:7" s="3215" customFormat="1" ht="14.25" customHeight="1">
      <c r="A166" s="3226" t="s">
        <v>29</v>
      </c>
      <c r="B166" s="3226" t="s">
        <v>3013</v>
      </c>
      <c r="C166" s="3226">
        <v>11050</v>
      </c>
      <c r="D166" s="3226">
        <v>11010</v>
      </c>
      <c r="E166" s="3226">
        <v>13920</v>
      </c>
      <c r="F166" s="3226">
        <v>2140</v>
      </c>
      <c r="G166" s="3226">
        <v>7080</v>
      </c>
    </row>
    <row r="167" spans="1:7" s="3215" customFormat="1" ht="14.25" customHeight="1">
      <c r="A167" s="3226" t="s">
        <v>29</v>
      </c>
      <c r="B167" s="3226" t="s">
        <v>3017</v>
      </c>
      <c r="C167" s="3226">
        <v>10930</v>
      </c>
      <c r="D167" s="3226">
        <v>10890</v>
      </c>
      <c r="E167" s="3226">
        <v>13790</v>
      </c>
      <c r="F167" s="3226">
        <v>2010</v>
      </c>
      <c r="G167" s="3226">
        <v>7000</v>
      </c>
    </row>
    <row r="168" spans="1:7" s="3215" customFormat="1" ht="14.25" customHeight="1">
      <c r="A168" s="3226" t="s">
        <v>29</v>
      </c>
      <c r="B168" s="3226" t="s">
        <v>3022</v>
      </c>
      <c r="C168" s="3226">
        <v>9420</v>
      </c>
      <c r="D168" s="3226">
        <v>9380</v>
      </c>
      <c r="E168" s="3226">
        <v>11970</v>
      </c>
      <c r="F168" s="3226"/>
      <c r="G168" s="3226">
        <v>6040</v>
      </c>
    </row>
    <row r="169" spans="1:7" s="3215" customFormat="1" ht="14.25" customHeight="1">
      <c r="A169" s="3226" t="s">
        <v>29</v>
      </c>
      <c r="B169" s="3226" t="s">
        <v>3074</v>
      </c>
      <c r="C169" s="3226"/>
      <c r="D169" s="3226"/>
      <c r="E169" s="3226"/>
      <c r="F169" s="3226">
        <v>2880</v>
      </c>
      <c r="G169" s="3226"/>
    </row>
    <row r="170" spans="1:7" s="3215" customFormat="1" ht="14.25" customHeight="1">
      <c r="A170" s="3226" t="s">
        <v>29</v>
      </c>
      <c r="B170" s="3226" t="s">
        <v>3030</v>
      </c>
      <c r="C170" s="3226"/>
      <c r="D170" s="3226"/>
      <c r="E170" s="3226"/>
      <c r="F170" s="3226">
        <v>2880</v>
      </c>
      <c r="G170" s="3226"/>
    </row>
    <row r="171" spans="1:7" s="3215" customFormat="1" ht="14.25" customHeight="1">
      <c r="A171" s="3226" t="s">
        <v>29</v>
      </c>
      <c r="B171" s="3226" t="s">
        <v>3033</v>
      </c>
      <c r="C171" s="3226"/>
      <c r="D171" s="3226"/>
      <c r="E171" s="3226"/>
      <c r="F171" s="3226">
        <v>2880</v>
      </c>
      <c r="G171" s="3226"/>
    </row>
    <row r="172" spans="1:7" s="3215" customFormat="1" ht="14.25" customHeight="1">
      <c r="A172" s="3226" t="s">
        <v>29</v>
      </c>
      <c r="B172" s="3226" t="s">
        <v>3035</v>
      </c>
      <c r="C172" s="3226"/>
      <c r="D172" s="3226"/>
      <c r="E172" s="3226"/>
      <c r="F172" s="3226">
        <v>2880</v>
      </c>
      <c r="G172" s="3226"/>
    </row>
    <row r="173" spans="1:7" s="3215" customFormat="1" ht="14.25" customHeight="1">
      <c r="A173" s="3226" t="s">
        <v>29</v>
      </c>
      <c r="B173" s="3226" t="s">
        <v>3037</v>
      </c>
      <c r="C173" s="3226"/>
      <c r="D173" s="3226"/>
      <c r="E173" s="3226"/>
      <c r="F173" s="3226">
        <v>2150</v>
      </c>
      <c r="G173" s="3226"/>
    </row>
    <row r="174" spans="1:7" s="3215" customFormat="1" ht="14.25" customHeight="1">
      <c r="A174" s="3226" t="s">
        <v>29</v>
      </c>
      <c r="B174" s="3226" t="s">
        <v>3039</v>
      </c>
      <c r="C174" s="3226"/>
      <c r="D174" s="3226"/>
      <c r="E174" s="3226"/>
      <c r="F174" s="3226">
        <v>2030</v>
      </c>
      <c r="G174" s="3226"/>
    </row>
    <row r="175" spans="1:7" s="3215" customFormat="1" ht="14.25" customHeight="1">
      <c r="A175" s="3226" t="s">
        <v>29</v>
      </c>
      <c r="B175" s="3226" t="s">
        <v>3041</v>
      </c>
      <c r="C175" s="3226"/>
      <c r="D175" s="3226"/>
      <c r="E175" s="3226"/>
      <c r="F175" s="3226">
        <v>2780</v>
      </c>
      <c r="G175" s="3226"/>
    </row>
    <row r="176" spans="1:7" s="3215" customFormat="1" ht="14.25" customHeight="1">
      <c r="A176" s="3226" t="s">
        <v>29</v>
      </c>
      <c r="B176" s="3226" t="s">
        <v>3043</v>
      </c>
      <c r="C176" s="3226"/>
      <c r="D176" s="3226"/>
      <c r="E176" s="3226"/>
      <c r="F176" s="3226">
        <v>2780</v>
      </c>
      <c r="G176" s="3226"/>
    </row>
    <row r="177" spans="1:7" s="3215" customFormat="1" ht="14.25" customHeight="1">
      <c r="A177" s="3226" t="s">
        <v>29</v>
      </c>
      <c r="B177" s="3226" t="s">
        <v>3075</v>
      </c>
      <c r="C177" s="3226"/>
      <c r="D177" s="3226"/>
      <c r="E177" s="3226"/>
      <c r="F177" s="3226">
        <v>2780</v>
      </c>
      <c r="G177" s="3226"/>
    </row>
    <row r="178" spans="1:7" s="3215" customFormat="1" ht="14.25" customHeight="1">
      <c r="A178" s="3226" t="s">
        <v>29</v>
      </c>
      <c r="B178" s="3226" t="s">
        <v>3076</v>
      </c>
      <c r="C178" s="3226"/>
      <c r="D178" s="3226"/>
      <c r="E178" s="3226"/>
      <c r="F178" s="3226">
        <v>2060</v>
      </c>
      <c r="G178" s="3226"/>
    </row>
    <row r="179" spans="1:7" s="3215" customFormat="1" ht="14.25" customHeight="1">
      <c r="A179" s="3226" t="s">
        <v>29</v>
      </c>
      <c r="B179" s="3226" t="s">
        <v>3077</v>
      </c>
      <c r="C179" s="3226"/>
      <c r="D179" s="3226"/>
      <c r="E179" s="3226"/>
      <c r="F179" s="3226">
        <v>2120</v>
      </c>
      <c r="G179" s="3226"/>
    </row>
    <row r="180" spans="1:7" s="3215" customFormat="1" ht="14.25" customHeight="1">
      <c r="A180" s="3226" t="s">
        <v>29</v>
      </c>
      <c r="B180" s="3226" t="s">
        <v>3049</v>
      </c>
      <c r="C180" s="3226"/>
      <c r="D180" s="3226"/>
      <c r="E180" s="3226"/>
      <c r="F180" s="3226">
        <v>2340</v>
      </c>
      <c r="G180" s="3226"/>
    </row>
    <row r="181" spans="1:7" s="3215" customFormat="1" ht="14.25" customHeight="1">
      <c r="A181" s="3226" t="s">
        <v>29</v>
      </c>
      <c r="B181" s="3226" t="s">
        <v>3050</v>
      </c>
      <c r="C181" s="3226"/>
      <c r="D181" s="3226"/>
      <c r="E181" s="3226"/>
      <c r="F181" s="3226">
        <v>2340</v>
      </c>
      <c r="G181" s="3226"/>
    </row>
    <row r="182" spans="1:7" s="3215" customFormat="1" ht="14.25" customHeight="1">
      <c r="A182" s="3226" t="s">
        <v>29</v>
      </c>
      <c r="B182" s="3226" t="s">
        <v>3051</v>
      </c>
      <c r="C182" s="3226"/>
      <c r="D182" s="3226"/>
      <c r="E182" s="3226"/>
      <c r="F182" s="3226">
        <v>2340</v>
      </c>
      <c r="G182" s="3226"/>
    </row>
    <row r="183" spans="1:7" s="3215" customFormat="1" ht="14.25" customHeight="1">
      <c r="A183" s="3226" t="s">
        <v>29</v>
      </c>
      <c r="B183" s="3226" t="s">
        <v>3052</v>
      </c>
      <c r="C183" s="3226"/>
      <c r="D183" s="3226"/>
      <c r="E183" s="3226"/>
      <c r="F183" s="3226">
        <v>2340</v>
      </c>
      <c r="G183" s="3226"/>
    </row>
    <row r="184" spans="1:7" s="3215" customFormat="1" ht="14.25" customHeight="1">
      <c r="A184" s="3226" t="s">
        <v>29</v>
      </c>
      <c r="B184" s="3226" t="s">
        <v>3053</v>
      </c>
      <c r="C184" s="3226"/>
      <c r="D184" s="3226"/>
      <c r="E184" s="3226"/>
      <c r="F184" s="3226">
        <v>2340</v>
      </c>
      <c r="G184" s="3226"/>
    </row>
    <row r="185" spans="1:7" s="3215" customFormat="1" ht="14.25" customHeight="1">
      <c r="A185" s="3226" t="s">
        <v>29</v>
      </c>
      <c r="B185" s="3226" t="s">
        <v>3054</v>
      </c>
      <c r="C185" s="3226"/>
      <c r="D185" s="3226"/>
      <c r="E185" s="3226"/>
      <c r="F185" s="3226">
        <v>2530</v>
      </c>
      <c r="G185" s="3226"/>
    </row>
    <row r="186" spans="1:7" s="3215" customFormat="1" ht="14.25" customHeight="1">
      <c r="A186" s="3226" t="s">
        <v>29</v>
      </c>
      <c r="B186" s="3226" t="s">
        <v>3055</v>
      </c>
      <c r="C186" s="3226"/>
      <c r="D186" s="3226"/>
      <c r="E186" s="3226"/>
      <c r="F186" s="3226">
        <v>2550</v>
      </c>
      <c r="G186" s="3226"/>
    </row>
    <row r="187" spans="1:7" s="3215" customFormat="1" ht="14.25" customHeight="1">
      <c r="A187" s="3226" t="s">
        <v>29</v>
      </c>
      <c r="B187" s="3226" t="s">
        <v>3056</v>
      </c>
      <c r="C187" s="3226"/>
      <c r="D187" s="3226"/>
      <c r="E187" s="3226"/>
      <c r="F187" s="3226">
        <v>2070</v>
      </c>
      <c r="G187" s="3226"/>
    </row>
    <row r="188" spans="1:7" s="3215" customFormat="1" ht="14.25" customHeight="1">
      <c r="A188" s="3226" t="s">
        <v>29</v>
      </c>
      <c r="B188" s="3226" t="s">
        <v>3057</v>
      </c>
      <c r="C188" s="3226"/>
      <c r="D188" s="3226"/>
      <c r="E188" s="3226"/>
      <c r="F188" s="3226">
        <v>2340</v>
      </c>
      <c r="G188" s="3226"/>
    </row>
    <row r="189" spans="1:7" s="3215" customFormat="1" ht="14.25" customHeight="1" thickBot="1">
      <c r="A189" s="3234" t="s">
        <v>29</v>
      </c>
      <c r="B189" s="3237" t="s">
        <v>3058</v>
      </c>
      <c r="C189" s="3237"/>
      <c r="D189" s="3237"/>
      <c r="E189" s="3237"/>
      <c r="F189" s="3237">
        <v>2050</v>
      </c>
      <c r="G189" s="3237"/>
    </row>
    <row r="190" spans="1:7" s="3215" customFormat="1" ht="14.25" customHeight="1">
      <c r="A190" s="3231" t="s">
        <v>304</v>
      </c>
      <c r="B190" s="3222" t="s">
        <v>3078</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3079</v>
      </c>
      <c r="C199" s="3226">
        <v>8690</v>
      </c>
      <c r="D199" s="3226">
        <v>8630</v>
      </c>
      <c r="E199" s="3226">
        <v>11350</v>
      </c>
      <c r="F199" s="3226">
        <v>1600</v>
      </c>
      <c r="G199" s="3239">
        <v>5450</v>
      </c>
    </row>
    <row r="200" spans="1:7" s="3215" customFormat="1" ht="14.25" customHeight="1">
      <c r="A200" s="3226" t="s">
        <v>304</v>
      </c>
      <c r="B200" s="3226" t="s">
        <v>2890</v>
      </c>
      <c r="C200" s="3226"/>
      <c r="D200" s="3226"/>
      <c r="E200" s="3226"/>
      <c r="F200" s="3226">
        <v>1510</v>
      </c>
      <c r="G200" s="3239"/>
    </row>
    <row r="201" spans="1:7" s="3215" customFormat="1" ht="14.25" customHeight="1">
      <c r="A201" s="3226" t="s">
        <v>304</v>
      </c>
      <c r="B201" s="3226" t="s">
        <v>3080</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3081</v>
      </c>
      <c r="C203" s="3226">
        <v>8130</v>
      </c>
      <c r="D203" s="3226">
        <v>8070</v>
      </c>
      <c r="E203" s="3226">
        <v>10820</v>
      </c>
      <c r="F203" s="3226">
        <v>1690</v>
      </c>
      <c r="G203" s="3239">
        <v>5100</v>
      </c>
    </row>
    <row r="204" spans="1:7" s="3215" customFormat="1" ht="14.25" customHeight="1">
      <c r="A204" s="3226" t="s">
        <v>304</v>
      </c>
      <c r="B204" s="3226" t="s">
        <v>2901</v>
      </c>
      <c r="C204" s="3226">
        <v>8350</v>
      </c>
      <c r="D204" s="3226">
        <v>8290</v>
      </c>
      <c r="E204" s="3226">
        <v>11080</v>
      </c>
      <c r="F204" s="3226">
        <v>1450</v>
      </c>
      <c r="G204" s="3239">
        <v>5240</v>
      </c>
    </row>
    <row r="205" spans="1:7" s="3215" customFormat="1" ht="14.25" customHeight="1">
      <c r="A205" s="3226" t="s">
        <v>304</v>
      </c>
      <c r="B205" s="3226" t="s">
        <v>2903</v>
      </c>
      <c r="C205" s="3226">
        <v>7190</v>
      </c>
      <c r="D205" s="3226">
        <v>7130</v>
      </c>
      <c r="E205" s="3226">
        <v>9490</v>
      </c>
      <c r="F205" s="3226">
        <v>1470</v>
      </c>
      <c r="G205" s="3239">
        <v>4510</v>
      </c>
    </row>
    <row r="206" spans="1:7" s="3215" customFormat="1" ht="14.25" customHeight="1">
      <c r="A206" s="3226" t="s">
        <v>304</v>
      </c>
      <c r="B206" s="3226" t="s">
        <v>2906</v>
      </c>
      <c r="C206" s="3226">
        <v>7000</v>
      </c>
      <c r="D206" s="3226">
        <v>6950</v>
      </c>
      <c r="E206" s="3226">
        <v>9170</v>
      </c>
      <c r="F206" s="3226">
        <v>1400</v>
      </c>
      <c r="G206" s="3239">
        <v>4380</v>
      </c>
    </row>
    <row r="207" spans="1:7" s="3215" customFormat="1" ht="14.25" customHeight="1">
      <c r="A207" s="3226" t="s">
        <v>304</v>
      </c>
      <c r="B207" s="3226" t="s">
        <v>2908</v>
      </c>
      <c r="C207" s="3226">
        <v>6950</v>
      </c>
      <c r="D207" s="3226">
        <v>6900</v>
      </c>
      <c r="E207" s="3226">
        <v>9110</v>
      </c>
      <c r="F207" s="3226">
        <v>1790</v>
      </c>
      <c r="G207" s="3239">
        <v>4360</v>
      </c>
    </row>
    <row r="208" spans="1:7" s="3215" customFormat="1" ht="14.25" customHeight="1">
      <c r="A208" s="3226" t="s">
        <v>304</v>
      </c>
      <c r="B208" s="3226" t="s">
        <v>3082</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2918</v>
      </c>
      <c r="C210" s="3226">
        <v>8710</v>
      </c>
      <c r="D210" s="3226">
        <v>8660</v>
      </c>
      <c r="E210" s="3226">
        <v>11440</v>
      </c>
      <c r="F210" s="3226">
        <v>1740</v>
      </c>
      <c r="G210" s="3239">
        <v>5470</v>
      </c>
    </row>
    <row r="211" spans="1:7" s="3215" customFormat="1" ht="14.25" customHeight="1">
      <c r="A211" s="3226" t="s">
        <v>304</v>
      </c>
      <c r="B211" s="3226" t="s">
        <v>3083</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3084</v>
      </c>
      <c r="C214" s="3226">
        <v>8090</v>
      </c>
      <c r="D214" s="3226">
        <v>8030</v>
      </c>
      <c r="E214" s="3226">
        <v>10780</v>
      </c>
      <c r="F214" s="3226">
        <v>1570</v>
      </c>
      <c r="G214" s="3239">
        <v>5070</v>
      </c>
    </row>
    <row r="215" spans="1:7" s="3215" customFormat="1" ht="14.25" customHeight="1">
      <c r="A215" s="3226" t="s">
        <v>304</v>
      </c>
      <c r="B215" s="3226" t="s">
        <v>3085</v>
      </c>
      <c r="C215" s="3226">
        <v>7950</v>
      </c>
      <c r="D215" s="3226">
        <v>7900</v>
      </c>
      <c r="E215" s="3226">
        <v>10560</v>
      </c>
      <c r="F215" s="3226">
        <v>1630</v>
      </c>
      <c r="G215" s="3239">
        <v>4990</v>
      </c>
    </row>
    <row r="216" spans="1:7" s="3215" customFormat="1" ht="14.25" customHeight="1">
      <c r="A216" s="3226" t="s">
        <v>304</v>
      </c>
      <c r="B216" s="3226" t="s">
        <v>3086</v>
      </c>
      <c r="C216" s="3226">
        <v>8490</v>
      </c>
      <c r="D216" s="3226">
        <v>8440</v>
      </c>
      <c r="E216" s="3226">
        <v>11260</v>
      </c>
      <c r="F216" s="3226">
        <v>1690</v>
      </c>
      <c r="G216" s="3239">
        <v>5330</v>
      </c>
    </row>
    <row r="217" spans="1:7" s="3215" customFormat="1" ht="14.25" customHeight="1">
      <c r="A217" s="3226" t="s">
        <v>304</v>
      </c>
      <c r="B217" s="3226" t="s">
        <v>2951</v>
      </c>
      <c r="C217" s="3226">
        <v>8200</v>
      </c>
      <c r="D217" s="3226">
        <v>8150</v>
      </c>
      <c r="E217" s="3226">
        <v>10910</v>
      </c>
      <c r="F217" s="3226">
        <v>1670</v>
      </c>
      <c r="G217" s="3239">
        <v>5150</v>
      </c>
    </row>
    <row r="218" spans="1:7" s="3215" customFormat="1" ht="14.25" customHeight="1">
      <c r="A218" s="3226" t="s">
        <v>304</v>
      </c>
      <c r="B218" s="3226" t="s">
        <v>3087</v>
      </c>
      <c r="C218" s="3226"/>
      <c r="D218" s="3226"/>
      <c r="E218" s="3226"/>
      <c r="F218" s="3226">
        <v>2040</v>
      </c>
      <c r="G218" s="3239"/>
    </row>
    <row r="219" spans="1:7" s="3215" customFormat="1" ht="14.25" customHeight="1">
      <c r="A219" s="3226" t="s">
        <v>304</v>
      </c>
      <c r="B219" s="3226" t="s">
        <v>3088</v>
      </c>
      <c r="C219" s="3226"/>
      <c r="D219" s="3226"/>
      <c r="E219" s="3226"/>
      <c r="F219" s="3226">
        <v>2040</v>
      </c>
      <c r="G219" s="3239"/>
    </row>
    <row r="220" spans="1:7" s="3215" customFormat="1" ht="14.25" customHeight="1">
      <c r="A220" s="3226" t="s">
        <v>304</v>
      </c>
      <c r="B220" s="3226" t="s">
        <v>3089</v>
      </c>
      <c r="C220" s="3226"/>
      <c r="D220" s="3226"/>
      <c r="E220" s="3226"/>
      <c r="F220" s="3226">
        <v>2040</v>
      </c>
      <c r="G220" s="3239"/>
    </row>
    <row r="221" spans="1:7" s="3215" customFormat="1" ht="14.25" customHeight="1">
      <c r="A221" s="3226" t="s">
        <v>304</v>
      </c>
      <c r="B221" s="3226" t="s">
        <v>3090</v>
      </c>
      <c r="C221" s="3226"/>
      <c r="D221" s="3226"/>
      <c r="E221" s="3226"/>
      <c r="F221" s="3226">
        <v>2040</v>
      </c>
      <c r="G221" s="3239"/>
    </row>
    <row r="222" spans="1:7" s="3215" customFormat="1" ht="14.25" customHeight="1">
      <c r="A222" s="3226" t="s">
        <v>304</v>
      </c>
      <c r="B222" s="3226" t="s">
        <v>3091</v>
      </c>
      <c r="C222" s="3226"/>
      <c r="D222" s="3226"/>
      <c r="E222" s="3226"/>
      <c r="F222" s="3226">
        <v>2040</v>
      </c>
      <c r="G222" s="3239"/>
    </row>
    <row r="223" spans="1:7" s="3215" customFormat="1" ht="14.25" customHeight="1">
      <c r="A223" s="3226" t="s">
        <v>304</v>
      </c>
      <c r="B223" s="3226" t="s">
        <v>3092</v>
      </c>
      <c r="C223" s="3226"/>
      <c r="D223" s="3226"/>
      <c r="E223" s="3226"/>
      <c r="F223" s="3226">
        <v>1930</v>
      </c>
      <c r="G223" s="3239"/>
    </row>
    <row r="224" spans="1:7" s="3215" customFormat="1" ht="14.25" customHeight="1">
      <c r="A224" s="3226" t="s">
        <v>304</v>
      </c>
      <c r="B224" s="3226" t="s">
        <v>3093</v>
      </c>
      <c r="C224" s="3226"/>
      <c r="D224" s="3226"/>
      <c r="E224" s="3226"/>
      <c r="F224" s="3226">
        <v>1930</v>
      </c>
      <c r="G224" s="3239"/>
    </row>
    <row r="225" spans="1:7" s="3215" customFormat="1" ht="14.25" customHeight="1">
      <c r="A225" s="3226" t="s">
        <v>304</v>
      </c>
      <c r="B225" s="3226" t="s">
        <v>3094</v>
      </c>
      <c r="C225" s="3226"/>
      <c r="D225" s="3226"/>
      <c r="E225" s="3226"/>
      <c r="F225" s="3226">
        <v>1930</v>
      </c>
      <c r="G225" s="3239"/>
    </row>
    <row r="226" spans="1:7" s="3215" customFormat="1" ht="14.25" customHeight="1">
      <c r="A226" s="3226" t="s">
        <v>304</v>
      </c>
      <c r="B226" s="3226" t="s">
        <v>3095</v>
      </c>
      <c r="C226" s="3226"/>
      <c r="D226" s="3226"/>
      <c r="E226" s="3226"/>
      <c r="F226" s="3226">
        <v>1700</v>
      </c>
      <c r="G226" s="3239"/>
    </row>
    <row r="227" spans="1:7" s="3215" customFormat="1" ht="14.25" customHeight="1">
      <c r="A227" s="3226" t="s">
        <v>304</v>
      </c>
      <c r="B227" s="3226" t="s">
        <v>3096</v>
      </c>
      <c r="C227" s="3226"/>
      <c r="D227" s="3226"/>
      <c r="E227" s="3226"/>
      <c r="F227" s="3226">
        <v>1520</v>
      </c>
      <c r="G227" s="3239"/>
    </row>
    <row r="228" spans="1:7" s="3215" customFormat="1" ht="14.25" customHeight="1">
      <c r="A228" s="3226" t="s">
        <v>304</v>
      </c>
      <c r="B228" s="3226" t="s">
        <v>3097</v>
      </c>
      <c r="C228" s="3226"/>
      <c r="D228" s="3226"/>
      <c r="E228" s="3226"/>
      <c r="F228" s="3226">
        <v>1520</v>
      </c>
      <c r="G228" s="3239"/>
    </row>
    <row r="229" spans="1:7" s="3215" customFormat="1" ht="14.25" customHeight="1">
      <c r="A229" s="3226" t="s">
        <v>304</v>
      </c>
      <c r="B229" s="3226" t="s">
        <v>3014</v>
      </c>
      <c r="C229" s="3226"/>
      <c r="D229" s="3226"/>
      <c r="E229" s="3226"/>
      <c r="F229" s="3226">
        <v>1520</v>
      </c>
      <c r="G229" s="3239"/>
    </row>
    <row r="230" spans="1:7" s="3215" customFormat="1" ht="14.25" customHeight="1">
      <c r="A230" s="3226" t="s">
        <v>304</v>
      </c>
      <c r="B230" s="3226" t="s">
        <v>3098</v>
      </c>
      <c r="C230" s="3226"/>
      <c r="D230" s="3226"/>
      <c r="E230" s="3226"/>
      <c r="F230" s="3226">
        <v>1820</v>
      </c>
      <c r="G230" s="3239"/>
    </row>
    <row r="231" spans="1:7" s="3215" customFormat="1" ht="14.25" customHeight="1">
      <c r="A231" s="3226" t="s">
        <v>304</v>
      </c>
      <c r="B231" s="3226" t="s">
        <v>3099</v>
      </c>
      <c r="C231" s="3226"/>
      <c r="D231" s="3226"/>
      <c r="E231" s="3226"/>
      <c r="F231" s="3226">
        <v>1760</v>
      </c>
      <c r="G231" s="3239"/>
    </row>
    <row r="232" spans="1:7" s="3215" customFormat="1" ht="14.25" customHeight="1">
      <c r="A232" s="3226" t="s">
        <v>304</v>
      </c>
      <c r="B232" s="3226" t="s">
        <v>3100</v>
      </c>
      <c r="C232" s="3226"/>
      <c r="D232" s="3226"/>
      <c r="E232" s="3226"/>
      <c r="F232" s="3226">
        <v>1840</v>
      </c>
      <c r="G232" s="3239"/>
    </row>
    <row r="233" spans="1:7" s="3215" customFormat="1" ht="14.25" customHeight="1" thickBot="1">
      <c r="A233" s="3240" t="s">
        <v>304</v>
      </c>
      <c r="B233" s="3233" t="s">
        <v>3031</v>
      </c>
      <c r="C233" s="3233"/>
      <c r="D233" s="3233"/>
      <c r="E233" s="3233"/>
      <c r="F233" s="3233">
        <v>1770</v>
      </c>
      <c r="G233" s="3241"/>
    </row>
    <row r="234" spans="1:7" s="3215" customFormat="1" ht="14.25" customHeight="1">
      <c r="A234" s="3231" t="s">
        <v>305</v>
      </c>
      <c r="B234" s="3222" t="s">
        <v>3101</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2872</v>
      </c>
      <c r="C238" s="3226">
        <v>6920</v>
      </c>
      <c r="D238" s="3226">
        <v>6890</v>
      </c>
      <c r="E238" s="3226">
        <v>8640</v>
      </c>
      <c r="F238" s="3226">
        <v>1310</v>
      </c>
      <c r="G238" s="3226">
        <v>4230</v>
      </c>
    </row>
    <row r="239" spans="1:7" s="3215" customFormat="1" ht="14.25" customHeight="1">
      <c r="A239" s="3226" t="s">
        <v>305</v>
      </c>
      <c r="B239" s="3226" t="s">
        <v>3102</v>
      </c>
      <c r="C239" s="3226">
        <v>6780</v>
      </c>
      <c r="D239" s="3226">
        <v>6750</v>
      </c>
      <c r="E239" s="3226">
        <v>8440</v>
      </c>
      <c r="F239" s="3226">
        <v>1160</v>
      </c>
      <c r="G239" s="3226">
        <v>4140</v>
      </c>
    </row>
    <row r="240" spans="1:7" s="3215" customFormat="1" ht="14.25" customHeight="1">
      <c r="A240" s="3226" t="s">
        <v>305</v>
      </c>
      <c r="B240" s="3226" t="s">
        <v>3103</v>
      </c>
      <c r="C240" s="3226">
        <v>5420</v>
      </c>
      <c r="D240" s="3226">
        <v>5380</v>
      </c>
      <c r="E240" s="3226">
        <v>6640</v>
      </c>
      <c r="F240" s="3226">
        <v>1020</v>
      </c>
      <c r="G240" s="3226">
        <v>3300</v>
      </c>
    </row>
    <row r="241" spans="1:7" s="3215" customFormat="1" ht="14.25" customHeight="1">
      <c r="A241" s="3226" t="s">
        <v>305</v>
      </c>
      <c r="B241" s="3226" t="s">
        <v>3104</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3105</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3106</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3107</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3108</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3109</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2934</v>
      </c>
      <c r="C258" s="3226">
        <v>6190</v>
      </c>
      <c r="D258" s="3226">
        <v>6160</v>
      </c>
      <c r="E258" s="3226">
        <v>7680</v>
      </c>
      <c r="F258" s="3226">
        <v>1170</v>
      </c>
      <c r="G258" s="3226">
        <v>3780</v>
      </c>
    </row>
    <row r="259" spans="1:7" s="3215" customFormat="1" ht="14.25" customHeight="1">
      <c r="A259" s="3226" t="s">
        <v>305</v>
      </c>
      <c r="B259" s="3226" t="s">
        <v>3110</v>
      </c>
      <c r="C259" s="3226">
        <v>7610</v>
      </c>
      <c r="D259" s="3226">
        <v>7570</v>
      </c>
      <c r="E259" s="3226">
        <v>9350</v>
      </c>
      <c r="F259" s="3226">
        <v>1350</v>
      </c>
      <c r="G259" s="3226">
        <v>4650</v>
      </c>
    </row>
    <row r="260" spans="1:7" s="3215" customFormat="1" ht="14.25" customHeight="1">
      <c r="A260" s="3226" t="s">
        <v>305</v>
      </c>
      <c r="B260" s="3226" t="s">
        <v>3111</v>
      </c>
      <c r="C260" s="3226">
        <v>6920</v>
      </c>
      <c r="D260" s="3226">
        <v>6880</v>
      </c>
      <c r="E260" s="3226">
        <v>8380</v>
      </c>
      <c r="F260" s="3226">
        <v>1160</v>
      </c>
      <c r="G260" s="3226">
        <v>4220</v>
      </c>
    </row>
    <row r="261" spans="1:7" s="3215" customFormat="1" ht="14.25" customHeight="1">
      <c r="A261" s="3226" t="s">
        <v>305</v>
      </c>
      <c r="B261" s="3226" t="s">
        <v>3112</v>
      </c>
      <c r="C261" s="3226">
        <v>6850</v>
      </c>
      <c r="D261" s="3226">
        <v>6810</v>
      </c>
      <c r="E261" s="3226">
        <v>8290</v>
      </c>
      <c r="F261" s="3226">
        <v>1130</v>
      </c>
      <c r="G261" s="3226">
        <v>4180</v>
      </c>
    </row>
    <row r="262" spans="1:7" s="3215" customFormat="1" ht="14.25" customHeight="1">
      <c r="A262" s="3226" t="s">
        <v>305</v>
      </c>
      <c r="B262" s="3226" t="s">
        <v>3113</v>
      </c>
      <c r="C262" s="3226">
        <v>5860</v>
      </c>
      <c r="D262" s="3226">
        <v>5820</v>
      </c>
      <c r="E262" s="3226">
        <v>7640</v>
      </c>
      <c r="F262" s="3226">
        <v>1070</v>
      </c>
      <c r="G262" s="3226">
        <v>3570</v>
      </c>
    </row>
    <row r="263" spans="1:7" s="3215" customFormat="1" ht="14.25" customHeight="1">
      <c r="A263" s="3226" t="s">
        <v>305</v>
      </c>
      <c r="B263" s="3226" t="s">
        <v>3114</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3115</v>
      </c>
      <c r="C265" s="3226"/>
      <c r="D265" s="3226"/>
      <c r="E265" s="3226"/>
      <c r="F265" s="3226">
        <v>1500</v>
      </c>
      <c r="G265" s="3226"/>
    </row>
    <row r="266" spans="1:7" s="3215" customFormat="1" ht="14.25" customHeight="1">
      <c r="A266" s="3226" t="s">
        <v>305</v>
      </c>
      <c r="B266" s="3226" t="s">
        <v>3116</v>
      </c>
      <c r="C266" s="3226"/>
      <c r="D266" s="3226"/>
      <c r="E266" s="3226"/>
      <c r="F266" s="3226">
        <v>1500</v>
      </c>
      <c r="G266" s="3226"/>
    </row>
    <row r="267" spans="1:7" s="3215" customFormat="1" ht="14.25" customHeight="1">
      <c r="A267" s="3226" t="s">
        <v>305</v>
      </c>
      <c r="B267" s="3226" t="s">
        <v>3117</v>
      </c>
      <c r="C267" s="3226"/>
      <c r="D267" s="3226"/>
      <c r="E267" s="3226"/>
      <c r="F267" s="3226">
        <v>1500</v>
      </c>
      <c r="G267" s="3226"/>
    </row>
    <row r="268" spans="1:7" s="3215" customFormat="1" ht="14.25" customHeight="1">
      <c r="A268" s="3226" t="s">
        <v>305</v>
      </c>
      <c r="B268" s="3226" t="s">
        <v>3118</v>
      </c>
      <c r="C268" s="3226"/>
      <c r="D268" s="3226"/>
      <c r="E268" s="3226"/>
      <c r="F268" s="3226">
        <v>1290</v>
      </c>
      <c r="G268" s="3226"/>
    </row>
    <row r="269" spans="1:7" s="3215" customFormat="1" ht="14.25" customHeight="1">
      <c r="A269" s="3226" t="s">
        <v>305</v>
      </c>
      <c r="B269" s="3226" t="s">
        <v>3119</v>
      </c>
      <c r="C269" s="3226"/>
      <c r="D269" s="3226"/>
      <c r="E269" s="3226"/>
      <c r="F269" s="3226">
        <v>1150</v>
      </c>
      <c r="G269" s="3226"/>
    </row>
    <row r="270" spans="1:7" s="3215" customFormat="1" ht="14.25" customHeight="1">
      <c r="A270" s="3226" t="s">
        <v>305</v>
      </c>
      <c r="B270" s="3226" t="s">
        <v>3120</v>
      </c>
      <c r="C270" s="3226"/>
      <c r="D270" s="3226"/>
      <c r="E270" s="3226"/>
      <c r="F270" s="3226">
        <v>1380</v>
      </c>
      <c r="G270" s="3226"/>
    </row>
    <row r="271" spans="1:7" s="3215" customFormat="1" ht="14.25" customHeight="1">
      <c r="A271" s="3226" t="s">
        <v>305</v>
      </c>
      <c r="B271" s="3226" t="s">
        <v>3121</v>
      </c>
      <c r="C271" s="3226"/>
      <c r="D271" s="3226"/>
      <c r="E271" s="3226"/>
      <c r="F271" s="3226">
        <v>1460</v>
      </c>
      <c r="G271" s="3226"/>
    </row>
    <row r="272" spans="1:7" s="3215" customFormat="1" ht="14.25" customHeight="1">
      <c r="A272" s="3226" t="s">
        <v>305</v>
      </c>
      <c r="B272" s="3226" t="s">
        <v>3122</v>
      </c>
      <c r="C272" s="3226"/>
      <c r="D272" s="3226"/>
      <c r="E272" s="3226"/>
      <c r="F272" s="3226">
        <v>1460</v>
      </c>
      <c r="G272" s="3226"/>
    </row>
    <row r="273" spans="1:7" s="3215" customFormat="1" ht="14.25" customHeight="1">
      <c r="A273" s="3226" t="s">
        <v>305</v>
      </c>
      <c r="B273" s="3226" t="s">
        <v>3015</v>
      </c>
      <c r="C273" s="3226"/>
      <c r="D273" s="3226"/>
      <c r="E273" s="3226"/>
      <c r="F273" s="3226">
        <v>1490</v>
      </c>
      <c r="G273" s="3226"/>
    </row>
    <row r="274" spans="1:7" s="3215" customFormat="1" ht="14.25" customHeight="1">
      <c r="A274" s="3226" t="s">
        <v>305</v>
      </c>
      <c r="B274" s="3226" t="s">
        <v>3123</v>
      </c>
      <c r="C274" s="3226"/>
      <c r="D274" s="3226"/>
      <c r="E274" s="3226"/>
      <c r="F274" s="3226">
        <v>1490</v>
      </c>
      <c r="G274" s="3226"/>
    </row>
    <row r="275" spans="1:7" s="3215" customFormat="1" ht="14.25" customHeight="1">
      <c r="A275" s="3226" t="s">
        <v>305</v>
      </c>
      <c r="B275" s="3226" t="s">
        <v>3124</v>
      </c>
      <c r="C275" s="3226"/>
      <c r="D275" s="3226"/>
      <c r="E275" s="3226"/>
      <c r="F275" s="3226">
        <v>1220</v>
      </c>
      <c r="G275" s="3226"/>
    </row>
    <row r="276" spans="1:7" s="3215" customFormat="1" ht="14.25" customHeight="1" thickBot="1">
      <c r="A276" s="3234" t="s">
        <v>305</v>
      </c>
      <c r="B276" s="3236" t="s">
        <v>3125</v>
      </c>
      <c r="C276" s="3237"/>
      <c r="D276" s="3237"/>
      <c r="E276" s="3237"/>
      <c r="F276" s="3237">
        <v>1380</v>
      </c>
      <c r="G276" s="3237"/>
    </row>
    <row r="277" spans="1:7" s="3215" customFormat="1" ht="14.25" customHeight="1">
      <c r="A277" s="3231" t="s">
        <v>306</v>
      </c>
      <c r="B277" s="3222" t="s">
        <v>3126</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3127</v>
      </c>
      <c r="C279" s="3226">
        <v>4760</v>
      </c>
      <c r="D279" s="3226">
        <v>4720</v>
      </c>
      <c r="E279" s="3226">
        <v>5540</v>
      </c>
      <c r="F279" s="3226">
        <v>810</v>
      </c>
      <c r="G279" s="3239">
        <v>2850</v>
      </c>
    </row>
    <row r="280" spans="1:7" s="3215" customFormat="1" ht="14.25" customHeight="1">
      <c r="A280" s="3226" t="s">
        <v>306</v>
      </c>
      <c r="B280" s="3226" t="s">
        <v>3128</v>
      </c>
      <c r="C280" s="3226">
        <v>4010</v>
      </c>
      <c r="D280" s="3226">
        <v>3950</v>
      </c>
      <c r="E280" s="3226">
        <v>4710</v>
      </c>
      <c r="F280" s="3226">
        <v>800</v>
      </c>
      <c r="G280" s="3239">
        <v>2390</v>
      </c>
    </row>
    <row r="281" spans="1:7" s="3215" customFormat="1" ht="14.25" customHeight="1">
      <c r="A281" s="3226" t="s">
        <v>306</v>
      </c>
      <c r="B281" s="3226" t="s">
        <v>3129</v>
      </c>
      <c r="C281" s="3226">
        <v>4480</v>
      </c>
      <c r="D281" s="3226">
        <v>4420</v>
      </c>
      <c r="E281" s="3226">
        <v>5230</v>
      </c>
      <c r="F281" s="3226">
        <v>870</v>
      </c>
      <c r="G281" s="3239">
        <v>2660</v>
      </c>
    </row>
    <row r="282" spans="1:7" s="3215" customFormat="1" ht="14.25" customHeight="1">
      <c r="A282" s="3226" t="s">
        <v>306</v>
      </c>
      <c r="B282" s="3226" t="s">
        <v>3130</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3131</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3132</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2907</v>
      </c>
      <c r="C293" s="3226">
        <v>5320</v>
      </c>
      <c r="D293" s="3226">
        <v>5270</v>
      </c>
      <c r="E293" s="3226">
        <v>6160</v>
      </c>
      <c r="F293" s="3226">
        <v>990</v>
      </c>
      <c r="G293" s="3239">
        <v>3170</v>
      </c>
    </row>
    <row r="294" spans="1:7" s="3215" customFormat="1" ht="14.25" customHeight="1">
      <c r="A294" s="3226" t="s">
        <v>306</v>
      </c>
      <c r="B294" s="3226" t="s">
        <v>3133</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2926</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3134</v>
      </c>
      <c r="C302" s="3226">
        <v>5520</v>
      </c>
      <c r="D302" s="3226">
        <v>5470</v>
      </c>
      <c r="E302" s="3226">
        <v>6410</v>
      </c>
      <c r="F302" s="3226">
        <v>950</v>
      </c>
      <c r="G302" s="3239">
        <v>3300</v>
      </c>
    </row>
    <row r="303" spans="1:7" s="3215" customFormat="1" ht="14.25" customHeight="1">
      <c r="A303" s="3226" t="s">
        <v>306</v>
      </c>
      <c r="B303" s="3226" t="s">
        <v>2946</v>
      </c>
      <c r="C303" s="3226">
        <v>5630</v>
      </c>
      <c r="D303" s="3226">
        <v>5590</v>
      </c>
      <c r="E303" s="3226">
        <v>6550</v>
      </c>
      <c r="F303" s="3226">
        <v>1010</v>
      </c>
      <c r="G303" s="3239">
        <v>3370</v>
      </c>
    </row>
    <row r="304" spans="1:7" s="3215" customFormat="1" ht="14.25" customHeight="1">
      <c r="A304" s="3226" t="s">
        <v>306</v>
      </c>
      <c r="B304" s="3226" t="s">
        <v>2953</v>
      </c>
      <c r="C304" s="3226">
        <v>5680</v>
      </c>
      <c r="D304" s="3226">
        <v>5620</v>
      </c>
      <c r="E304" s="3226">
        <v>6620</v>
      </c>
      <c r="F304" s="3226">
        <v>1050</v>
      </c>
      <c r="G304" s="3239">
        <v>3390</v>
      </c>
    </row>
    <row r="305" spans="1:7" s="3215" customFormat="1" ht="14.25" customHeight="1">
      <c r="A305" s="3226" t="s">
        <v>306</v>
      </c>
      <c r="B305" s="3226" t="s">
        <v>2959</v>
      </c>
      <c r="C305" s="3226">
        <v>5590</v>
      </c>
      <c r="D305" s="3226">
        <v>5530</v>
      </c>
      <c r="E305" s="3226">
        <v>6460</v>
      </c>
      <c r="F305" s="3226">
        <v>900</v>
      </c>
      <c r="G305" s="3239">
        <v>3340</v>
      </c>
    </row>
    <row r="306" spans="1:7" s="3215" customFormat="1" ht="14.25" customHeight="1">
      <c r="A306" s="3226" t="s">
        <v>306</v>
      </c>
      <c r="B306" s="3226" t="s">
        <v>3135</v>
      </c>
      <c r="C306" s="3226">
        <v>5560</v>
      </c>
      <c r="D306" s="3226">
        <v>5510</v>
      </c>
      <c r="E306" s="3226">
        <v>6440</v>
      </c>
      <c r="F306" s="3226">
        <v>900</v>
      </c>
      <c r="G306" s="3239">
        <v>3320</v>
      </c>
    </row>
    <row r="307" spans="1:7" s="3215" customFormat="1" ht="14.25" customHeight="1">
      <c r="A307" s="3226" t="s">
        <v>306</v>
      </c>
      <c r="B307" s="3226" t="s">
        <v>2971</v>
      </c>
      <c r="C307" s="3226">
        <v>5650</v>
      </c>
      <c r="D307" s="3226">
        <v>5600</v>
      </c>
      <c r="E307" s="3226">
        <v>6590</v>
      </c>
      <c r="F307" s="3226">
        <v>930</v>
      </c>
      <c r="G307" s="3239">
        <v>3380</v>
      </c>
    </row>
    <row r="308" spans="1:7" s="3215" customFormat="1" ht="14.25" customHeight="1">
      <c r="A308" s="3226" t="s">
        <v>306</v>
      </c>
      <c r="B308" s="3226" t="s">
        <v>3136</v>
      </c>
      <c r="C308" s="3226">
        <v>5620</v>
      </c>
      <c r="D308" s="3226">
        <v>5580</v>
      </c>
      <c r="E308" s="3226">
        <v>6540</v>
      </c>
      <c r="F308" s="3226">
        <v>910</v>
      </c>
      <c r="G308" s="3239">
        <v>3370</v>
      </c>
    </row>
    <row r="309" spans="1:7" s="3215" customFormat="1" ht="14.25" customHeight="1">
      <c r="A309" s="3226" t="s">
        <v>306</v>
      </c>
      <c r="B309" s="3226" t="s">
        <v>3137</v>
      </c>
      <c r="C309" s="3226">
        <v>5060</v>
      </c>
      <c r="D309" s="3226">
        <v>5020</v>
      </c>
      <c r="E309" s="3226">
        <v>6370</v>
      </c>
      <c r="F309" s="3226">
        <v>800</v>
      </c>
      <c r="G309" s="3239">
        <v>3020</v>
      </c>
    </row>
    <row r="310" spans="1:7" s="3215" customFormat="1" ht="14.25" customHeight="1">
      <c r="A310" s="3226" t="s">
        <v>306</v>
      </c>
      <c r="B310" s="3226" t="s">
        <v>2986</v>
      </c>
      <c r="C310" s="3226">
        <v>5150</v>
      </c>
      <c r="D310" s="3226">
        <v>5110</v>
      </c>
      <c r="E310" s="3226">
        <v>6500</v>
      </c>
      <c r="F310" s="3226">
        <v>880</v>
      </c>
      <c r="G310" s="3239">
        <v>3080</v>
      </c>
    </row>
    <row r="311" spans="1:7" s="3215" customFormat="1" ht="14.25" customHeight="1">
      <c r="A311" s="3226" t="s">
        <v>306</v>
      </c>
      <c r="B311" s="3226" t="s">
        <v>3138</v>
      </c>
      <c r="C311" s="3226">
        <v>4750</v>
      </c>
      <c r="D311" s="3226">
        <v>4710</v>
      </c>
      <c r="E311" s="3226">
        <v>5510</v>
      </c>
      <c r="F311" s="3226">
        <v>880</v>
      </c>
      <c r="G311" s="3239">
        <v>2840</v>
      </c>
    </row>
    <row r="312" spans="1:7" s="3215" customFormat="1" ht="14.25" customHeight="1">
      <c r="A312" s="3226" t="s">
        <v>306</v>
      </c>
      <c r="B312" s="3226" t="s">
        <v>2996</v>
      </c>
      <c r="C312" s="3226">
        <v>4690</v>
      </c>
      <c r="D312" s="3226">
        <v>4640</v>
      </c>
      <c r="E312" s="3226">
        <v>5420</v>
      </c>
      <c r="F312" s="3226">
        <v>800</v>
      </c>
      <c r="G312" s="3239">
        <v>2800</v>
      </c>
    </row>
    <row r="313" spans="1:7" s="3215" customFormat="1" ht="14.25" customHeight="1">
      <c r="A313" s="3226" t="s">
        <v>306</v>
      </c>
      <c r="B313" s="3226" t="s">
        <v>3001</v>
      </c>
      <c r="C313" s="3226">
        <v>4810</v>
      </c>
      <c r="D313" s="3226">
        <v>4760</v>
      </c>
      <c r="E313" s="3226">
        <v>5550</v>
      </c>
      <c r="F313" s="3226">
        <v>920</v>
      </c>
      <c r="G313" s="3239">
        <v>2870</v>
      </c>
    </row>
    <row r="314" spans="1:7" s="3215" customFormat="1" ht="14.25" customHeight="1">
      <c r="A314" s="3226" t="s">
        <v>306</v>
      </c>
      <c r="B314" s="3226" t="s">
        <v>3139</v>
      </c>
      <c r="C314" s="3226"/>
      <c r="D314" s="3226"/>
      <c r="E314" s="3226"/>
      <c r="F314" s="3226">
        <v>1020</v>
      </c>
      <c r="G314" s="3239"/>
    </row>
    <row r="315" spans="1:7" s="3215" customFormat="1" ht="14.25" customHeight="1">
      <c r="A315" s="3226" t="s">
        <v>306</v>
      </c>
      <c r="B315" s="3226" t="s">
        <v>3140</v>
      </c>
      <c r="C315" s="3226"/>
      <c r="D315" s="3226"/>
      <c r="E315" s="3226"/>
      <c r="F315" s="3226">
        <v>1050</v>
      </c>
      <c r="G315" s="3239"/>
    </row>
    <row r="316" spans="1:7" s="3215" customFormat="1" ht="14.25" customHeight="1">
      <c r="A316" s="3226" t="s">
        <v>306</v>
      </c>
      <c r="B316" s="3226" t="s">
        <v>3016</v>
      </c>
      <c r="C316" s="3226"/>
      <c r="D316" s="3226"/>
      <c r="E316" s="3226"/>
      <c r="F316" s="3226">
        <v>900</v>
      </c>
      <c r="G316" s="3239"/>
    </row>
    <row r="317" spans="1:7" s="3215" customFormat="1" ht="14.25" customHeight="1">
      <c r="A317" s="3226" t="s">
        <v>306</v>
      </c>
      <c r="B317" s="3226" t="s">
        <v>3141</v>
      </c>
      <c r="C317" s="3226"/>
      <c r="D317" s="3226"/>
      <c r="E317" s="3226"/>
      <c r="F317" s="3226">
        <v>920</v>
      </c>
      <c r="G317" s="3239"/>
    </row>
    <row r="318" spans="1:7" s="3215" customFormat="1" ht="14.25" customHeight="1">
      <c r="A318" s="3226" t="s">
        <v>306</v>
      </c>
      <c r="B318" s="3226" t="s">
        <v>3142</v>
      </c>
      <c r="C318" s="3226"/>
      <c r="D318" s="3226"/>
      <c r="E318" s="3226"/>
      <c r="F318" s="3226">
        <v>1080</v>
      </c>
      <c r="G318" s="3239"/>
    </row>
    <row r="319" spans="1:7" s="3215" customFormat="1" ht="14.25" customHeight="1">
      <c r="A319" s="3226" t="s">
        <v>306</v>
      </c>
      <c r="B319" s="3226" t="s">
        <v>3029</v>
      </c>
      <c r="C319" s="3226"/>
      <c r="D319" s="3226"/>
      <c r="E319" s="3226"/>
      <c r="F319" s="3226">
        <v>1020</v>
      </c>
      <c r="G319" s="3239"/>
    </row>
    <row r="320" spans="1:7" s="3215" customFormat="1" ht="14.25" customHeight="1">
      <c r="A320" s="3226" t="s">
        <v>306</v>
      </c>
      <c r="B320" s="3226" t="s">
        <v>3032</v>
      </c>
      <c r="C320" s="3226"/>
      <c r="D320" s="3226"/>
      <c r="E320" s="3226"/>
      <c r="F320" s="3226">
        <v>1050</v>
      </c>
      <c r="G320" s="3239"/>
    </row>
    <row r="321" spans="1:7" s="3215" customFormat="1" ht="14.25" customHeight="1">
      <c r="A321" s="3226" t="s">
        <v>306</v>
      </c>
      <c r="B321" s="3226" t="s">
        <v>3034</v>
      </c>
      <c r="C321" s="3226"/>
      <c r="D321" s="3226"/>
      <c r="E321" s="3226"/>
      <c r="F321" s="3226">
        <v>960</v>
      </c>
      <c r="G321" s="3239"/>
    </row>
    <row r="322" spans="1:7" s="3215" customFormat="1" ht="14.25" customHeight="1">
      <c r="A322" s="3226" t="s">
        <v>306</v>
      </c>
      <c r="B322" s="3226" t="s">
        <v>3036</v>
      </c>
      <c r="C322" s="3226"/>
      <c r="D322" s="3226"/>
      <c r="E322" s="3226"/>
      <c r="F322" s="3226">
        <v>960</v>
      </c>
      <c r="G322" s="3239"/>
    </row>
    <row r="323" spans="1:7" s="3215" customFormat="1" ht="14.25" customHeight="1">
      <c r="A323" s="3226" t="s">
        <v>306</v>
      </c>
      <c r="B323" s="3226" t="s">
        <v>3038</v>
      </c>
      <c r="C323" s="3226"/>
      <c r="D323" s="3226"/>
      <c r="E323" s="3226"/>
      <c r="F323" s="3226">
        <v>880</v>
      </c>
      <c r="G323" s="3239"/>
    </row>
    <row r="324" spans="1:7" s="3215" customFormat="1" ht="14.25" customHeight="1">
      <c r="A324" s="3226" t="s">
        <v>306</v>
      </c>
      <c r="B324" s="3226" t="s">
        <v>3040</v>
      </c>
      <c r="C324" s="3226"/>
      <c r="D324" s="3226"/>
      <c r="E324" s="3226"/>
      <c r="F324" s="3226">
        <v>930</v>
      </c>
      <c r="G324" s="3239"/>
    </row>
    <row r="325" spans="1:7" s="3215" customFormat="1" ht="14.25" customHeight="1">
      <c r="A325" s="3226" t="s">
        <v>306</v>
      </c>
      <c r="B325" s="3227" t="s">
        <v>3042</v>
      </c>
      <c r="C325" s="3226"/>
      <c r="D325" s="3226"/>
      <c r="E325" s="3226"/>
      <c r="F325" s="3226">
        <v>900</v>
      </c>
      <c r="G325" s="3239"/>
    </row>
    <row r="326" spans="1:7" s="3215" customFormat="1" ht="14.25" customHeight="1" thickBot="1">
      <c r="A326" s="3240" t="s">
        <v>306</v>
      </c>
      <c r="B326" s="3233" t="s">
        <v>3044</v>
      </c>
      <c r="C326" s="3233"/>
      <c r="D326" s="3233"/>
      <c r="E326" s="3233"/>
      <c r="F326" s="3233">
        <v>790</v>
      </c>
      <c r="G326" s="3241"/>
    </row>
    <row r="327" spans="1:7" s="3215" customFormat="1" ht="14.25" customHeight="1">
      <c r="A327" s="3231" t="s">
        <v>307</v>
      </c>
      <c r="B327" s="3222" t="s">
        <v>3143</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3144</v>
      </c>
      <c r="C329" s="3226">
        <v>2730</v>
      </c>
      <c r="D329" s="3226">
        <v>2690</v>
      </c>
      <c r="E329" s="3226">
        <v>3100</v>
      </c>
      <c r="F329" s="3226">
        <v>660</v>
      </c>
      <c r="G329" s="3226">
        <v>1610</v>
      </c>
    </row>
    <row r="330" spans="1:7" s="3215" customFormat="1" ht="14.25" customHeight="1">
      <c r="A330" s="3226" t="s">
        <v>307</v>
      </c>
      <c r="B330" s="3226" t="s">
        <v>3145</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2878</v>
      </c>
      <c r="C332" s="3226">
        <v>3520</v>
      </c>
      <c r="D332" s="3226">
        <v>3480</v>
      </c>
      <c r="E332" s="3226">
        <v>3830</v>
      </c>
      <c r="F332" s="3226">
        <v>720</v>
      </c>
      <c r="G332" s="3226">
        <v>2090</v>
      </c>
    </row>
    <row r="333" spans="1:7" s="3215" customFormat="1" ht="14.25" customHeight="1">
      <c r="A333" s="3226" t="s">
        <v>307</v>
      </c>
      <c r="B333" s="3226" t="s">
        <v>3146</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2888</v>
      </c>
      <c r="C336" s="3226">
        <v>3570</v>
      </c>
      <c r="D336" s="3226">
        <v>3530</v>
      </c>
      <c r="E336" s="3226">
        <v>3880</v>
      </c>
      <c r="F336" s="3226">
        <v>770</v>
      </c>
      <c r="G336" s="3226">
        <v>2110</v>
      </c>
    </row>
    <row r="337" spans="1:10" s="3215" customFormat="1" ht="14.25" customHeight="1">
      <c r="A337" s="3226" t="s">
        <v>307</v>
      </c>
      <c r="B337" s="3226" t="s">
        <v>3147</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3148</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3149</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2913</v>
      </c>
      <c r="C345" s="3226">
        <v>3190</v>
      </c>
      <c r="D345" s="3226">
        <v>3140</v>
      </c>
      <c r="E345" s="3226">
        <v>3450</v>
      </c>
      <c r="F345" s="3226">
        <v>720</v>
      </c>
      <c r="G345" s="3226">
        <v>1880</v>
      </c>
      <c r="J345" s="3215"/>
    </row>
    <row r="346" spans="1:10">
      <c r="A346" s="3226" t="s">
        <v>307</v>
      </c>
      <c r="B346" s="3226" t="s">
        <v>3150</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2922</v>
      </c>
      <c r="C348" s="3226">
        <v>4000</v>
      </c>
      <c r="D348" s="3226">
        <v>3950</v>
      </c>
      <c r="E348" s="3226">
        <v>4430</v>
      </c>
      <c r="F348" s="3226">
        <v>760</v>
      </c>
      <c r="G348" s="3226">
        <v>2360</v>
      </c>
      <c r="J348" s="3215"/>
    </row>
    <row r="349" spans="1:10">
      <c r="A349" s="3226" t="s">
        <v>307</v>
      </c>
      <c r="B349" s="3226" t="s">
        <v>2927</v>
      </c>
      <c r="C349" s="3226">
        <v>3820</v>
      </c>
      <c r="D349" s="3226">
        <v>3780</v>
      </c>
      <c r="E349" s="3226">
        <v>4170</v>
      </c>
      <c r="F349" s="3226">
        <v>710</v>
      </c>
      <c r="G349" s="3226">
        <v>2260</v>
      </c>
      <c r="J349" s="3215"/>
    </row>
    <row r="350" spans="1:10">
      <c r="A350" s="3226" t="s">
        <v>307</v>
      </c>
      <c r="B350" s="3226" t="s">
        <v>3151</v>
      </c>
      <c r="C350" s="3226">
        <v>3760</v>
      </c>
      <c r="D350" s="3226">
        <v>3730</v>
      </c>
      <c r="E350" s="3226">
        <v>4100</v>
      </c>
      <c r="F350" s="3226">
        <v>800</v>
      </c>
      <c r="G350" s="3226">
        <v>2230</v>
      </c>
      <c r="J350" s="3215"/>
    </row>
    <row r="351" spans="1:10">
      <c r="A351" s="3226" t="s">
        <v>307</v>
      </c>
      <c r="B351" s="3226" t="s">
        <v>2935</v>
      </c>
      <c r="C351" s="3226">
        <v>3610</v>
      </c>
      <c r="D351" s="3226">
        <v>3580</v>
      </c>
      <c r="E351" s="3226">
        <v>3930</v>
      </c>
      <c r="F351" s="3226">
        <v>700</v>
      </c>
      <c r="G351" s="3226">
        <v>2140</v>
      </c>
      <c r="J351" s="3215"/>
    </row>
    <row r="352" spans="1:10">
      <c r="A352" s="3226" t="s">
        <v>307</v>
      </c>
      <c r="B352" s="3226" t="s">
        <v>2940</v>
      </c>
      <c r="C352" s="3226">
        <v>3670</v>
      </c>
      <c r="D352" s="3226">
        <v>3630</v>
      </c>
      <c r="E352" s="3226">
        <v>4000</v>
      </c>
      <c r="F352" s="3226">
        <v>750</v>
      </c>
      <c r="G352" s="3226">
        <v>2180</v>
      </c>
    </row>
    <row r="353" spans="1:7" s="3219" customFormat="1">
      <c r="A353" s="3226" t="s">
        <v>307</v>
      </c>
      <c r="B353" s="3226" t="s">
        <v>3152</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2960</v>
      </c>
      <c r="C355" s="3226">
        <v>3650</v>
      </c>
      <c r="D355" s="3226">
        <v>3610</v>
      </c>
      <c r="E355" s="3226">
        <v>4200</v>
      </c>
      <c r="F355" s="3226">
        <v>640</v>
      </c>
      <c r="G355" s="3226">
        <v>2160</v>
      </c>
    </row>
    <row r="356" spans="1:7" s="3219" customFormat="1">
      <c r="A356" s="3226" t="s">
        <v>307</v>
      </c>
      <c r="B356" s="3226" t="s">
        <v>2967</v>
      </c>
      <c r="C356" s="3226">
        <v>3260</v>
      </c>
      <c r="D356" s="3226">
        <v>3230</v>
      </c>
      <c r="E356" s="3226">
        <v>3740</v>
      </c>
      <c r="F356" s="3226">
        <v>600</v>
      </c>
      <c r="G356" s="3226">
        <v>1930</v>
      </c>
    </row>
    <row r="357" spans="1:7" s="3219" customFormat="1" ht="11.4" thickBot="1">
      <c r="A357" s="3234" t="s">
        <v>307</v>
      </c>
      <c r="B357" s="3237" t="s">
        <v>3153</v>
      </c>
      <c r="C357" s="3237">
        <v>3690</v>
      </c>
      <c r="D357" s="3237">
        <v>3650</v>
      </c>
      <c r="E357" s="3237">
        <v>4020</v>
      </c>
      <c r="F357" s="3237">
        <v>700</v>
      </c>
      <c r="G357" s="3237">
        <v>2190</v>
      </c>
    </row>
    <row r="358" spans="1:7" s="3219" customFormat="1">
      <c r="A358" s="3231" t="s">
        <v>3154</v>
      </c>
      <c r="B358" s="3222" t="s">
        <v>3155</v>
      </c>
      <c r="C358" s="3222">
        <v>2080</v>
      </c>
      <c r="D358" s="3222">
        <v>2040</v>
      </c>
      <c r="E358" s="3222">
        <v>2010</v>
      </c>
      <c r="F358" s="3222">
        <v>530</v>
      </c>
      <c r="G358" s="3238">
        <v>1230</v>
      </c>
    </row>
    <row r="359" spans="1:7" s="3219" customFormat="1">
      <c r="A359" s="3226" t="s">
        <v>3154</v>
      </c>
      <c r="B359" s="3226" t="s">
        <v>3156</v>
      </c>
      <c r="C359" s="3226">
        <v>1850</v>
      </c>
      <c r="D359" s="3226">
        <v>1820</v>
      </c>
      <c r="E359" s="3226">
        <v>1780</v>
      </c>
      <c r="F359" s="3226">
        <v>520</v>
      </c>
      <c r="G359" s="3239">
        <v>1100</v>
      </c>
    </row>
    <row r="360" spans="1:7" s="3219" customFormat="1">
      <c r="A360" s="3226" t="s">
        <v>3154</v>
      </c>
      <c r="B360" s="3226" t="s">
        <v>3157</v>
      </c>
      <c r="C360" s="3226">
        <v>2020</v>
      </c>
      <c r="D360" s="3226">
        <v>1990</v>
      </c>
      <c r="E360" s="3226">
        <v>1950</v>
      </c>
      <c r="F360" s="3226">
        <v>500</v>
      </c>
      <c r="G360" s="3239">
        <v>1200</v>
      </c>
    </row>
    <row r="361" spans="1:7" s="3219" customFormat="1">
      <c r="A361" s="3226" t="s">
        <v>3154</v>
      </c>
      <c r="B361" s="3226" t="s">
        <v>153</v>
      </c>
      <c r="C361" s="3226">
        <v>2260</v>
      </c>
      <c r="D361" s="3226">
        <v>2220</v>
      </c>
      <c r="E361" s="3226">
        <v>2180</v>
      </c>
      <c r="F361" s="3226">
        <v>580</v>
      </c>
      <c r="G361" s="3239">
        <v>1340</v>
      </c>
    </row>
    <row r="362" spans="1:7" s="3219" customFormat="1">
      <c r="A362" s="3226" t="s">
        <v>3154</v>
      </c>
      <c r="B362" s="3226" t="s">
        <v>3158</v>
      </c>
      <c r="C362" s="3226">
        <v>2650</v>
      </c>
      <c r="D362" s="3226">
        <v>2610</v>
      </c>
      <c r="E362" s="3226">
        <v>2570</v>
      </c>
      <c r="F362" s="3226">
        <v>630</v>
      </c>
      <c r="G362" s="3239">
        <v>1570</v>
      </c>
    </row>
    <row r="363" spans="1:7" s="3219" customFormat="1">
      <c r="A363" s="3226" t="s">
        <v>3154</v>
      </c>
      <c r="B363" s="3226" t="s">
        <v>2879</v>
      </c>
      <c r="C363" s="3226">
        <v>2390</v>
      </c>
      <c r="D363" s="3226">
        <v>2360</v>
      </c>
      <c r="E363" s="3226">
        <v>2320</v>
      </c>
      <c r="F363" s="3226">
        <v>600</v>
      </c>
      <c r="G363" s="3239">
        <v>1420</v>
      </c>
    </row>
    <row r="364" spans="1:7" s="3219" customFormat="1">
      <c r="A364" s="3226" t="s">
        <v>3154</v>
      </c>
      <c r="B364" s="3226" t="s">
        <v>3159</v>
      </c>
      <c r="C364" s="3226">
        <v>2050</v>
      </c>
      <c r="D364" s="3226">
        <v>2030</v>
      </c>
      <c r="E364" s="3226">
        <v>1990</v>
      </c>
      <c r="F364" s="3226">
        <v>550</v>
      </c>
      <c r="G364" s="3239">
        <v>1220</v>
      </c>
    </row>
    <row r="365" spans="1:7" s="3219" customFormat="1">
      <c r="A365" s="3226" t="s">
        <v>3154</v>
      </c>
      <c r="B365" s="3226" t="s">
        <v>200</v>
      </c>
      <c r="C365" s="3226">
        <v>2140</v>
      </c>
      <c r="D365" s="3226">
        <v>2100</v>
      </c>
      <c r="E365" s="3226">
        <v>2060</v>
      </c>
      <c r="F365" s="3226">
        <v>540</v>
      </c>
      <c r="G365" s="3239">
        <v>1270</v>
      </c>
    </row>
    <row r="366" spans="1:7" s="3219" customFormat="1">
      <c r="A366" s="3226" t="s">
        <v>3154</v>
      </c>
      <c r="B366" s="3226" t="s">
        <v>2886</v>
      </c>
      <c r="C366" s="3226">
        <v>2410</v>
      </c>
      <c r="D366" s="3226">
        <v>2370</v>
      </c>
      <c r="E366" s="3226">
        <v>2330</v>
      </c>
      <c r="F366" s="3226">
        <v>570</v>
      </c>
      <c r="G366" s="3239">
        <v>1440</v>
      </c>
    </row>
    <row r="367" spans="1:7" s="3219" customFormat="1">
      <c r="A367" s="3226" t="s">
        <v>3154</v>
      </c>
      <c r="B367" s="3226" t="s">
        <v>3160</v>
      </c>
      <c r="C367" s="3226">
        <v>2300</v>
      </c>
      <c r="D367" s="3226">
        <v>2260</v>
      </c>
      <c r="E367" s="3226">
        <v>2220</v>
      </c>
      <c r="F367" s="3226">
        <v>560</v>
      </c>
      <c r="G367" s="3239">
        <v>1370</v>
      </c>
    </row>
    <row r="368" spans="1:7" s="3219" customFormat="1">
      <c r="A368" s="3226" t="s">
        <v>3154</v>
      </c>
      <c r="B368" s="3226" t="s">
        <v>3161</v>
      </c>
      <c r="C368" s="3226">
        <v>2430</v>
      </c>
      <c r="D368" s="3226">
        <v>2390</v>
      </c>
      <c r="E368" s="3226">
        <v>2350</v>
      </c>
      <c r="F368" s="3226">
        <v>570</v>
      </c>
      <c r="G368" s="3239">
        <v>1450</v>
      </c>
    </row>
    <row r="369" spans="1:7" s="3219" customFormat="1">
      <c r="A369" s="3226" t="s">
        <v>3154</v>
      </c>
      <c r="B369" s="3226" t="s">
        <v>214</v>
      </c>
      <c r="C369" s="3226">
        <v>2320</v>
      </c>
      <c r="D369" s="3226">
        <v>2290</v>
      </c>
      <c r="E369" s="3226">
        <v>2250</v>
      </c>
      <c r="F369" s="3226">
        <v>550</v>
      </c>
      <c r="G369" s="3239">
        <v>1380</v>
      </c>
    </row>
    <row r="370" spans="1:7" s="3219" customFormat="1">
      <c r="A370" s="3226" t="s">
        <v>3154</v>
      </c>
      <c r="B370" s="3226" t="s">
        <v>221</v>
      </c>
      <c r="C370" s="3226">
        <v>2190</v>
      </c>
      <c r="D370" s="3226">
        <v>2170</v>
      </c>
      <c r="E370" s="3226">
        <v>2130</v>
      </c>
      <c r="F370" s="3226">
        <v>530</v>
      </c>
      <c r="G370" s="3239">
        <v>1310</v>
      </c>
    </row>
    <row r="371" spans="1:7" s="3219" customFormat="1">
      <c r="A371" s="3226" t="s">
        <v>3154</v>
      </c>
      <c r="B371" s="3226" t="s">
        <v>229</v>
      </c>
      <c r="C371" s="3226">
        <v>2460</v>
      </c>
      <c r="D371" s="3226">
        <v>2420</v>
      </c>
      <c r="E371" s="3226">
        <v>2370</v>
      </c>
      <c r="F371" s="3226">
        <v>560</v>
      </c>
      <c r="G371" s="3239">
        <v>1470</v>
      </c>
    </row>
    <row r="372" spans="1:7" s="3219" customFormat="1">
      <c r="A372" s="3226" t="s">
        <v>3154</v>
      </c>
      <c r="B372" s="3226" t="s">
        <v>3162</v>
      </c>
      <c r="C372" s="3226">
        <v>2250</v>
      </c>
      <c r="D372" s="3226">
        <v>2210</v>
      </c>
      <c r="E372" s="3226">
        <v>2180</v>
      </c>
      <c r="F372" s="3226">
        <v>550</v>
      </c>
      <c r="G372" s="3239">
        <v>1340</v>
      </c>
    </row>
    <row r="373" spans="1:7" s="3219" customFormat="1">
      <c r="A373" s="3226" t="s">
        <v>3154</v>
      </c>
      <c r="B373" s="3226" t="s">
        <v>258</v>
      </c>
      <c r="C373" s="3226">
        <v>2210</v>
      </c>
      <c r="D373" s="3226">
        <v>2190</v>
      </c>
      <c r="E373" s="3226">
        <v>2150</v>
      </c>
      <c r="F373" s="3226">
        <v>530</v>
      </c>
      <c r="G373" s="3239">
        <v>1320</v>
      </c>
    </row>
    <row r="374" spans="1:7" s="3219" customFormat="1">
      <c r="A374" s="3226" t="s">
        <v>3154</v>
      </c>
      <c r="B374" s="3226" t="s">
        <v>266</v>
      </c>
      <c r="C374" s="3226">
        <v>2320</v>
      </c>
      <c r="D374" s="3226">
        <v>2280</v>
      </c>
      <c r="E374" s="3226">
        <v>2230</v>
      </c>
      <c r="F374" s="3226">
        <v>580</v>
      </c>
      <c r="G374" s="3239">
        <v>1380</v>
      </c>
    </row>
    <row r="375" spans="1:7" s="3219" customFormat="1">
      <c r="A375" s="3226" t="s">
        <v>3154</v>
      </c>
      <c r="B375" s="3226" t="s">
        <v>3163</v>
      </c>
      <c r="C375" s="3226">
        <v>2090</v>
      </c>
      <c r="D375" s="3226">
        <v>2050</v>
      </c>
      <c r="E375" s="3226">
        <v>2020</v>
      </c>
      <c r="F375" s="3226">
        <v>520</v>
      </c>
      <c r="G375" s="3239">
        <v>1240</v>
      </c>
    </row>
    <row r="376" spans="1:7" s="3219" customFormat="1">
      <c r="A376" s="3226" t="s">
        <v>3154</v>
      </c>
      <c r="B376" s="3226" t="s">
        <v>277</v>
      </c>
      <c r="C376" s="3226">
        <v>2010</v>
      </c>
      <c r="D376" s="3226">
        <v>1980</v>
      </c>
      <c r="E376" s="3226">
        <v>1940</v>
      </c>
      <c r="F376" s="3226">
        <v>540</v>
      </c>
      <c r="G376" s="3239">
        <v>1190</v>
      </c>
    </row>
    <row r="377" spans="1:7" s="3219" customFormat="1" ht="11.4" thickBot="1">
      <c r="A377" s="3234" t="s">
        <v>3154</v>
      </c>
      <c r="B377" s="3237" t="s">
        <v>2916</v>
      </c>
      <c r="C377" s="3237">
        <v>1930</v>
      </c>
      <c r="D377" s="3237">
        <v>1890</v>
      </c>
      <c r="E377" s="3237">
        <v>1860</v>
      </c>
      <c r="F377" s="3237">
        <v>530</v>
      </c>
      <c r="G377" s="3242">
        <v>1150</v>
      </c>
    </row>
    <row r="378" spans="1:7" s="3219" customFormat="1">
      <c r="A378" s="3243" t="s">
        <v>3164</v>
      </c>
      <c r="B378" s="3222" t="s">
        <v>3165</v>
      </c>
      <c r="C378" s="3222">
        <v>1520</v>
      </c>
      <c r="D378" s="3222">
        <v>1490</v>
      </c>
      <c r="E378" s="3222">
        <v>1460</v>
      </c>
      <c r="F378" s="3222">
        <v>460</v>
      </c>
      <c r="G378" s="3238">
        <v>940</v>
      </c>
    </row>
    <row r="379" spans="1:7" s="3219" customFormat="1">
      <c r="A379" s="3244" t="s">
        <v>3164</v>
      </c>
      <c r="B379" s="3226" t="s">
        <v>3166</v>
      </c>
      <c r="C379" s="3226">
        <v>1500</v>
      </c>
      <c r="D379" s="3226">
        <v>1470</v>
      </c>
      <c r="E379" s="3226">
        <v>1430</v>
      </c>
      <c r="F379" s="3226">
        <v>460</v>
      </c>
      <c r="G379" s="3239">
        <v>920</v>
      </c>
    </row>
    <row r="380" spans="1:7" s="3219" customFormat="1">
      <c r="A380" s="3244" t="s">
        <v>3164</v>
      </c>
      <c r="B380" s="3226" t="s">
        <v>3167</v>
      </c>
      <c r="C380" s="3226">
        <v>1620</v>
      </c>
      <c r="D380" s="3226">
        <v>1590</v>
      </c>
      <c r="E380" s="3226">
        <v>1560</v>
      </c>
      <c r="F380" s="3226">
        <v>480</v>
      </c>
      <c r="G380" s="3239">
        <v>1000</v>
      </c>
    </row>
    <row r="381" spans="1:7" s="3219" customFormat="1">
      <c r="A381" s="3244" t="s">
        <v>3164</v>
      </c>
      <c r="B381" s="3226" t="s">
        <v>3168</v>
      </c>
      <c r="C381" s="3226">
        <v>1460</v>
      </c>
      <c r="D381" s="3226">
        <v>1430</v>
      </c>
      <c r="E381" s="3226">
        <v>1390</v>
      </c>
      <c r="F381" s="3226">
        <v>450</v>
      </c>
      <c r="G381" s="3239">
        <v>900</v>
      </c>
    </row>
    <row r="382" spans="1:7" s="3219" customFormat="1">
      <c r="A382" s="3244" t="s">
        <v>3164</v>
      </c>
      <c r="B382" s="3226" t="s">
        <v>3169</v>
      </c>
      <c r="C382" s="3226">
        <v>1310</v>
      </c>
      <c r="D382" s="3226">
        <v>1280</v>
      </c>
      <c r="E382" s="3226">
        <v>1250</v>
      </c>
      <c r="F382" s="3226">
        <v>440</v>
      </c>
      <c r="G382" s="3239">
        <v>800</v>
      </c>
    </row>
    <row r="383" spans="1:7" s="3219" customFormat="1">
      <c r="A383" s="3244" t="s">
        <v>3164</v>
      </c>
      <c r="B383" s="3226" t="s">
        <v>3170</v>
      </c>
      <c r="C383" s="3226">
        <v>1260</v>
      </c>
      <c r="D383" s="3226">
        <v>1230</v>
      </c>
      <c r="E383" s="3226">
        <v>1200</v>
      </c>
      <c r="F383" s="3226">
        <v>420</v>
      </c>
      <c r="G383" s="3239">
        <v>770</v>
      </c>
    </row>
    <row r="384" spans="1:7" s="3219" customFormat="1" ht="11.4" thickBot="1">
      <c r="A384" s="3245" t="s">
        <v>3164</v>
      </c>
      <c r="B384" s="3233" t="s">
        <v>3171</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2" customWidth="1"/>
    <col min="2" max="2" width="20" style="3282" customWidth="1"/>
    <col min="3" max="7" width="8.88671875" style="3246"/>
    <col min="8" max="16384" width="8.88671875" style="3247"/>
  </cols>
  <sheetData>
    <row r="1" spans="1:7">
      <c r="A1" s="3852" t="s">
        <v>3172</v>
      </c>
      <c r="B1" s="3852"/>
    </row>
    <row r="2" spans="1:7" ht="15" thickBot="1">
      <c r="A2" s="3248"/>
      <c r="B2" s="3248"/>
    </row>
    <row r="3" spans="1:7" ht="15" thickBot="1">
      <c r="A3" s="3248"/>
      <c r="B3" s="3248"/>
      <c r="C3" s="3249" t="s">
        <v>2800</v>
      </c>
      <c r="D3" s="3249" t="s">
        <v>2858</v>
      </c>
      <c r="E3" s="3249" t="s">
        <v>2802</v>
      </c>
      <c r="F3" s="3249" t="s">
        <v>2859</v>
      </c>
      <c r="G3" s="3249" t="s">
        <v>2620</v>
      </c>
    </row>
    <row r="4" spans="1:7" ht="15" thickBot="1">
      <c r="A4" s="3250" t="s">
        <v>2857</v>
      </c>
      <c r="B4" s="3251" t="s">
        <v>2863</v>
      </c>
      <c r="C4" s="3249"/>
      <c r="D4" s="3249"/>
      <c r="E4" s="3249"/>
      <c r="F4" s="3249"/>
      <c r="G4" s="3249"/>
    </row>
    <row r="5" spans="1:7">
      <c r="A5" s="3252" t="s">
        <v>2831</v>
      </c>
      <c r="B5" s="3253" t="s">
        <v>2845</v>
      </c>
      <c r="C5" s="3254">
        <v>9.8000000000000004E-2</v>
      </c>
      <c r="D5" s="3254">
        <v>8.6999999999999994E-2</v>
      </c>
      <c r="E5" s="3254">
        <v>8.6999999999999994E-2</v>
      </c>
      <c r="F5" s="3254">
        <v>9.8000000000000004E-2</v>
      </c>
      <c r="G5" s="3255">
        <v>9.5000000000000001E-2</v>
      </c>
    </row>
    <row r="6" spans="1:7">
      <c r="A6" s="3256" t="s">
        <v>144</v>
      </c>
      <c r="B6" s="3257" t="s">
        <v>2860</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5" thickBot="1">
      <c r="A9" s="3260" t="s">
        <v>144</v>
      </c>
      <c r="B9" s="3261" t="s">
        <v>154</v>
      </c>
      <c r="C9" s="3262">
        <v>0.1</v>
      </c>
      <c r="D9" s="3262">
        <v>0.1</v>
      </c>
      <c r="E9" s="3262">
        <v>0.1</v>
      </c>
      <c r="F9" s="3263"/>
      <c r="G9" s="3264">
        <v>0.1</v>
      </c>
    </row>
    <row r="10" spans="1:7">
      <c r="A10" s="3252" t="s">
        <v>184</v>
      </c>
      <c r="B10" s="3253" t="s">
        <v>2846</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2896</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5" thickBot="1">
      <c r="A29" s="3260" t="s">
        <v>184</v>
      </c>
      <c r="B29" s="3261" t="s">
        <v>2914</v>
      </c>
      <c r="C29" s="3266"/>
      <c r="D29" s="3262">
        <v>5.1999999999999998E-2</v>
      </c>
      <c r="E29" s="3262">
        <v>7.0000000000000007E-2</v>
      </c>
      <c r="F29" s="3266"/>
      <c r="G29" s="3264">
        <v>7.0999999999999994E-2</v>
      </c>
    </row>
    <row r="30" spans="1:7">
      <c r="A30" s="3267" t="s">
        <v>296</v>
      </c>
      <c r="B30" s="3253" t="s">
        <v>2847</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2833</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2917</v>
      </c>
      <c r="C50" s="3258">
        <v>9.8000000000000004E-2</v>
      </c>
      <c r="D50" s="3258">
        <v>7.2999999999999995E-2</v>
      </c>
      <c r="E50" s="3258">
        <v>7.0999999999999994E-2</v>
      </c>
      <c r="F50" s="3269"/>
      <c r="G50" s="3259">
        <v>7.2999999999999995E-2</v>
      </c>
    </row>
    <row r="51" spans="1:7">
      <c r="A51" s="3268" t="s">
        <v>296</v>
      </c>
      <c r="B51" s="3257" t="s">
        <v>2919</v>
      </c>
      <c r="C51" s="3258">
        <v>9.9000000000000005E-2</v>
      </c>
      <c r="D51" s="3258">
        <v>8.5000000000000006E-2</v>
      </c>
      <c r="E51" s="3258">
        <v>6.3E-2</v>
      </c>
      <c r="F51" s="3269"/>
      <c r="G51" s="3259">
        <v>9.6000000000000002E-2</v>
      </c>
    </row>
    <row r="52" spans="1:7">
      <c r="A52" s="3268" t="s">
        <v>296</v>
      </c>
      <c r="B52" s="3257" t="s">
        <v>2923</v>
      </c>
      <c r="C52" s="3258">
        <v>7.3999999999999996E-2</v>
      </c>
      <c r="D52" s="3258">
        <v>9.6000000000000002E-2</v>
      </c>
      <c r="E52" s="3258">
        <v>0.05</v>
      </c>
      <c r="F52" s="3269"/>
      <c r="G52" s="3259">
        <v>9.8000000000000004E-2</v>
      </c>
    </row>
    <row r="53" spans="1:7">
      <c r="A53" s="3268" t="s">
        <v>296</v>
      </c>
      <c r="B53" s="3257" t="s">
        <v>2928</v>
      </c>
      <c r="C53" s="3258">
        <v>8.5999999999999993E-2</v>
      </c>
      <c r="D53" s="3269"/>
      <c r="E53" s="3258">
        <v>9.1999999999999998E-2</v>
      </c>
      <c r="F53" s="3269"/>
      <c r="G53" s="3270"/>
    </row>
    <row r="54" spans="1:7" ht="15" thickBot="1">
      <c r="A54" s="3271" t="s">
        <v>296</v>
      </c>
      <c r="B54" s="3261" t="s">
        <v>2931</v>
      </c>
      <c r="C54" s="3262">
        <v>9.6000000000000002E-2</v>
      </c>
      <c r="D54" s="3263"/>
      <c r="E54" s="3272"/>
      <c r="F54" s="3263"/>
      <c r="G54" s="3273"/>
    </row>
    <row r="55" spans="1:7">
      <c r="A55" s="3267" t="s">
        <v>110</v>
      </c>
      <c r="B55" s="3253" t="s">
        <v>2848</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2929</v>
      </c>
      <c r="C78" s="3258">
        <v>0.1</v>
      </c>
      <c r="D78" s="3258">
        <v>8.5000000000000006E-2</v>
      </c>
      <c r="E78" s="3258">
        <v>9.6000000000000002E-2</v>
      </c>
      <c r="F78" s="3269"/>
      <c r="G78" s="3259">
        <v>9.6000000000000002E-2</v>
      </c>
    </row>
    <row r="79" spans="1:7">
      <c r="A79" s="3268" t="s">
        <v>110</v>
      </c>
      <c r="B79" s="3257" t="s">
        <v>2932</v>
      </c>
      <c r="C79" s="3258">
        <v>0.05</v>
      </c>
      <c r="D79" s="3258">
        <v>9.6000000000000002E-2</v>
      </c>
      <c r="E79" s="3258">
        <v>9.5000000000000001E-2</v>
      </c>
      <c r="F79" s="3269"/>
      <c r="G79" s="3259">
        <v>9.8000000000000004E-2</v>
      </c>
    </row>
    <row r="80" spans="1:7">
      <c r="A80" s="3268" t="s">
        <v>110</v>
      </c>
      <c r="B80" s="3257" t="s">
        <v>2936</v>
      </c>
      <c r="C80" s="3258">
        <v>8.5999999999999993E-2</v>
      </c>
      <c r="D80" s="3274"/>
      <c r="E80" s="3258">
        <v>0.1</v>
      </c>
      <c r="F80" s="3269"/>
      <c r="G80" s="3270"/>
    </row>
    <row r="81" spans="1:7">
      <c r="A81" s="3268" t="s">
        <v>110</v>
      </c>
      <c r="B81" s="3257" t="s">
        <v>2941</v>
      </c>
      <c r="C81" s="3258">
        <v>9.6000000000000002E-2</v>
      </c>
      <c r="D81" s="3269"/>
      <c r="E81" s="3258">
        <v>9.8000000000000004E-2</v>
      </c>
      <c r="F81" s="3269"/>
      <c r="G81" s="3270"/>
    </row>
    <row r="82" spans="1:7">
      <c r="A82" s="3268" t="s">
        <v>110</v>
      </c>
      <c r="B82" s="3257" t="s">
        <v>2948</v>
      </c>
      <c r="C82" s="3274"/>
      <c r="D82" s="3269"/>
      <c r="E82" s="3258">
        <v>7.6999999999999999E-2</v>
      </c>
      <c r="F82" s="3269"/>
      <c r="G82" s="3270"/>
    </row>
    <row r="83" spans="1:7">
      <c r="A83" s="3268" t="s">
        <v>110</v>
      </c>
      <c r="B83" s="3257" t="s">
        <v>2954</v>
      </c>
      <c r="C83" s="3269"/>
      <c r="D83" s="3269"/>
      <c r="E83" s="3269"/>
      <c r="F83" s="3258">
        <v>0.1</v>
      </c>
      <c r="G83" s="3275"/>
    </row>
    <row r="84" spans="1:7">
      <c r="A84" s="3268" t="s">
        <v>110</v>
      </c>
      <c r="B84" s="3257" t="s">
        <v>2961</v>
      </c>
      <c r="C84" s="3269"/>
      <c r="D84" s="3269"/>
      <c r="E84" s="3269"/>
      <c r="F84" s="3258">
        <v>0.1</v>
      </c>
      <c r="G84" s="3275"/>
    </row>
    <row r="85" spans="1:7">
      <c r="A85" s="3268" t="s">
        <v>110</v>
      </c>
      <c r="B85" s="3257" t="s">
        <v>2968</v>
      </c>
      <c r="C85" s="3269"/>
      <c r="D85" s="3269"/>
      <c r="E85" s="3269"/>
      <c r="F85" s="3258">
        <v>0.1</v>
      </c>
      <c r="G85" s="3275"/>
    </row>
    <row r="86" spans="1:7" ht="15" thickBot="1">
      <c r="A86" s="3271" t="s">
        <v>110</v>
      </c>
      <c r="B86" s="3261" t="s">
        <v>2973</v>
      </c>
      <c r="C86" s="3262">
        <v>9.8000000000000004E-2</v>
      </c>
      <c r="D86" s="3262">
        <v>9.8000000000000004E-2</v>
      </c>
      <c r="E86" s="3262">
        <v>9.6000000000000002E-2</v>
      </c>
      <c r="F86" s="3272"/>
      <c r="G86" s="3264">
        <v>0.1</v>
      </c>
    </row>
    <row r="87" spans="1:7">
      <c r="A87" s="3267" t="s">
        <v>303</v>
      </c>
      <c r="B87" s="3253" t="s">
        <v>2849</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2942</v>
      </c>
      <c r="C113" s="3258">
        <v>0.1</v>
      </c>
      <c r="D113" s="3258">
        <v>0.1</v>
      </c>
      <c r="E113" s="3269"/>
      <c r="F113" s="3269"/>
      <c r="G113" s="3259">
        <v>0.1</v>
      </c>
    </row>
    <row r="114" spans="1:7">
      <c r="A114" s="3268" t="s">
        <v>303</v>
      </c>
      <c r="B114" s="3257" t="s">
        <v>2949</v>
      </c>
      <c r="C114" s="3258">
        <v>9.7000000000000003E-2</v>
      </c>
      <c r="D114" s="3258">
        <v>9.7000000000000003E-2</v>
      </c>
      <c r="E114" s="3269"/>
      <c r="F114" s="3269"/>
      <c r="G114" s="3259">
        <v>9.9000000000000005E-2</v>
      </c>
    </row>
    <row r="115" spans="1:7">
      <c r="A115" s="3268" t="s">
        <v>303</v>
      </c>
      <c r="B115" s="3257" t="s">
        <v>2955</v>
      </c>
      <c r="C115" s="3258">
        <v>0.1</v>
      </c>
      <c r="D115" s="3258">
        <v>0.1</v>
      </c>
      <c r="E115" s="3269"/>
      <c r="F115" s="3269"/>
      <c r="G115" s="3259">
        <v>0.1</v>
      </c>
    </row>
    <row r="116" spans="1:7">
      <c r="A116" s="3268" t="s">
        <v>303</v>
      </c>
      <c r="B116" s="3257" t="s">
        <v>2962</v>
      </c>
      <c r="C116" s="3258">
        <v>0.1</v>
      </c>
      <c r="D116" s="3258">
        <v>0.1</v>
      </c>
      <c r="E116" s="3269"/>
      <c r="F116" s="3269"/>
      <c r="G116" s="3259">
        <v>0.1</v>
      </c>
    </row>
    <row r="117" spans="1:7">
      <c r="A117" s="3268" t="s">
        <v>303</v>
      </c>
      <c r="B117" s="3257" t="s">
        <v>2969</v>
      </c>
      <c r="C117" s="3258">
        <v>9.7000000000000003E-2</v>
      </c>
      <c r="D117" s="3258">
        <v>9.7000000000000003E-2</v>
      </c>
      <c r="E117" s="3269"/>
      <c r="F117" s="3269"/>
      <c r="G117" s="3259">
        <v>9.7000000000000003E-2</v>
      </c>
    </row>
    <row r="118" spans="1:7">
      <c r="A118" s="3268" t="s">
        <v>303</v>
      </c>
      <c r="B118" s="3257" t="s">
        <v>2974</v>
      </c>
      <c r="C118" s="3258">
        <v>0.1</v>
      </c>
      <c r="D118" s="3258">
        <v>0.1</v>
      </c>
      <c r="E118" s="3269"/>
      <c r="F118" s="3269"/>
      <c r="G118" s="3259">
        <v>0.1</v>
      </c>
    </row>
    <row r="119" spans="1:7">
      <c r="A119" s="3268" t="s">
        <v>303</v>
      </c>
      <c r="B119" s="3257" t="s">
        <v>2978</v>
      </c>
      <c r="C119" s="3258">
        <v>5.0999999999999997E-2</v>
      </c>
      <c r="D119" s="3258">
        <v>5.1999999999999998E-2</v>
      </c>
      <c r="E119" s="3269"/>
      <c r="F119" s="3274"/>
      <c r="G119" s="3259">
        <v>0.06</v>
      </c>
    </row>
    <row r="120" spans="1:7">
      <c r="A120" s="3268" t="s">
        <v>303</v>
      </c>
      <c r="B120" s="3257" t="s">
        <v>2982</v>
      </c>
      <c r="C120" s="3269"/>
      <c r="D120" s="3269"/>
      <c r="E120" s="3269"/>
      <c r="F120" s="3258">
        <v>0.1</v>
      </c>
      <c r="G120" s="3275"/>
    </row>
    <row r="121" spans="1:7">
      <c r="A121" s="3268" t="s">
        <v>303</v>
      </c>
      <c r="B121" s="3257" t="s">
        <v>2987</v>
      </c>
      <c r="C121" s="3269"/>
      <c r="D121" s="3269"/>
      <c r="E121" s="3269"/>
      <c r="F121" s="3258">
        <v>0.1</v>
      </c>
      <c r="G121" s="3275"/>
    </row>
    <row r="122" spans="1:7">
      <c r="A122" s="3268" t="s">
        <v>303</v>
      </c>
      <c r="B122" s="3257" t="s">
        <v>2992</v>
      </c>
      <c r="C122" s="3258">
        <v>0.1</v>
      </c>
      <c r="D122" s="3258">
        <v>0.1</v>
      </c>
      <c r="E122" s="3258">
        <v>9.8000000000000004E-2</v>
      </c>
      <c r="F122" s="3258">
        <v>0.1</v>
      </c>
      <c r="G122" s="3259">
        <v>0.1</v>
      </c>
    </row>
    <row r="123" spans="1:7">
      <c r="A123" s="3268" t="s">
        <v>303</v>
      </c>
      <c r="B123" s="3257" t="s">
        <v>2997</v>
      </c>
      <c r="C123" s="3258">
        <v>0.1</v>
      </c>
      <c r="D123" s="3258">
        <v>0.1</v>
      </c>
      <c r="E123" s="3258">
        <v>9.8000000000000004E-2</v>
      </c>
      <c r="F123" s="3258">
        <v>0.1</v>
      </c>
      <c r="G123" s="3259">
        <v>0.1</v>
      </c>
    </row>
    <row r="124" spans="1:7">
      <c r="A124" s="3268" t="s">
        <v>303</v>
      </c>
      <c r="B124" s="3257" t="s">
        <v>3002</v>
      </c>
      <c r="C124" s="3258">
        <v>0.1</v>
      </c>
      <c r="D124" s="3258">
        <v>0.1</v>
      </c>
      <c r="E124" s="3258">
        <v>9.8000000000000004E-2</v>
      </c>
      <c r="F124" s="3274"/>
      <c r="G124" s="3259">
        <v>0.1</v>
      </c>
    </row>
    <row r="125" spans="1:7">
      <c r="A125" s="3268" t="s">
        <v>303</v>
      </c>
      <c r="B125" s="3257" t="s">
        <v>3007</v>
      </c>
      <c r="C125" s="3258">
        <v>9.8000000000000004E-2</v>
      </c>
      <c r="D125" s="3258">
        <v>9.8000000000000004E-2</v>
      </c>
      <c r="E125" s="3258">
        <v>9.6000000000000002E-2</v>
      </c>
      <c r="F125" s="3274"/>
      <c r="G125" s="3259">
        <v>0.1</v>
      </c>
    </row>
    <row r="126" spans="1:7" ht="15" thickBot="1">
      <c r="A126" s="3271" t="s">
        <v>303</v>
      </c>
      <c r="B126" s="3261" t="s">
        <v>3173</v>
      </c>
      <c r="C126" s="3262">
        <v>0.1</v>
      </c>
      <c r="D126" s="3262">
        <v>0.1</v>
      </c>
      <c r="E126" s="3262">
        <v>9.8000000000000004E-2</v>
      </c>
      <c r="F126" s="3262">
        <v>0.1</v>
      </c>
      <c r="G126" s="3264">
        <v>0.1</v>
      </c>
    </row>
    <row r="127" spans="1:7">
      <c r="A127" s="3267" t="s">
        <v>29</v>
      </c>
      <c r="B127" s="3253" t="s">
        <v>2850</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2920</v>
      </c>
      <c r="C148" s="3258">
        <v>0.13</v>
      </c>
      <c r="D148" s="3258">
        <v>0.13</v>
      </c>
      <c r="E148" s="3258">
        <v>0.13</v>
      </c>
      <c r="F148" s="3269"/>
      <c r="G148" s="3259">
        <v>0.13</v>
      </c>
    </row>
    <row r="149" spans="1:7">
      <c r="A149" s="3268" t="s">
        <v>29</v>
      </c>
      <c r="B149" s="3257" t="s">
        <v>2924</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2943</v>
      </c>
      <c r="C153" s="3258">
        <v>0.13</v>
      </c>
      <c r="D153" s="3258">
        <v>0.13</v>
      </c>
      <c r="E153" s="3258">
        <v>0.13</v>
      </c>
      <c r="F153" s="3258">
        <v>0.13</v>
      </c>
      <c r="G153" s="3259">
        <v>0.13</v>
      </c>
    </row>
    <row r="154" spans="1:7">
      <c r="A154" s="3268" t="s">
        <v>29</v>
      </c>
      <c r="B154" s="3257" t="s">
        <v>2950</v>
      </c>
      <c r="C154" s="3258">
        <v>0.121</v>
      </c>
      <c r="D154" s="3258">
        <v>0.121</v>
      </c>
      <c r="E154" s="3258">
        <v>0.105</v>
      </c>
      <c r="F154" s="3258">
        <v>0.121</v>
      </c>
      <c r="G154" s="3259">
        <v>0.123</v>
      </c>
    </row>
    <row r="155" spans="1:7">
      <c r="A155" s="3268" t="s">
        <v>29</v>
      </c>
      <c r="B155" s="3257" t="s">
        <v>2956</v>
      </c>
      <c r="C155" s="3258">
        <v>0.1</v>
      </c>
      <c r="D155" s="3258">
        <v>0.1</v>
      </c>
      <c r="E155" s="3258">
        <v>0.1</v>
      </c>
      <c r="F155" s="3258">
        <v>0.1</v>
      </c>
      <c r="G155" s="3259">
        <v>0.1</v>
      </c>
    </row>
    <row r="156" spans="1:7">
      <c r="A156" s="3268" t="s">
        <v>29</v>
      </c>
      <c r="B156" s="3257" t="s">
        <v>2963</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2983</v>
      </c>
      <c r="C160" s="3258">
        <v>0.13</v>
      </c>
      <c r="D160" s="3258">
        <v>0.13</v>
      </c>
      <c r="E160" s="3258">
        <v>0.124</v>
      </c>
      <c r="F160" s="3258">
        <v>0.126</v>
      </c>
      <c r="G160" s="3259">
        <v>0.13</v>
      </c>
    </row>
    <row r="161" spans="1:7">
      <c r="A161" s="3268" t="s">
        <v>29</v>
      </c>
      <c r="B161" s="3257" t="s">
        <v>2988</v>
      </c>
      <c r="C161" s="3258">
        <v>0.13</v>
      </c>
      <c r="D161" s="3258">
        <v>0.13</v>
      </c>
      <c r="E161" s="3258">
        <v>0.124</v>
      </c>
      <c r="F161" s="3258">
        <v>0.127</v>
      </c>
      <c r="G161" s="3259">
        <v>0.13</v>
      </c>
    </row>
    <row r="162" spans="1:7">
      <c r="A162" s="3268" t="s">
        <v>29</v>
      </c>
      <c r="B162" s="3257" t="s">
        <v>2993</v>
      </c>
      <c r="C162" s="3258">
        <v>0.1</v>
      </c>
      <c r="D162" s="3258">
        <v>0.1</v>
      </c>
      <c r="E162" s="3258">
        <v>0.1</v>
      </c>
      <c r="F162" s="3258">
        <v>0.121</v>
      </c>
      <c r="G162" s="3259">
        <v>0.105</v>
      </c>
    </row>
    <row r="163" spans="1:7">
      <c r="A163" s="3268" t="s">
        <v>29</v>
      </c>
      <c r="B163" s="3257" t="s">
        <v>2998</v>
      </c>
      <c r="C163" s="3258">
        <v>0.1</v>
      </c>
      <c r="D163" s="3258">
        <v>0.1</v>
      </c>
      <c r="E163" s="3258">
        <v>0.1</v>
      </c>
      <c r="F163" s="3258">
        <v>0.1</v>
      </c>
      <c r="G163" s="3259">
        <v>0.1</v>
      </c>
    </row>
    <row r="164" spans="1:7">
      <c r="A164" s="3268" t="s">
        <v>29</v>
      </c>
      <c r="B164" s="3257" t="s">
        <v>3003</v>
      </c>
      <c r="C164" s="3274"/>
      <c r="D164" s="3274"/>
      <c r="E164" s="3274"/>
      <c r="F164" s="3258">
        <v>0.1</v>
      </c>
      <c r="G164" s="3270"/>
    </row>
    <row r="165" spans="1:7">
      <c r="A165" s="3268" t="s">
        <v>29</v>
      </c>
      <c r="B165" s="3257" t="s">
        <v>3174</v>
      </c>
      <c r="C165" s="3258">
        <v>0.126</v>
      </c>
      <c r="D165" s="3258">
        <v>0.126</v>
      </c>
      <c r="E165" s="3258">
        <v>0.11899999999999999</v>
      </c>
      <c r="F165" s="3258">
        <v>0.13</v>
      </c>
      <c r="G165" s="3259">
        <v>0.128</v>
      </c>
    </row>
    <row r="166" spans="1:7">
      <c r="A166" s="3268" t="s">
        <v>29</v>
      </c>
      <c r="B166" s="3257" t="s">
        <v>3013</v>
      </c>
      <c r="C166" s="3258">
        <v>0.129</v>
      </c>
      <c r="D166" s="3258">
        <v>0.129</v>
      </c>
      <c r="E166" s="3258">
        <v>0.123</v>
      </c>
      <c r="F166" s="3258">
        <v>0.128</v>
      </c>
      <c r="G166" s="3259">
        <v>0.13</v>
      </c>
    </row>
    <row r="167" spans="1:7">
      <c r="A167" s="3268" t="s">
        <v>29</v>
      </c>
      <c r="B167" s="3257" t="s">
        <v>3017</v>
      </c>
      <c r="C167" s="3258">
        <v>0.125</v>
      </c>
      <c r="D167" s="3258">
        <v>0.125</v>
      </c>
      <c r="E167" s="3258">
        <v>0.11700000000000001</v>
      </c>
      <c r="F167" s="3258">
        <v>0.13</v>
      </c>
      <c r="G167" s="3259">
        <v>0.126</v>
      </c>
    </row>
    <row r="168" spans="1:7">
      <c r="A168" s="3268" t="s">
        <v>29</v>
      </c>
      <c r="B168" s="3257" t="s">
        <v>3022</v>
      </c>
      <c r="C168" s="3258">
        <v>0.128</v>
      </c>
      <c r="D168" s="3258">
        <v>0.128</v>
      </c>
      <c r="E168" s="3258">
        <v>0.123</v>
      </c>
      <c r="F168" s="3269"/>
      <c r="G168" s="3259">
        <v>0.13</v>
      </c>
    </row>
    <row r="169" spans="1:7">
      <c r="A169" s="3268" t="s">
        <v>29</v>
      </c>
      <c r="B169" s="3257" t="s">
        <v>3175</v>
      </c>
      <c r="C169" s="3274"/>
      <c r="D169" s="3274"/>
      <c r="E169" s="3274"/>
      <c r="F169" s="3258">
        <v>0.05</v>
      </c>
      <c r="G169" s="3270"/>
    </row>
    <row r="170" spans="1:7">
      <c r="A170" s="3268" t="s">
        <v>29</v>
      </c>
      <c r="B170" s="3257" t="s">
        <v>3176</v>
      </c>
      <c r="C170" s="3274"/>
      <c r="D170" s="3274"/>
      <c r="E170" s="3274"/>
      <c r="F170" s="3258">
        <v>0.05</v>
      </c>
      <c r="G170" s="3270"/>
    </row>
    <row r="171" spans="1:7">
      <c r="A171" s="3268" t="s">
        <v>29</v>
      </c>
      <c r="B171" s="3257" t="s">
        <v>3177</v>
      </c>
      <c r="C171" s="3274"/>
      <c r="D171" s="3274"/>
      <c r="E171" s="3274"/>
      <c r="F171" s="3258">
        <v>0.05</v>
      </c>
      <c r="G171" s="3275"/>
    </row>
    <row r="172" spans="1:7">
      <c r="A172" s="3268" t="s">
        <v>29</v>
      </c>
      <c r="B172" s="3257" t="s">
        <v>3178</v>
      </c>
      <c r="C172" s="3274"/>
      <c r="D172" s="3274"/>
      <c r="E172" s="3274"/>
      <c r="F172" s="3258">
        <v>0.05</v>
      </c>
      <c r="G172" s="3275"/>
    </row>
    <row r="173" spans="1:7">
      <c r="A173" s="3268" t="s">
        <v>29</v>
      </c>
      <c r="B173" s="3257" t="s">
        <v>3179</v>
      </c>
      <c r="C173" s="3274"/>
      <c r="D173" s="3274"/>
      <c r="E173" s="3274"/>
      <c r="F173" s="3258">
        <v>0.05</v>
      </c>
      <c r="G173" s="3270"/>
    </row>
    <row r="174" spans="1:7">
      <c r="A174" s="3268" t="s">
        <v>29</v>
      </c>
      <c r="B174" s="3257" t="s">
        <v>3180</v>
      </c>
      <c r="C174" s="3274"/>
      <c r="D174" s="3274"/>
      <c r="E174" s="3274"/>
      <c r="F174" s="3258">
        <v>0.05</v>
      </c>
      <c r="G174" s="3270"/>
    </row>
    <row r="175" spans="1:7">
      <c r="A175" s="3268" t="s">
        <v>29</v>
      </c>
      <c r="B175" s="3257" t="s">
        <v>3181</v>
      </c>
      <c r="C175" s="3274"/>
      <c r="D175" s="3274"/>
      <c r="E175" s="3274"/>
      <c r="F175" s="3258">
        <v>0.05</v>
      </c>
      <c r="G175" s="3270"/>
    </row>
    <row r="176" spans="1:7">
      <c r="A176" s="3268" t="s">
        <v>29</v>
      </c>
      <c r="B176" s="3257" t="s">
        <v>3182</v>
      </c>
      <c r="C176" s="3274"/>
      <c r="D176" s="3274"/>
      <c r="E176" s="3274"/>
      <c r="F176" s="3258">
        <v>0.05</v>
      </c>
      <c r="G176" s="3270"/>
    </row>
    <row r="177" spans="1:7">
      <c r="A177" s="3268" t="s">
        <v>29</v>
      </c>
      <c r="B177" s="3257" t="s">
        <v>3183</v>
      </c>
      <c r="C177" s="3269"/>
      <c r="D177" s="3269"/>
      <c r="E177" s="3269"/>
      <c r="F177" s="3258">
        <v>0.05</v>
      </c>
      <c r="G177" s="3275"/>
    </row>
    <row r="178" spans="1:7">
      <c r="A178" s="3268" t="s">
        <v>29</v>
      </c>
      <c r="B178" s="3257" t="s">
        <v>3184</v>
      </c>
      <c r="C178" s="3269"/>
      <c r="D178" s="3269"/>
      <c r="E178" s="3269"/>
      <c r="F178" s="3258">
        <v>0.05</v>
      </c>
      <c r="G178" s="3275"/>
    </row>
    <row r="179" spans="1:7">
      <c r="A179" s="3268" t="s">
        <v>29</v>
      </c>
      <c r="B179" s="3257" t="s">
        <v>3185</v>
      </c>
      <c r="C179" s="3269"/>
      <c r="D179" s="3269"/>
      <c r="E179" s="3269"/>
      <c r="F179" s="3258">
        <v>0.05</v>
      </c>
      <c r="G179" s="3275"/>
    </row>
    <row r="180" spans="1:7">
      <c r="A180" s="3268" t="s">
        <v>29</v>
      </c>
      <c r="B180" s="3257" t="s">
        <v>3186</v>
      </c>
      <c r="C180" s="3269"/>
      <c r="D180" s="3269"/>
      <c r="E180" s="3269"/>
      <c r="F180" s="3258">
        <v>0.05</v>
      </c>
      <c r="G180" s="3275"/>
    </row>
    <row r="181" spans="1:7">
      <c r="A181" s="3268" t="s">
        <v>29</v>
      </c>
      <c r="B181" s="3257" t="s">
        <v>3187</v>
      </c>
      <c r="C181" s="3269"/>
      <c r="D181" s="3269"/>
      <c r="E181" s="3269"/>
      <c r="F181" s="3258">
        <v>0.05</v>
      </c>
      <c r="G181" s="3275"/>
    </row>
    <row r="182" spans="1:7">
      <c r="A182" s="3268" t="s">
        <v>29</v>
      </c>
      <c r="B182" s="3257" t="s">
        <v>3188</v>
      </c>
      <c r="C182" s="3269"/>
      <c r="D182" s="3269"/>
      <c r="E182" s="3269"/>
      <c r="F182" s="3258">
        <v>0.05</v>
      </c>
      <c r="G182" s="3275"/>
    </row>
    <row r="183" spans="1:7">
      <c r="A183" s="3268" t="s">
        <v>29</v>
      </c>
      <c r="B183" s="3257" t="s">
        <v>3189</v>
      </c>
      <c r="C183" s="3269"/>
      <c r="D183" s="3269"/>
      <c r="E183" s="3269"/>
      <c r="F183" s="3258">
        <v>0.05</v>
      </c>
      <c r="G183" s="3275"/>
    </row>
    <row r="184" spans="1:7">
      <c r="A184" s="3268" t="s">
        <v>29</v>
      </c>
      <c r="B184" s="3257" t="s">
        <v>3190</v>
      </c>
      <c r="C184" s="3269"/>
      <c r="D184" s="3269"/>
      <c r="E184" s="3269"/>
      <c r="F184" s="3258">
        <v>0.05</v>
      </c>
      <c r="G184" s="3275"/>
    </row>
    <row r="185" spans="1:7">
      <c r="A185" s="3268" t="s">
        <v>29</v>
      </c>
      <c r="B185" s="3257" t="s">
        <v>3191</v>
      </c>
      <c r="C185" s="3269"/>
      <c r="D185" s="3269"/>
      <c r="E185" s="3269"/>
      <c r="F185" s="3258">
        <v>0.05</v>
      </c>
      <c r="G185" s="3275"/>
    </row>
    <row r="186" spans="1:7">
      <c r="A186" s="3268" t="s">
        <v>29</v>
      </c>
      <c r="B186" s="3257" t="s">
        <v>3192</v>
      </c>
      <c r="C186" s="3269"/>
      <c r="D186" s="3269"/>
      <c r="E186" s="3269"/>
      <c r="F186" s="3258">
        <v>0.05</v>
      </c>
      <c r="G186" s="3275"/>
    </row>
    <row r="187" spans="1:7">
      <c r="A187" s="3268" t="s">
        <v>29</v>
      </c>
      <c r="B187" s="3257" t="s">
        <v>3193</v>
      </c>
      <c r="C187" s="3269"/>
      <c r="D187" s="3269"/>
      <c r="E187" s="3269"/>
      <c r="F187" s="3258">
        <v>0.05</v>
      </c>
      <c r="G187" s="3275"/>
    </row>
    <row r="188" spans="1:7">
      <c r="A188" s="3268" t="s">
        <v>29</v>
      </c>
      <c r="B188" s="3257" t="s">
        <v>3194</v>
      </c>
      <c r="C188" s="3269"/>
      <c r="D188" s="3269"/>
      <c r="E188" s="3269"/>
      <c r="F188" s="3258">
        <v>0.05</v>
      </c>
      <c r="G188" s="3275"/>
    </row>
    <row r="189" spans="1:7" ht="15" thickBot="1">
      <c r="A189" s="3271" t="s">
        <v>29</v>
      </c>
      <c r="B189" s="3261" t="s">
        <v>3195</v>
      </c>
      <c r="C189" s="3263"/>
      <c r="D189" s="3263"/>
      <c r="E189" s="3263"/>
      <c r="F189" s="3262">
        <v>0.05</v>
      </c>
      <c r="G189" s="3276"/>
    </row>
    <row r="190" spans="1:7">
      <c r="A190" s="3267" t="s">
        <v>304</v>
      </c>
      <c r="B190" s="3253" t="s">
        <v>2851</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2887</v>
      </c>
      <c r="C199" s="3258">
        <v>0.13</v>
      </c>
      <c r="D199" s="3258">
        <v>0.13</v>
      </c>
      <c r="E199" s="3258">
        <v>0.13</v>
      </c>
      <c r="F199" s="3258">
        <v>0.13</v>
      </c>
      <c r="G199" s="3259">
        <v>0.13</v>
      </c>
    </row>
    <row r="200" spans="1:7">
      <c r="A200" s="3268" t="s">
        <v>304</v>
      </c>
      <c r="B200" s="3257" t="s">
        <v>2890</v>
      </c>
      <c r="C200" s="3274"/>
      <c r="D200" s="3274"/>
      <c r="E200" s="3274"/>
      <c r="F200" s="3258">
        <v>0.13</v>
      </c>
      <c r="G200" s="3270"/>
    </row>
    <row r="201" spans="1:7">
      <c r="A201" s="3268" t="s">
        <v>304</v>
      </c>
      <c r="B201" s="3257" t="s">
        <v>2895</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2898</v>
      </c>
      <c r="C203" s="3258">
        <v>0.129</v>
      </c>
      <c r="D203" s="3258">
        <v>0.129</v>
      </c>
      <c r="E203" s="3258">
        <v>0.13</v>
      </c>
      <c r="F203" s="3258">
        <v>0.13</v>
      </c>
      <c r="G203" s="3259">
        <v>0.13</v>
      </c>
    </row>
    <row r="204" spans="1:7">
      <c r="A204" s="3268" t="s">
        <v>304</v>
      </c>
      <c r="B204" s="3257" t="s">
        <v>2901</v>
      </c>
      <c r="C204" s="3258">
        <v>0.129</v>
      </c>
      <c r="D204" s="3258">
        <v>0.129</v>
      </c>
      <c r="E204" s="3258">
        <v>0.123</v>
      </c>
      <c r="F204" s="3258">
        <v>0.13</v>
      </c>
      <c r="G204" s="3259">
        <v>0.13</v>
      </c>
    </row>
    <row r="205" spans="1:7">
      <c r="A205" s="3268" t="s">
        <v>304</v>
      </c>
      <c r="B205" s="3257" t="s">
        <v>2903</v>
      </c>
      <c r="C205" s="3258">
        <v>0.13</v>
      </c>
      <c r="D205" s="3258">
        <v>0.13</v>
      </c>
      <c r="E205" s="3258">
        <v>0.13</v>
      </c>
      <c r="F205" s="3258">
        <v>0.13</v>
      </c>
      <c r="G205" s="3259">
        <v>0.13</v>
      </c>
    </row>
    <row r="206" spans="1:7">
      <c r="A206" s="3268" t="s">
        <v>304</v>
      </c>
      <c r="B206" s="3257" t="s">
        <v>2906</v>
      </c>
      <c r="C206" s="3258">
        <v>0.13</v>
      </c>
      <c r="D206" s="3258">
        <v>0.13</v>
      </c>
      <c r="E206" s="3258">
        <v>0.13</v>
      </c>
      <c r="F206" s="3258">
        <v>0.128</v>
      </c>
      <c r="G206" s="3259">
        <v>0.13</v>
      </c>
    </row>
    <row r="207" spans="1:7">
      <c r="A207" s="3268" t="s">
        <v>304</v>
      </c>
      <c r="B207" s="3257" t="s">
        <v>2908</v>
      </c>
      <c r="C207" s="3258">
        <v>0.13</v>
      </c>
      <c r="D207" s="3258">
        <v>0.13</v>
      </c>
      <c r="E207" s="3258">
        <v>0.13</v>
      </c>
      <c r="F207" s="3258">
        <v>0.13</v>
      </c>
      <c r="G207" s="3259">
        <v>0.13</v>
      </c>
    </row>
    <row r="208" spans="1:7">
      <c r="A208" s="3268" t="s">
        <v>304</v>
      </c>
      <c r="B208" s="3257" t="s">
        <v>2911</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2918</v>
      </c>
      <c r="C210" s="3258">
        <v>0.121</v>
      </c>
      <c r="D210" s="3258">
        <v>0.121</v>
      </c>
      <c r="E210" s="3258">
        <v>0.125</v>
      </c>
      <c r="F210" s="3258">
        <v>0.13</v>
      </c>
      <c r="G210" s="3259">
        <v>0.123</v>
      </c>
    </row>
    <row r="211" spans="1:7">
      <c r="A211" s="3268" t="s">
        <v>304</v>
      </c>
      <c r="B211" s="3257" t="s">
        <v>2921</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2933</v>
      </c>
      <c r="C214" s="3258">
        <v>0.128</v>
      </c>
      <c r="D214" s="3258">
        <v>0.128</v>
      </c>
      <c r="E214" s="3258">
        <v>0.13</v>
      </c>
      <c r="F214" s="3258">
        <v>0.13</v>
      </c>
      <c r="G214" s="3259">
        <v>0.13</v>
      </c>
    </row>
    <row r="215" spans="1:7">
      <c r="A215" s="3268" t="s">
        <v>304</v>
      </c>
      <c r="B215" s="3257" t="s">
        <v>2937</v>
      </c>
      <c r="C215" s="3258">
        <v>0.13</v>
      </c>
      <c r="D215" s="3258">
        <v>0.13</v>
      </c>
      <c r="E215" s="3258">
        <v>0.13</v>
      </c>
      <c r="F215" s="3258">
        <v>0.129</v>
      </c>
      <c r="G215" s="3259">
        <v>0.13</v>
      </c>
    </row>
    <row r="216" spans="1:7">
      <c r="A216" s="3268" t="s">
        <v>304</v>
      </c>
      <c r="B216" s="3257" t="s">
        <v>2944</v>
      </c>
      <c r="C216" s="3258">
        <v>0.13</v>
      </c>
      <c r="D216" s="3258">
        <v>0.13</v>
      </c>
      <c r="E216" s="3258">
        <v>0.13</v>
      </c>
      <c r="F216" s="3258">
        <v>0.13</v>
      </c>
      <c r="G216" s="3259">
        <v>0.13</v>
      </c>
    </row>
    <row r="217" spans="1:7">
      <c r="A217" s="3268" t="s">
        <v>304</v>
      </c>
      <c r="B217" s="3257" t="s">
        <v>2951</v>
      </c>
      <c r="C217" s="3258">
        <v>0.129</v>
      </c>
      <c r="D217" s="3258">
        <v>0.129</v>
      </c>
      <c r="E217" s="3258">
        <v>0.13</v>
      </c>
      <c r="F217" s="3258">
        <v>0.13</v>
      </c>
      <c r="G217" s="3259">
        <v>0.13</v>
      </c>
    </row>
    <row r="218" spans="1:7">
      <c r="A218" s="3268" t="s">
        <v>304</v>
      </c>
      <c r="B218" s="3257" t="s">
        <v>2957</v>
      </c>
      <c r="C218" s="3269"/>
      <c r="D218" s="3269"/>
      <c r="E218" s="3269"/>
      <c r="F218" s="3258">
        <v>0.05</v>
      </c>
      <c r="G218" s="3275"/>
    </row>
    <row r="219" spans="1:7">
      <c r="A219" s="3268" t="s">
        <v>304</v>
      </c>
      <c r="B219" s="3257" t="s">
        <v>2964</v>
      </c>
      <c r="C219" s="3269"/>
      <c r="D219" s="3269"/>
      <c r="E219" s="3269"/>
      <c r="F219" s="3258">
        <v>0.05</v>
      </c>
      <c r="G219" s="3275"/>
    </row>
    <row r="220" spans="1:7">
      <c r="A220" s="3268" t="s">
        <v>304</v>
      </c>
      <c r="B220" s="3257" t="s">
        <v>2970</v>
      </c>
      <c r="C220" s="3269"/>
      <c r="D220" s="3269"/>
      <c r="E220" s="3269"/>
      <c r="F220" s="3258">
        <v>0.05</v>
      </c>
      <c r="G220" s="3275"/>
    </row>
    <row r="221" spans="1:7">
      <c r="A221" s="3268" t="s">
        <v>304</v>
      </c>
      <c r="B221" s="3257" t="s">
        <v>2975</v>
      </c>
      <c r="C221" s="3269"/>
      <c r="D221" s="3269"/>
      <c r="E221" s="3269"/>
      <c r="F221" s="3258">
        <v>0.05</v>
      </c>
      <c r="G221" s="3275"/>
    </row>
    <row r="222" spans="1:7">
      <c r="A222" s="3268" t="s">
        <v>304</v>
      </c>
      <c r="B222" s="3257" t="s">
        <v>2979</v>
      </c>
      <c r="C222" s="3269"/>
      <c r="D222" s="3269"/>
      <c r="E222" s="3269"/>
      <c r="F222" s="3258">
        <v>0.05</v>
      </c>
      <c r="G222" s="3275"/>
    </row>
    <row r="223" spans="1:7">
      <c r="A223" s="3268" t="s">
        <v>304</v>
      </c>
      <c r="B223" s="3257" t="s">
        <v>2984</v>
      </c>
      <c r="C223" s="3269"/>
      <c r="D223" s="3269"/>
      <c r="E223" s="3269"/>
      <c r="F223" s="3258">
        <v>0.05</v>
      </c>
      <c r="G223" s="3275"/>
    </row>
    <row r="224" spans="1:7">
      <c r="A224" s="3268" t="s">
        <v>304</v>
      </c>
      <c r="B224" s="3257" t="s">
        <v>2989</v>
      </c>
      <c r="C224" s="3269"/>
      <c r="D224" s="3269"/>
      <c r="E224" s="3269"/>
      <c r="F224" s="3258">
        <v>0.05</v>
      </c>
      <c r="G224" s="3275"/>
    </row>
    <row r="225" spans="1:7">
      <c r="A225" s="3268" t="s">
        <v>304</v>
      </c>
      <c r="B225" s="3257" t="s">
        <v>2994</v>
      </c>
      <c r="C225" s="3269"/>
      <c r="D225" s="3269"/>
      <c r="E225" s="3269"/>
      <c r="F225" s="3258">
        <v>0.05</v>
      </c>
      <c r="G225" s="3275"/>
    </row>
    <row r="226" spans="1:7">
      <c r="A226" s="3268" t="s">
        <v>304</v>
      </c>
      <c r="B226" s="3257" t="s">
        <v>3196</v>
      </c>
      <c r="C226" s="3269"/>
      <c r="D226" s="3269"/>
      <c r="E226" s="3269"/>
      <c r="F226" s="3258">
        <v>0.05</v>
      </c>
      <c r="G226" s="3275"/>
    </row>
    <row r="227" spans="1:7">
      <c r="A227" s="3268" t="s">
        <v>304</v>
      </c>
      <c r="B227" s="3257" t="s">
        <v>3197</v>
      </c>
      <c r="C227" s="3269"/>
      <c r="D227" s="3269"/>
      <c r="E227" s="3269"/>
      <c r="F227" s="3258">
        <v>0.05</v>
      </c>
      <c r="G227" s="3275"/>
    </row>
    <row r="228" spans="1:7">
      <c r="A228" s="3268" t="s">
        <v>304</v>
      </c>
      <c r="B228" s="3257" t="s">
        <v>3198</v>
      </c>
      <c r="C228" s="3269"/>
      <c r="D228" s="3269"/>
      <c r="E228" s="3269"/>
      <c r="F228" s="3258">
        <v>0.05</v>
      </c>
      <c r="G228" s="3275"/>
    </row>
    <row r="229" spans="1:7">
      <c r="A229" s="3268" t="s">
        <v>304</v>
      </c>
      <c r="B229" s="3257" t="s">
        <v>3199</v>
      </c>
      <c r="C229" s="3269"/>
      <c r="D229" s="3269"/>
      <c r="E229" s="3269"/>
      <c r="F229" s="3258">
        <v>0.05</v>
      </c>
      <c r="G229" s="3275"/>
    </row>
    <row r="230" spans="1:7">
      <c r="A230" s="3268" t="s">
        <v>304</v>
      </c>
      <c r="B230" s="3257" t="s">
        <v>3200</v>
      </c>
      <c r="C230" s="3269"/>
      <c r="D230" s="3269"/>
      <c r="E230" s="3269"/>
      <c r="F230" s="3258">
        <v>0.05</v>
      </c>
      <c r="G230" s="3275"/>
    </row>
    <row r="231" spans="1:7">
      <c r="A231" s="3268" t="s">
        <v>304</v>
      </c>
      <c r="B231" s="3257" t="s">
        <v>3201</v>
      </c>
      <c r="C231" s="3269"/>
      <c r="D231" s="3269"/>
      <c r="E231" s="3269"/>
      <c r="F231" s="3258">
        <v>0.05</v>
      </c>
      <c r="G231" s="3275"/>
    </row>
    <row r="232" spans="1:7">
      <c r="A232" s="3268" t="s">
        <v>304</v>
      </c>
      <c r="B232" s="3257" t="s">
        <v>3202</v>
      </c>
      <c r="C232" s="3269"/>
      <c r="D232" s="3269"/>
      <c r="E232" s="3269"/>
      <c r="F232" s="3258">
        <v>0.05</v>
      </c>
      <c r="G232" s="3275"/>
    </row>
    <row r="233" spans="1:7" ht="15" thickBot="1">
      <c r="A233" s="3271" t="s">
        <v>304</v>
      </c>
      <c r="B233" s="3261" t="s">
        <v>3203</v>
      </c>
      <c r="C233" s="3263"/>
      <c r="D233" s="3263"/>
      <c r="E233" s="3263"/>
      <c r="F233" s="3262">
        <v>0.05</v>
      </c>
      <c r="G233" s="3276"/>
    </row>
    <row r="234" spans="1:7">
      <c r="A234" s="3267" t="s">
        <v>305</v>
      </c>
      <c r="B234" s="3253" t="s">
        <v>2852</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2872</v>
      </c>
      <c r="C238" s="3258">
        <v>0.14899999999999999</v>
      </c>
      <c r="D238" s="3258">
        <v>0.14899999999999999</v>
      </c>
      <c r="E238" s="3258">
        <v>0.15</v>
      </c>
      <c r="F238" s="3258">
        <v>0.15</v>
      </c>
      <c r="G238" s="3259">
        <v>0.15</v>
      </c>
    </row>
    <row r="239" spans="1:7">
      <c r="A239" s="3268" t="s">
        <v>305</v>
      </c>
      <c r="B239" s="3257" t="s">
        <v>2876</v>
      </c>
      <c r="C239" s="3258">
        <v>0.15</v>
      </c>
      <c r="D239" s="3258">
        <v>0.15</v>
      </c>
      <c r="E239" s="3258">
        <v>0.15</v>
      </c>
      <c r="F239" s="3258">
        <v>0.15</v>
      </c>
      <c r="G239" s="3259">
        <v>0.15</v>
      </c>
    </row>
    <row r="240" spans="1:7">
      <c r="A240" s="3268" t="s">
        <v>305</v>
      </c>
      <c r="B240" s="3257" t="s">
        <v>2881</v>
      </c>
      <c r="C240" s="3258">
        <v>0.15</v>
      </c>
      <c r="D240" s="3258">
        <v>0.15</v>
      </c>
      <c r="E240" s="3258">
        <v>0.15</v>
      </c>
      <c r="F240" s="3258">
        <v>0.15</v>
      </c>
      <c r="G240" s="3259">
        <v>0.15</v>
      </c>
    </row>
    <row r="241" spans="1:7">
      <c r="A241" s="3268" t="s">
        <v>305</v>
      </c>
      <c r="B241" s="3257" t="s">
        <v>2885</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2891</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2899</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2904</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2912</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2925</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2934</v>
      </c>
      <c r="C258" s="3258">
        <v>0.14299999999999999</v>
      </c>
      <c r="D258" s="3258">
        <v>0.14299999999999999</v>
      </c>
      <c r="E258" s="3258">
        <v>0.15</v>
      </c>
      <c r="F258" s="3258">
        <v>0.14799999999999999</v>
      </c>
      <c r="G258" s="3259">
        <v>0.14599999999999999</v>
      </c>
    </row>
    <row r="259" spans="1:7">
      <c r="A259" s="3268" t="s">
        <v>305</v>
      </c>
      <c r="B259" s="3257" t="s">
        <v>2938</v>
      </c>
      <c r="C259" s="3258">
        <v>0.14399999999999999</v>
      </c>
      <c r="D259" s="3258">
        <v>0.14399999999999999</v>
      </c>
      <c r="E259" s="3258">
        <v>0.14899999999999999</v>
      </c>
      <c r="F259" s="3258">
        <v>0.14699999999999999</v>
      </c>
      <c r="G259" s="3259">
        <v>0.14599999999999999</v>
      </c>
    </row>
    <row r="260" spans="1:7">
      <c r="A260" s="3268" t="s">
        <v>305</v>
      </c>
      <c r="B260" s="3257" t="s">
        <v>2945</v>
      </c>
      <c r="C260" s="3258">
        <v>0.109</v>
      </c>
      <c r="D260" s="3258">
        <v>0.111</v>
      </c>
      <c r="E260" s="3258">
        <v>0.13100000000000001</v>
      </c>
      <c r="F260" s="3258">
        <v>0.126</v>
      </c>
      <c r="G260" s="3259">
        <v>0.11899999999999999</v>
      </c>
    </row>
    <row r="261" spans="1:7">
      <c r="A261" s="3268" t="s">
        <v>305</v>
      </c>
      <c r="B261" s="3257" t="s">
        <v>2952</v>
      </c>
      <c r="C261" s="3258">
        <v>0.1</v>
      </c>
      <c r="D261" s="3258">
        <v>0.1</v>
      </c>
      <c r="E261" s="3258">
        <v>0.11799999999999999</v>
      </c>
      <c r="F261" s="3258">
        <v>0.108</v>
      </c>
      <c r="G261" s="3259">
        <v>0.107</v>
      </c>
    </row>
    <row r="262" spans="1:7">
      <c r="A262" s="3268" t="s">
        <v>305</v>
      </c>
      <c r="B262" s="3257" t="s">
        <v>2958</v>
      </c>
      <c r="C262" s="3258">
        <v>0.1</v>
      </c>
      <c r="D262" s="3258">
        <v>0.1</v>
      </c>
      <c r="E262" s="3258">
        <v>0.1</v>
      </c>
      <c r="F262" s="3258">
        <v>0.14099999999999999</v>
      </c>
      <c r="G262" s="3259">
        <v>0.1</v>
      </c>
    </row>
    <row r="263" spans="1:7">
      <c r="A263" s="3268" t="s">
        <v>305</v>
      </c>
      <c r="B263" s="3257" t="s">
        <v>2965</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2976</v>
      </c>
      <c r="C265" s="3269"/>
      <c r="D265" s="3269"/>
      <c r="E265" s="3269"/>
      <c r="F265" s="3258">
        <v>0.05</v>
      </c>
      <c r="G265" s="3275"/>
    </row>
    <row r="266" spans="1:7">
      <c r="A266" s="3268" t="s">
        <v>305</v>
      </c>
      <c r="B266" s="3257" t="s">
        <v>2980</v>
      </c>
      <c r="C266" s="3269"/>
      <c r="D266" s="3269"/>
      <c r="E266" s="3269"/>
      <c r="F266" s="3258">
        <v>0.05</v>
      </c>
      <c r="G266" s="3275"/>
    </row>
    <row r="267" spans="1:7">
      <c r="A267" s="3268" t="s">
        <v>305</v>
      </c>
      <c r="B267" s="3257" t="s">
        <v>2985</v>
      </c>
      <c r="C267" s="3269"/>
      <c r="D267" s="3269"/>
      <c r="E267" s="3269"/>
      <c r="F267" s="3258">
        <v>0.05</v>
      </c>
      <c r="G267" s="3275"/>
    </row>
    <row r="268" spans="1:7">
      <c r="A268" s="3268" t="s">
        <v>305</v>
      </c>
      <c r="B268" s="3257" t="s">
        <v>2990</v>
      </c>
      <c r="C268" s="3269"/>
      <c r="D268" s="3269"/>
      <c r="E268" s="3269"/>
      <c r="F268" s="3258">
        <v>0.05</v>
      </c>
      <c r="G268" s="3275"/>
    </row>
    <row r="269" spans="1:7">
      <c r="A269" s="3268" t="s">
        <v>305</v>
      </c>
      <c r="B269" s="3257" t="s">
        <v>2995</v>
      </c>
      <c r="C269" s="3269"/>
      <c r="D269" s="3269"/>
      <c r="E269" s="3269"/>
      <c r="F269" s="3258">
        <v>0.05</v>
      </c>
      <c r="G269" s="3275"/>
    </row>
    <row r="270" spans="1:7">
      <c r="A270" s="3268" t="s">
        <v>305</v>
      </c>
      <c r="B270" s="3257" t="s">
        <v>3000</v>
      </c>
      <c r="C270" s="3269"/>
      <c r="D270" s="3269"/>
      <c r="E270" s="3269"/>
      <c r="F270" s="3258">
        <v>0.05</v>
      </c>
      <c r="G270" s="3275"/>
    </row>
    <row r="271" spans="1:7">
      <c r="A271" s="3268" t="s">
        <v>305</v>
      </c>
      <c r="B271" s="3257" t="s">
        <v>3204</v>
      </c>
      <c r="C271" s="3269"/>
      <c r="D271" s="3269"/>
      <c r="E271" s="3269"/>
      <c r="F271" s="3258">
        <v>0.05</v>
      </c>
      <c r="G271" s="3275"/>
    </row>
    <row r="272" spans="1:7">
      <c r="A272" s="3268" t="s">
        <v>305</v>
      </c>
      <c r="B272" s="3257" t="s">
        <v>3205</v>
      </c>
      <c r="C272" s="3269"/>
      <c r="D272" s="3269"/>
      <c r="E272" s="3269"/>
      <c r="F272" s="3258">
        <v>0.05</v>
      </c>
      <c r="G272" s="3275"/>
    </row>
    <row r="273" spans="1:7">
      <c r="A273" s="3268" t="s">
        <v>305</v>
      </c>
      <c r="B273" s="3257" t="s">
        <v>3206</v>
      </c>
      <c r="C273" s="3269"/>
      <c r="D273" s="3269"/>
      <c r="E273" s="3269"/>
      <c r="F273" s="3258">
        <v>0.05</v>
      </c>
      <c r="G273" s="3275"/>
    </row>
    <row r="274" spans="1:7">
      <c r="A274" s="3268" t="s">
        <v>305</v>
      </c>
      <c r="B274" s="3257" t="s">
        <v>3207</v>
      </c>
      <c r="C274" s="3269"/>
      <c r="D274" s="3269"/>
      <c r="E274" s="3269"/>
      <c r="F274" s="3258">
        <v>0.05</v>
      </c>
      <c r="G274" s="3275"/>
    </row>
    <row r="275" spans="1:7">
      <c r="A275" s="3268" t="s">
        <v>305</v>
      </c>
      <c r="B275" s="3257" t="s">
        <v>3208</v>
      </c>
      <c r="C275" s="3269"/>
      <c r="D275" s="3269"/>
      <c r="E275" s="3269"/>
      <c r="F275" s="3258">
        <v>0.05</v>
      </c>
      <c r="G275" s="3275"/>
    </row>
    <row r="276" spans="1:7" ht="15" thickBot="1">
      <c r="A276" s="3271" t="s">
        <v>305</v>
      </c>
      <c r="B276" s="3261" t="s">
        <v>3209</v>
      </c>
      <c r="C276" s="3263"/>
      <c r="D276" s="3263"/>
      <c r="E276" s="3263"/>
      <c r="F276" s="3262">
        <v>0.05</v>
      </c>
      <c r="G276" s="3276"/>
    </row>
    <row r="277" spans="1:7">
      <c r="A277" s="3267" t="s">
        <v>306</v>
      </c>
      <c r="B277" s="3253" t="s">
        <v>2853</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2865</v>
      </c>
      <c r="C279" s="3258">
        <v>0.15</v>
      </c>
      <c r="D279" s="3258">
        <v>0.15</v>
      </c>
      <c r="E279" s="3258">
        <v>0.15</v>
      </c>
      <c r="F279" s="3258">
        <v>0.15</v>
      </c>
      <c r="G279" s="3259">
        <v>0.15</v>
      </c>
    </row>
    <row r="280" spans="1:7">
      <c r="A280" s="3268" t="s">
        <v>306</v>
      </c>
      <c r="B280" s="3257" t="s">
        <v>2869</v>
      </c>
      <c r="C280" s="3258">
        <v>0.15</v>
      </c>
      <c r="D280" s="3258">
        <v>0.15</v>
      </c>
      <c r="E280" s="3258">
        <v>0.15</v>
      </c>
      <c r="F280" s="3258">
        <v>0.15</v>
      </c>
      <c r="G280" s="3259">
        <v>0.15</v>
      </c>
    </row>
    <row r="281" spans="1:7">
      <c r="A281" s="3268" t="s">
        <v>306</v>
      </c>
      <c r="B281" s="3257" t="s">
        <v>2873</v>
      </c>
      <c r="C281" s="3258">
        <v>0.15</v>
      </c>
      <c r="D281" s="3258">
        <v>0.15</v>
      </c>
      <c r="E281" s="3258">
        <v>0.15</v>
      </c>
      <c r="F281" s="3258">
        <v>0.15</v>
      </c>
      <c r="G281" s="3259">
        <v>0.15</v>
      </c>
    </row>
    <row r="282" spans="1:7">
      <c r="A282" s="3268" t="s">
        <v>306</v>
      </c>
      <c r="B282" s="3257" t="s">
        <v>2877</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2892</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2897</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2907</v>
      </c>
      <c r="C293" s="3258">
        <v>0.15</v>
      </c>
      <c r="D293" s="3258">
        <v>0.15</v>
      </c>
      <c r="E293" s="3258">
        <v>0.15</v>
      </c>
      <c r="F293" s="3258">
        <v>0.14499999999999999</v>
      </c>
      <c r="G293" s="3259">
        <v>0.15</v>
      </c>
    </row>
    <row r="294" spans="1:7">
      <c r="A294" s="3268" t="s">
        <v>306</v>
      </c>
      <c r="B294" s="3257" t="s">
        <v>2909</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2926</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2939</v>
      </c>
      <c r="C302" s="3258">
        <v>0.15</v>
      </c>
      <c r="D302" s="3258">
        <v>0.15</v>
      </c>
      <c r="E302" s="3258">
        <v>0.15</v>
      </c>
      <c r="F302" s="3258">
        <v>0.14699999999999999</v>
      </c>
      <c r="G302" s="3259">
        <v>0.15</v>
      </c>
    </row>
    <row r="303" spans="1:7">
      <c r="A303" s="3268" t="s">
        <v>306</v>
      </c>
      <c r="B303" s="3257" t="s">
        <v>2946</v>
      </c>
      <c r="C303" s="3258">
        <v>0.15</v>
      </c>
      <c r="D303" s="3258">
        <v>0.15</v>
      </c>
      <c r="E303" s="3258">
        <v>0.15</v>
      </c>
      <c r="F303" s="3258">
        <v>0.14199999999999999</v>
      </c>
      <c r="G303" s="3259">
        <v>0.15</v>
      </c>
    </row>
    <row r="304" spans="1:7">
      <c r="A304" s="3268" t="s">
        <v>306</v>
      </c>
      <c r="B304" s="3257" t="s">
        <v>2953</v>
      </c>
      <c r="C304" s="3258">
        <v>0.15</v>
      </c>
      <c r="D304" s="3258">
        <v>0.15</v>
      </c>
      <c r="E304" s="3258">
        <v>0.15</v>
      </c>
      <c r="F304" s="3258">
        <v>0.14499999999999999</v>
      </c>
      <c r="G304" s="3259">
        <v>0.15</v>
      </c>
    </row>
    <row r="305" spans="1:7">
      <c r="A305" s="3268" t="s">
        <v>306</v>
      </c>
      <c r="B305" s="3257" t="s">
        <v>2959</v>
      </c>
      <c r="C305" s="3258">
        <v>0.15</v>
      </c>
      <c r="D305" s="3258">
        <v>0.15</v>
      </c>
      <c r="E305" s="3258">
        <v>0.15</v>
      </c>
      <c r="F305" s="3258">
        <v>0.111</v>
      </c>
      <c r="G305" s="3259">
        <v>0.15</v>
      </c>
    </row>
    <row r="306" spans="1:7">
      <c r="A306" s="3268" t="s">
        <v>306</v>
      </c>
      <c r="B306" s="3257" t="s">
        <v>2966</v>
      </c>
      <c r="C306" s="3258">
        <v>0.15</v>
      </c>
      <c r="D306" s="3258">
        <v>0.15</v>
      </c>
      <c r="E306" s="3258">
        <v>0.15</v>
      </c>
      <c r="F306" s="3258">
        <v>0.126</v>
      </c>
      <c r="G306" s="3259">
        <v>0.15</v>
      </c>
    </row>
    <row r="307" spans="1:7">
      <c r="A307" s="3268" t="s">
        <v>306</v>
      </c>
      <c r="B307" s="3257" t="s">
        <v>2971</v>
      </c>
      <c r="C307" s="3258">
        <v>0.15</v>
      </c>
      <c r="D307" s="3258">
        <v>0.15</v>
      </c>
      <c r="E307" s="3258">
        <v>0.15</v>
      </c>
      <c r="F307" s="3258">
        <v>0.12</v>
      </c>
      <c r="G307" s="3259">
        <v>0.15</v>
      </c>
    </row>
    <row r="308" spans="1:7">
      <c r="A308" s="3268" t="s">
        <v>306</v>
      </c>
      <c r="B308" s="3257" t="s">
        <v>2977</v>
      </c>
      <c r="C308" s="3258">
        <v>0.15</v>
      </c>
      <c r="D308" s="3258">
        <v>0.15</v>
      </c>
      <c r="E308" s="3258">
        <v>0.15</v>
      </c>
      <c r="F308" s="3258">
        <v>0.13</v>
      </c>
      <c r="G308" s="3259">
        <v>0.15</v>
      </c>
    </row>
    <row r="309" spans="1:7">
      <c r="A309" s="3268" t="s">
        <v>306</v>
      </c>
      <c r="B309" s="3257" t="s">
        <v>2981</v>
      </c>
      <c r="C309" s="3258">
        <v>0.15</v>
      </c>
      <c r="D309" s="3258">
        <v>0.15</v>
      </c>
      <c r="E309" s="3258">
        <v>0.15</v>
      </c>
      <c r="F309" s="3258">
        <v>0.14099999999999999</v>
      </c>
      <c r="G309" s="3259">
        <v>0.15</v>
      </c>
    </row>
    <row r="310" spans="1:7">
      <c r="A310" s="3268" t="s">
        <v>306</v>
      </c>
      <c r="B310" s="3257" t="s">
        <v>2986</v>
      </c>
      <c r="C310" s="3258">
        <v>0.15</v>
      </c>
      <c r="D310" s="3258">
        <v>0.15</v>
      </c>
      <c r="E310" s="3258">
        <v>0.15</v>
      </c>
      <c r="F310" s="3258">
        <v>0.15</v>
      </c>
      <c r="G310" s="3259">
        <v>0.15</v>
      </c>
    </row>
    <row r="311" spans="1:7">
      <c r="A311" s="3268" t="s">
        <v>306</v>
      </c>
      <c r="B311" s="3257" t="s">
        <v>2991</v>
      </c>
      <c r="C311" s="3258">
        <v>0.13200000000000001</v>
      </c>
      <c r="D311" s="3258">
        <v>0.13300000000000001</v>
      </c>
      <c r="E311" s="3258">
        <v>0.14499999999999999</v>
      </c>
      <c r="F311" s="3258">
        <v>0.14199999999999999</v>
      </c>
      <c r="G311" s="3259">
        <v>0.14000000000000001</v>
      </c>
    </row>
    <row r="312" spans="1:7">
      <c r="A312" s="3268" t="s">
        <v>306</v>
      </c>
      <c r="B312" s="3257" t="s">
        <v>2996</v>
      </c>
      <c r="C312" s="3258">
        <v>0.13800000000000001</v>
      </c>
      <c r="D312" s="3258">
        <v>0.14000000000000001</v>
      </c>
      <c r="E312" s="3258">
        <v>0.14599999999999999</v>
      </c>
      <c r="F312" s="3258">
        <v>0.14899999999999999</v>
      </c>
      <c r="G312" s="3259">
        <v>0.14199999999999999</v>
      </c>
    </row>
    <row r="313" spans="1:7">
      <c r="A313" s="3268" t="s">
        <v>306</v>
      </c>
      <c r="B313" s="3257" t="s">
        <v>3001</v>
      </c>
      <c r="C313" s="3258">
        <v>0.125</v>
      </c>
      <c r="D313" s="3258">
        <v>0.127</v>
      </c>
      <c r="E313" s="3258">
        <v>0.14399999999999999</v>
      </c>
      <c r="F313" s="3258">
        <v>0.115</v>
      </c>
      <c r="G313" s="3259">
        <v>0.13600000000000001</v>
      </c>
    </row>
    <row r="314" spans="1:7">
      <c r="A314" s="3268" t="s">
        <v>306</v>
      </c>
      <c r="B314" s="3257" t="s">
        <v>3210</v>
      </c>
      <c r="C314" s="3274"/>
      <c r="D314" s="3274"/>
      <c r="E314" s="3274"/>
      <c r="F314" s="3258">
        <v>0.05</v>
      </c>
      <c r="G314" s="3275"/>
    </row>
    <row r="315" spans="1:7">
      <c r="A315" s="3268" t="s">
        <v>306</v>
      </c>
      <c r="B315" s="3257" t="s">
        <v>3211</v>
      </c>
      <c r="C315" s="3274"/>
      <c r="D315" s="3274"/>
      <c r="E315" s="3274"/>
      <c r="F315" s="3258">
        <v>0.05</v>
      </c>
      <c r="G315" s="3275"/>
    </row>
    <row r="316" spans="1:7">
      <c r="A316" s="3268" t="s">
        <v>306</v>
      </c>
      <c r="B316" s="3257" t="s">
        <v>3212</v>
      </c>
      <c r="C316" s="3269"/>
      <c r="D316" s="3269"/>
      <c r="E316" s="3269"/>
      <c r="F316" s="3258">
        <v>0.05</v>
      </c>
      <c r="G316" s="3275"/>
    </row>
    <row r="317" spans="1:7">
      <c r="A317" s="3268" t="s">
        <v>306</v>
      </c>
      <c r="B317" s="3257" t="s">
        <v>3213</v>
      </c>
      <c r="C317" s="3269"/>
      <c r="D317" s="3269"/>
      <c r="E317" s="3269"/>
      <c r="F317" s="3258">
        <v>0.05</v>
      </c>
      <c r="G317" s="3275"/>
    </row>
    <row r="318" spans="1:7">
      <c r="A318" s="3268" t="s">
        <v>306</v>
      </c>
      <c r="B318" s="3257" t="s">
        <v>3214</v>
      </c>
      <c r="C318" s="3269"/>
      <c r="D318" s="3269"/>
      <c r="E318" s="3269"/>
      <c r="F318" s="3258">
        <v>0.05</v>
      </c>
      <c r="G318" s="3275"/>
    </row>
    <row r="319" spans="1:7">
      <c r="A319" s="3268" t="s">
        <v>306</v>
      </c>
      <c r="B319" s="3257" t="s">
        <v>3215</v>
      </c>
      <c r="C319" s="3269"/>
      <c r="D319" s="3269"/>
      <c r="E319" s="3269"/>
      <c r="F319" s="3258">
        <v>0.05</v>
      </c>
      <c r="G319" s="3275"/>
    </row>
    <row r="320" spans="1:7">
      <c r="A320" s="3268" t="s">
        <v>306</v>
      </c>
      <c r="B320" s="3257" t="s">
        <v>3216</v>
      </c>
      <c r="C320" s="3269"/>
      <c r="D320" s="3269"/>
      <c r="E320" s="3269"/>
      <c r="F320" s="3258">
        <v>0.05</v>
      </c>
      <c r="G320" s="3275"/>
    </row>
    <row r="321" spans="1:7">
      <c r="A321" s="3268" t="s">
        <v>306</v>
      </c>
      <c r="B321" s="3257" t="s">
        <v>3217</v>
      </c>
      <c r="C321" s="3269"/>
      <c r="D321" s="3269"/>
      <c r="E321" s="3269"/>
      <c r="F321" s="3258">
        <v>0.05</v>
      </c>
      <c r="G321" s="3275"/>
    </row>
    <row r="322" spans="1:7">
      <c r="A322" s="3268" t="s">
        <v>306</v>
      </c>
      <c r="B322" s="3257" t="s">
        <v>3218</v>
      </c>
      <c r="C322" s="3269"/>
      <c r="D322" s="3269"/>
      <c r="E322" s="3269"/>
      <c r="F322" s="3258">
        <v>0.05</v>
      </c>
      <c r="G322" s="3275"/>
    </row>
    <row r="323" spans="1:7">
      <c r="A323" s="3268" t="s">
        <v>306</v>
      </c>
      <c r="B323" s="3257" t="s">
        <v>3219</v>
      </c>
      <c r="C323" s="3269"/>
      <c r="D323" s="3269"/>
      <c r="E323" s="3269"/>
      <c r="F323" s="3258">
        <v>0.05</v>
      </c>
      <c r="G323" s="3275"/>
    </row>
    <row r="324" spans="1:7">
      <c r="A324" s="3268" t="s">
        <v>306</v>
      </c>
      <c r="B324" s="3257" t="s">
        <v>3220</v>
      </c>
      <c r="C324" s="3269"/>
      <c r="D324" s="3269"/>
      <c r="E324" s="3269"/>
      <c r="F324" s="3258">
        <v>0.05</v>
      </c>
      <c r="G324" s="3275"/>
    </row>
    <row r="325" spans="1:7">
      <c r="A325" s="3268" t="s">
        <v>306</v>
      </c>
      <c r="B325" s="3257" t="s">
        <v>3221</v>
      </c>
      <c r="C325" s="3269"/>
      <c r="D325" s="3269"/>
      <c r="E325" s="3269"/>
      <c r="F325" s="3258">
        <v>0.05</v>
      </c>
      <c r="G325" s="3275"/>
    </row>
    <row r="326" spans="1:7" ht="15" thickBot="1">
      <c r="A326" s="3271" t="s">
        <v>306</v>
      </c>
      <c r="B326" s="3261" t="s">
        <v>3222</v>
      </c>
      <c r="C326" s="3263"/>
      <c r="D326" s="3263"/>
      <c r="E326" s="3263"/>
      <c r="F326" s="3262">
        <v>0.05</v>
      </c>
      <c r="G326" s="3276"/>
    </row>
    <row r="327" spans="1:7">
      <c r="A327" s="3267" t="s">
        <v>307</v>
      </c>
      <c r="B327" s="3253" t="s">
        <v>2854</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2866</v>
      </c>
      <c r="C329" s="3258">
        <v>0.15</v>
      </c>
      <c r="D329" s="3258">
        <v>0.15</v>
      </c>
      <c r="E329" s="3258">
        <v>0.15</v>
      </c>
      <c r="F329" s="3258">
        <v>0.15</v>
      </c>
      <c r="G329" s="3259">
        <v>0.15</v>
      </c>
    </row>
    <row r="330" spans="1:7">
      <c r="A330" s="3268" t="s">
        <v>307</v>
      </c>
      <c r="B330" s="3257" t="s">
        <v>2870</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2878</v>
      </c>
      <c r="C332" s="3258">
        <v>0.15</v>
      </c>
      <c r="D332" s="3258">
        <v>0.15</v>
      </c>
      <c r="E332" s="3258">
        <v>0.15</v>
      </c>
      <c r="F332" s="3258">
        <v>0.15</v>
      </c>
      <c r="G332" s="3259">
        <v>0.15</v>
      </c>
    </row>
    <row r="333" spans="1:7">
      <c r="A333" s="3268" t="s">
        <v>307</v>
      </c>
      <c r="B333" s="3257" t="s">
        <v>2882</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2888</v>
      </c>
      <c r="C336" s="3258">
        <v>0.15</v>
      </c>
      <c r="D336" s="3258">
        <v>0.15</v>
      </c>
      <c r="E336" s="3258">
        <v>0.15</v>
      </c>
      <c r="F336" s="3258">
        <v>0.14199999999999999</v>
      </c>
      <c r="G336" s="3259">
        <v>0.15</v>
      </c>
    </row>
    <row r="337" spans="1:7">
      <c r="A337" s="3268" t="s">
        <v>307</v>
      </c>
      <c r="B337" s="3257" t="s">
        <v>2893</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2900</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2905</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2913</v>
      </c>
      <c r="C345" s="3258">
        <v>0.15</v>
      </c>
      <c r="D345" s="3258">
        <v>0.15</v>
      </c>
      <c r="E345" s="3258">
        <v>0.15</v>
      </c>
      <c r="F345" s="3258">
        <v>0.13800000000000001</v>
      </c>
      <c r="G345" s="3259">
        <v>0.15</v>
      </c>
    </row>
    <row r="346" spans="1:7">
      <c r="A346" s="3268" t="s">
        <v>307</v>
      </c>
      <c r="B346" s="3257" t="s">
        <v>2915</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2922</v>
      </c>
      <c r="C348" s="3258">
        <v>0.15</v>
      </c>
      <c r="D348" s="3258">
        <v>0.15</v>
      </c>
      <c r="E348" s="3258">
        <v>0.15</v>
      </c>
      <c r="F348" s="3258">
        <v>0.14399999999999999</v>
      </c>
      <c r="G348" s="3259">
        <v>0.15</v>
      </c>
    </row>
    <row r="349" spans="1:7">
      <c r="A349" s="3268" t="s">
        <v>307</v>
      </c>
      <c r="B349" s="3257" t="s">
        <v>2927</v>
      </c>
      <c r="C349" s="3258">
        <v>0.15</v>
      </c>
      <c r="D349" s="3258">
        <v>0.15</v>
      </c>
      <c r="E349" s="3258">
        <v>0.15</v>
      </c>
      <c r="F349" s="3258">
        <v>0.15</v>
      </c>
      <c r="G349" s="3259">
        <v>0.15</v>
      </c>
    </row>
    <row r="350" spans="1:7">
      <c r="A350" s="3268" t="s">
        <v>307</v>
      </c>
      <c r="B350" s="3257" t="s">
        <v>2930</v>
      </c>
      <c r="C350" s="3258">
        <v>0.15</v>
      </c>
      <c r="D350" s="3258">
        <v>0.15</v>
      </c>
      <c r="E350" s="3258">
        <v>0.15</v>
      </c>
      <c r="F350" s="3258">
        <v>0.14699999999999999</v>
      </c>
      <c r="G350" s="3259">
        <v>0.15</v>
      </c>
    </row>
    <row r="351" spans="1:7">
      <c r="A351" s="3268" t="s">
        <v>307</v>
      </c>
      <c r="B351" s="3257" t="s">
        <v>2935</v>
      </c>
      <c r="C351" s="3258">
        <v>0.15</v>
      </c>
      <c r="D351" s="3258">
        <v>0.15</v>
      </c>
      <c r="E351" s="3258">
        <v>0.15</v>
      </c>
      <c r="F351" s="3258">
        <v>0.13</v>
      </c>
      <c r="G351" s="3259">
        <v>0.15</v>
      </c>
    </row>
    <row r="352" spans="1:7">
      <c r="A352" s="3268" t="s">
        <v>307</v>
      </c>
      <c r="B352" s="3257" t="s">
        <v>2940</v>
      </c>
      <c r="C352" s="3258">
        <v>0.15</v>
      </c>
      <c r="D352" s="3258">
        <v>0.15</v>
      </c>
      <c r="E352" s="3258">
        <v>0.15</v>
      </c>
      <c r="F352" s="3258">
        <v>0.14599999999999999</v>
      </c>
      <c r="G352" s="3259">
        <v>0.15</v>
      </c>
    </row>
    <row r="353" spans="1:7">
      <c r="A353" s="3268" t="s">
        <v>307</v>
      </c>
      <c r="B353" s="3257" t="s">
        <v>2947</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2960</v>
      </c>
      <c r="C355" s="3258">
        <v>0.15</v>
      </c>
      <c r="D355" s="3258">
        <v>0.15</v>
      </c>
      <c r="E355" s="3258">
        <v>0.15</v>
      </c>
      <c r="F355" s="3258">
        <v>0.15</v>
      </c>
      <c r="G355" s="3259">
        <v>0.15</v>
      </c>
    </row>
    <row r="356" spans="1:7">
      <c r="A356" s="3268" t="s">
        <v>307</v>
      </c>
      <c r="B356" s="3257" t="s">
        <v>2967</v>
      </c>
      <c r="C356" s="3258">
        <v>0.15</v>
      </c>
      <c r="D356" s="3258">
        <v>0.15</v>
      </c>
      <c r="E356" s="3258">
        <v>0.15</v>
      </c>
      <c r="F356" s="3258">
        <v>0.15</v>
      </c>
      <c r="G356" s="3259">
        <v>0.15</v>
      </c>
    </row>
    <row r="357" spans="1:7" ht="15" thickBot="1">
      <c r="A357" s="3271" t="s">
        <v>307</v>
      </c>
      <c r="B357" s="3261" t="s">
        <v>2972</v>
      </c>
      <c r="C357" s="3262">
        <v>0.126</v>
      </c>
      <c r="D357" s="3262">
        <v>0.127</v>
      </c>
      <c r="E357" s="3262">
        <v>0.14299999999999999</v>
      </c>
      <c r="F357" s="3262">
        <v>0.125</v>
      </c>
      <c r="G357" s="3264">
        <v>0.129</v>
      </c>
    </row>
    <row r="358" spans="1:7">
      <c r="A358" s="3267" t="s">
        <v>2841</v>
      </c>
      <c r="B358" s="3253" t="s">
        <v>2855</v>
      </c>
      <c r="C358" s="3254">
        <v>0.15</v>
      </c>
      <c r="D358" s="3254">
        <v>0.15</v>
      </c>
      <c r="E358" s="3254">
        <v>0.15</v>
      </c>
      <c r="F358" s="3254">
        <v>0.15</v>
      </c>
      <c r="G358" s="3255">
        <v>0.15</v>
      </c>
    </row>
    <row r="359" spans="1:7">
      <c r="A359" s="3268" t="s">
        <v>2841</v>
      </c>
      <c r="B359" s="3257" t="s">
        <v>2861</v>
      </c>
      <c r="C359" s="3258">
        <v>0.1</v>
      </c>
      <c r="D359" s="3258">
        <v>0.1</v>
      </c>
      <c r="E359" s="3258">
        <v>0.1</v>
      </c>
      <c r="F359" s="3258">
        <v>0.1</v>
      </c>
      <c r="G359" s="3259">
        <v>0.1</v>
      </c>
    </row>
    <row r="360" spans="1:7">
      <c r="A360" s="3268" t="s">
        <v>2841</v>
      </c>
      <c r="B360" s="3257" t="s">
        <v>2867</v>
      </c>
      <c r="C360" s="3258">
        <v>0.15</v>
      </c>
      <c r="D360" s="3258">
        <v>0.15</v>
      </c>
      <c r="E360" s="3258">
        <v>0.15</v>
      </c>
      <c r="F360" s="3258">
        <v>0.14899999999999999</v>
      </c>
      <c r="G360" s="3259">
        <v>0.15</v>
      </c>
    </row>
    <row r="361" spans="1:7">
      <c r="A361" s="3268" t="s">
        <v>2841</v>
      </c>
      <c r="B361" s="3257" t="s">
        <v>153</v>
      </c>
      <c r="C361" s="3258">
        <v>0.15</v>
      </c>
      <c r="D361" s="3258">
        <v>0.15</v>
      </c>
      <c r="E361" s="3258">
        <v>0.15</v>
      </c>
      <c r="F361" s="3258">
        <v>0.115</v>
      </c>
      <c r="G361" s="3259">
        <v>0.15</v>
      </c>
    </row>
    <row r="362" spans="1:7">
      <c r="A362" s="3268" t="s">
        <v>2841</v>
      </c>
      <c r="B362" s="3257" t="s">
        <v>2874</v>
      </c>
      <c r="C362" s="3258">
        <v>0.15</v>
      </c>
      <c r="D362" s="3258">
        <v>0.15</v>
      </c>
      <c r="E362" s="3258">
        <v>0.15</v>
      </c>
      <c r="F362" s="3258">
        <v>0.106</v>
      </c>
      <c r="G362" s="3259">
        <v>0.15</v>
      </c>
    </row>
    <row r="363" spans="1:7">
      <c r="A363" s="3268" t="s">
        <v>2841</v>
      </c>
      <c r="B363" s="3257" t="s">
        <v>2879</v>
      </c>
      <c r="C363" s="3258">
        <v>0.15</v>
      </c>
      <c r="D363" s="3258">
        <v>0.15</v>
      </c>
      <c r="E363" s="3258">
        <v>0.15</v>
      </c>
      <c r="F363" s="3258">
        <v>0.14699999999999999</v>
      </c>
      <c r="G363" s="3259">
        <v>0.15</v>
      </c>
    </row>
    <row r="364" spans="1:7">
      <c r="A364" s="3268" t="s">
        <v>2841</v>
      </c>
      <c r="B364" s="3257" t="s">
        <v>2883</v>
      </c>
      <c r="C364" s="3258">
        <v>0.15</v>
      </c>
      <c r="D364" s="3258">
        <v>0.15</v>
      </c>
      <c r="E364" s="3258">
        <v>0.15</v>
      </c>
      <c r="F364" s="3258">
        <v>0.14799999999999999</v>
      </c>
      <c r="G364" s="3259">
        <v>0.15</v>
      </c>
    </row>
    <row r="365" spans="1:7">
      <c r="A365" s="3268" t="s">
        <v>2841</v>
      </c>
      <c r="B365" s="3257" t="s">
        <v>200</v>
      </c>
      <c r="C365" s="3258">
        <v>0.15</v>
      </c>
      <c r="D365" s="3258">
        <v>0.15</v>
      </c>
      <c r="E365" s="3258">
        <v>0.15</v>
      </c>
      <c r="F365" s="3258">
        <v>0.15</v>
      </c>
      <c r="G365" s="3259">
        <v>0.15</v>
      </c>
    </row>
    <row r="366" spans="1:7">
      <c r="A366" s="3268" t="s">
        <v>2841</v>
      </c>
      <c r="B366" s="3257" t="s">
        <v>2886</v>
      </c>
      <c r="C366" s="3258">
        <v>0.15</v>
      </c>
      <c r="D366" s="3258">
        <v>0.15</v>
      </c>
      <c r="E366" s="3258">
        <v>0.15</v>
      </c>
      <c r="F366" s="3258">
        <v>0.15</v>
      </c>
      <c r="G366" s="3259">
        <v>0.15</v>
      </c>
    </row>
    <row r="367" spans="1:7">
      <c r="A367" s="3268" t="s">
        <v>2841</v>
      </c>
      <c r="B367" s="3257" t="s">
        <v>2889</v>
      </c>
      <c r="C367" s="3258">
        <v>0.15</v>
      </c>
      <c r="D367" s="3258">
        <v>0.15</v>
      </c>
      <c r="E367" s="3258">
        <v>0.15</v>
      </c>
      <c r="F367" s="3258">
        <v>0.14699999999999999</v>
      </c>
      <c r="G367" s="3259">
        <v>0.15</v>
      </c>
    </row>
    <row r="368" spans="1:7">
      <c r="A368" s="3268" t="s">
        <v>2841</v>
      </c>
      <c r="B368" s="3257" t="s">
        <v>2894</v>
      </c>
      <c r="C368" s="3258">
        <v>0.15</v>
      </c>
      <c r="D368" s="3258">
        <v>0.15</v>
      </c>
      <c r="E368" s="3258">
        <v>0.15</v>
      </c>
      <c r="F368" s="3258">
        <v>0.13600000000000001</v>
      </c>
      <c r="G368" s="3259">
        <v>0.15</v>
      </c>
    </row>
    <row r="369" spans="1:7">
      <c r="A369" s="3268" t="s">
        <v>2841</v>
      </c>
      <c r="B369" s="3257" t="s">
        <v>214</v>
      </c>
      <c r="C369" s="3258">
        <v>0.15</v>
      </c>
      <c r="D369" s="3258">
        <v>0.15</v>
      </c>
      <c r="E369" s="3258">
        <v>0.15</v>
      </c>
      <c r="F369" s="3258">
        <v>0.14399999999999999</v>
      </c>
      <c r="G369" s="3259">
        <v>0.15</v>
      </c>
    </row>
    <row r="370" spans="1:7">
      <c r="A370" s="3268" t="s">
        <v>2841</v>
      </c>
      <c r="B370" s="3257" t="s">
        <v>221</v>
      </c>
      <c r="C370" s="3258">
        <v>0.15</v>
      </c>
      <c r="D370" s="3258">
        <v>0.15</v>
      </c>
      <c r="E370" s="3258">
        <v>0.15</v>
      </c>
      <c r="F370" s="3258">
        <v>0.14599999999999999</v>
      </c>
      <c r="G370" s="3259">
        <v>0.15</v>
      </c>
    </row>
    <row r="371" spans="1:7">
      <c r="A371" s="3268" t="s">
        <v>2841</v>
      </c>
      <c r="B371" s="3257" t="s">
        <v>229</v>
      </c>
      <c r="C371" s="3258">
        <v>0.15</v>
      </c>
      <c r="D371" s="3258">
        <v>0.15</v>
      </c>
      <c r="E371" s="3258">
        <v>0.15</v>
      </c>
      <c r="F371" s="3258">
        <v>0.12</v>
      </c>
      <c r="G371" s="3259">
        <v>0.15</v>
      </c>
    </row>
    <row r="372" spans="1:7">
      <c r="A372" s="3268" t="s">
        <v>2841</v>
      </c>
      <c r="B372" s="3257" t="s">
        <v>2902</v>
      </c>
      <c r="C372" s="3258">
        <v>0.15</v>
      </c>
      <c r="D372" s="3258">
        <v>0.15</v>
      </c>
      <c r="E372" s="3258">
        <v>0.15</v>
      </c>
      <c r="F372" s="3258">
        <v>0.14299999999999999</v>
      </c>
      <c r="G372" s="3259">
        <v>0.15</v>
      </c>
    </row>
    <row r="373" spans="1:7">
      <c r="A373" s="3268" t="s">
        <v>2841</v>
      </c>
      <c r="B373" s="3257" t="s">
        <v>258</v>
      </c>
      <c r="C373" s="3258">
        <v>0.15</v>
      </c>
      <c r="D373" s="3258">
        <v>0.15</v>
      </c>
      <c r="E373" s="3258">
        <v>0.15</v>
      </c>
      <c r="F373" s="3258">
        <v>0.14599999999999999</v>
      </c>
      <c r="G373" s="3259">
        <v>0.15</v>
      </c>
    </row>
    <row r="374" spans="1:7">
      <c r="A374" s="3268" t="s">
        <v>2841</v>
      </c>
      <c r="B374" s="3257" t="s">
        <v>266</v>
      </c>
      <c r="C374" s="3258">
        <v>0.15</v>
      </c>
      <c r="D374" s="3258">
        <v>0.15</v>
      </c>
      <c r="E374" s="3258">
        <v>0.15</v>
      </c>
      <c r="F374" s="3258">
        <v>0.14399999999999999</v>
      </c>
      <c r="G374" s="3259">
        <v>0.15</v>
      </c>
    </row>
    <row r="375" spans="1:7">
      <c r="A375" s="3268" t="s">
        <v>2841</v>
      </c>
      <c r="B375" s="3257" t="s">
        <v>2910</v>
      </c>
      <c r="C375" s="3258">
        <v>0.15</v>
      </c>
      <c r="D375" s="3258">
        <v>0.15</v>
      </c>
      <c r="E375" s="3258">
        <v>0.15</v>
      </c>
      <c r="F375" s="3258">
        <v>0.13</v>
      </c>
      <c r="G375" s="3259">
        <v>0.15</v>
      </c>
    </row>
    <row r="376" spans="1:7">
      <c r="A376" s="3268" t="s">
        <v>2841</v>
      </c>
      <c r="B376" s="3257" t="s">
        <v>277</v>
      </c>
      <c r="C376" s="3258">
        <v>0.15</v>
      </c>
      <c r="D376" s="3258">
        <v>0.15</v>
      </c>
      <c r="E376" s="3258">
        <v>0.15</v>
      </c>
      <c r="F376" s="3258">
        <v>0.14199999999999999</v>
      </c>
      <c r="G376" s="3259">
        <v>0.15</v>
      </c>
    </row>
    <row r="377" spans="1:7" ht="15" thickBot="1">
      <c r="A377" s="3271" t="s">
        <v>2841</v>
      </c>
      <c r="B377" s="3261" t="s">
        <v>2916</v>
      </c>
      <c r="C377" s="3262">
        <v>0.15</v>
      </c>
      <c r="D377" s="3262">
        <v>0.15</v>
      </c>
      <c r="E377" s="3262">
        <v>0.15</v>
      </c>
      <c r="F377" s="3262">
        <v>0.14000000000000001</v>
      </c>
      <c r="G377" s="3264">
        <v>0.15</v>
      </c>
    </row>
    <row r="378" spans="1:7">
      <c r="A378" s="3267" t="s">
        <v>2842</v>
      </c>
      <c r="B378" s="3253" t="s">
        <v>2856</v>
      </c>
      <c r="C378" s="3254">
        <v>0.15</v>
      </c>
      <c r="D378" s="3254">
        <v>0.15</v>
      </c>
      <c r="E378" s="3254">
        <v>0.15</v>
      </c>
      <c r="F378" s="3254">
        <v>0.107</v>
      </c>
      <c r="G378" s="3255">
        <v>0.15</v>
      </c>
    </row>
    <row r="379" spans="1:7">
      <c r="A379" s="3268" t="s">
        <v>2842</v>
      </c>
      <c r="B379" s="3257" t="s">
        <v>2862</v>
      </c>
      <c r="C379" s="3258">
        <v>0.15</v>
      </c>
      <c r="D379" s="3258">
        <v>0.15</v>
      </c>
      <c r="E379" s="3258">
        <v>0.15</v>
      </c>
      <c r="F379" s="3258">
        <v>0.115</v>
      </c>
      <c r="G379" s="3259">
        <v>0.14899999999999999</v>
      </c>
    </row>
    <row r="380" spans="1:7">
      <c r="A380" s="3268" t="s">
        <v>2842</v>
      </c>
      <c r="B380" s="3257" t="s">
        <v>2868</v>
      </c>
      <c r="C380" s="3258">
        <v>0.15</v>
      </c>
      <c r="D380" s="3258">
        <v>0.15</v>
      </c>
      <c r="E380" s="3258">
        <v>0.15</v>
      </c>
      <c r="F380" s="3258">
        <v>0.1</v>
      </c>
      <c r="G380" s="3259">
        <v>0.14799999999999999</v>
      </c>
    </row>
    <row r="381" spans="1:7">
      <c r="A381" s="3268" t="s">
        <v>2842</v>
      </c>
      <c r="B381" s="3257" t="s">
        <v>2871</v>
      </c>
      <c r="C381" s="3258">
        <v>0.15</v>
      </c>
      <c r="D381" s="3258">
        <v>0.15</v>
      </c>
      <c r="E381" s="3258">
        <v>0.15</v>
      </c>
      <c r="F381" s="3258">
        <v>0.126</v>
      </c>
      <c r="G381" s="3259">
        <v>0.15</v>
      </c>
    </row>
    <row r="382" spans="1:7">
      <c r="A382" s="3268" t="s">
        <v>2842</v>
      </c>
      <c r="B382" s="3257" t="s">
        <v>2875</v>
      </c>
      <c r="C382" s="3258">
        <v>0.15</v>
      </c>
      <c r="D382" s="3258">
        <v>0.15</v>
      </c>
      <c r="E382" s="3258">
        <v>0.15</v>
      </c>
      <c r="F382" s="3258">
        <v>0.15</v>
      </c>
      <c r="G382" s="3259">
        <v>0.15</v>
      </c>
    </row>
    <row r="383" spans="1:7">
      <c r="A383" s="3268" t="s">
        <v>2842</v>
      </c>
      <c r="B383" s="3257" t="s">
        <v>2880</v>
      </c>
      <c r="C383" s="3258">
        <v>0.15</v>
      </c>
      <c r="D383" s="3258">
        <v>0.15</v>
      </c>
      <c r="E383" s="3258">
        <v>0.15</v>
      </c>
      <c r="F383" s="3258">
        <v>0.14699999999999999</v>
      </c>
      <c r="G383" s="3259">
        <v>0.15</v>
      </c>
    </row>
    <row r="384" spans="1:7" ht="15" thickBot="1">
      <c r="A384" s="3278" t="s">
        <v>2842</v>
      </c>
      <c r="B384" s="3279" t="s">
        <v>2884</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3"/>
  </cols>
  <sheetData>
    <row r="1" spans="1:6">
      <c r="A1" s="3853" t="s">
        <v>3223</v>
      </c>
      <c r="B1" s="3853"/>
      <c r="C1" s="3853"/>
      <c r="D1" s="3853"/>
      <c r="E1" s="3853"/>
      <c r="F1" s="3854"/>
    </row>
    <row r="2" spans="1:6">
      <c r="A2" s="3284" t="s">
        <v>3224</v>
      </c>
      <c r="B2" s="3285"/>
      <c r="C2" s="3285"/>
      <c r="D2" s="3285"/>
      <c r="E2" s="3285"/>
      <c r="F2" s="3285"/>
    </row>
    <row r="3" spans="1:6">
      <c r="A3" s="3284" t="s">
        <v>3225</v>
      </c>
      <c r="B3" s="3285"/>
      <c r="C3" s="3285"/>
      <c r="D3" s="3285"/>
      <c r="E3" s="3285"/>
      <c r="F3" s="3286" t="s">
        <v>3226</v>
      </c>
    </row>
    <row r="4" spans="1:6">
      <c r="A4" s="3287" t="s">
        <v>672</v>
      </c>
      <c r="B4" s="3287" t="s">
        <v>673</v>
      </c>
      <c r="C4" s="3287" t="s">
        <v>21</v>
      </c>
      <c r="D4" s="3287" t="s">
        <v>674</v>
      </c>
      <c r="E4" s="3287" t="s">
        <v>3</v>
      </c>
      <c r="F4" s="3287" t="s">
        <v>3227</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4">
        <f>基准地价修正!G23</f>
        <v>45146</v>
      </c>
      <c r="B1" s="3203" t="s">
        <v>2829</v>
      </c>
      <c r="C1" s="3204"/>
      <c r="D1" s="3204"/>
      <c r="E1" s="3204"/>
      <c r="F1" s="3204"/>
      <c r="G1" s="3204"/>
      <c r="H1" s="3204"/>
      <c r="I1" s="3204"/>
      <c r="J1" s="3158"/>
      <c r="K1" s="3204" t="s">
        <v>454</v>
      </c>
      <c r="L1" s="3204"/>
      <c r="M1" s="3204"/>
      <c r="N1" s="3204"/>
      <c r="O1" s="3204"/>
      <c r="P1" s="3204"/>
      <c r="Q1" s="3158"/>
      <c r="R1" s="3855" t="s">
        <v>456</v>
      </c>
      <c r="S1" s="3856"/>
      <c r="T1" s="3856"/>
      <c r="U1" s="3856"/>
      <c r="V1" s="3856"/>
      <c r="W1" s="3856"/>
      <c r="X1" s="3158"/>
      <c r="Y1" s="3855" t="s">
        <v>457</v>
      </c>
      <c r="Z1" s="3856"/>
      <c r="AA1" s="3856"/>
      <c r="AB1" s="3856"/>
      <c r="AC1" s="3856"/>
      <c r="AD1" s="3856"/>
    </row>
    <row r="2" spans="1:30" s="3136" customFormat="1" ht="15" thickBot="1">
      <c r="B2" s="3137"/>
      <c r="C2" s="3138"/>
      <c r="D2" s="3139" t="s">
        <v>2799</v>
      </c>
      <c r="E2" s="3140" t="s">
        <v>2800</v>
      </c>
      <c r="F2" s="3140" t="s">
        <v>2801</v>
      </c>
      <c r="G2" s="3140" t="s">
        <v>2802</v>
      </c>
      <c r="H2" s="3140" t="s">
        <v>2803</v>
      </c>
      <c r="I2" s="3140" t="s">
        <v>2620</v>
      </c>
      <c r="J2" s="3141"/>
      <c r="K2" s="3139" t="s">
        <v>2799</v>
      </c>
      <c r="L2" s="3140" t="s">
        <v>2800</v>
      </c>
      <c r="M2" s="3140" t="s">
        <v>2801</v>
      </c>
      <c r="N2" s="3140" t="s">
        <v>2802</v>
      </c>
      <c r="O2" s="3140" t="s">
        <v>2804</v>
      </c>
      <c r="P2" s="3140" t="s">
        <v>2620</v>
      </c>
      <c r="Q2" s="3141"/>
      <c r="R2" s="3139" t="s">
        <v>2799</v>
      </c>
      <c r="S2" s="3140" t="s">
        <v>2800</v>
      </c>
      <c r="T2" s="3140" t="s">
        <v>2801</v>
      </c>
      <c r="U2" s="3140" t="s">
        <v>2805</v>
      </c>
      <c r="V2" s="3140" t="s">
        <v>2806</v>
      </c>
      <c r="W2" s="3140" t="s">
        <v>2620</v>
      </c>
      <c r="X2" s="3141"/>
      <c r="Y2" s="3139" t="s">
        <v>2799</v>
      </c>
      <c r="Z2" s="3140" t="s">
        <v>2800</v>
      </c>
      <c r="AA2" s="3140" t="s">
        <v>2801</v>
      </c>
      <c r="AB2" s="3140" t="s">
        <v>2807</v>
      </c>
      <c r="AC2" s="3140" t="s">
        <v>2806</v>
      </c>
      <c r="AD2" s="3140" t="s">
        <v>2620</v>
      </c>
    </row>
    <row r="3" spans="1:30" s="3154" customFormat="1" ht="13.2">
      <c r="A3" s="3142" t="s">
        <v>2808</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3.2">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3.2">
      <c r="A5" s="3169" t="s">
        <v>3358</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3.2">
      <c r="A6" s="3169" t="s">
        <v>3359</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3.2">
      <c r="A7" s="3179" t="s">
        <v>3363</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3.2">
      <c r="A8" s="3169" t="s">
        <v>3362</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3.2">
      <c r="A9" s="3169" t="s">
        <v>3360</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3.2">
      <c r="A10" s="3169" t="s">
        <v>3354</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3.2">
      <c r="A11" s="3169" t="s">
        <v>3345</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3.2">
      <c r="A12" s="3169" t="s">
        <v>2809</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3.2">
      <c r="A13" s="3169" t="s">
        <v>2810</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3.2">
      <c r="A14" s="3169" t="s">
        <v>2811</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3.2">
      <c r="A15" s="3169" t="s">
        <v>2812</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ht="13.8" thickBot="1">
      <c r="A16" s="3190" t="s">
        <v>2813</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5" thickTop="1"/>
    <row r="18" spans="1:30" s="3002" customFormat="1">
      <c r="A18" s="3441" t="s">
        <v>3356</v>
      </c>
    </row>
    <row r="19" spans="1:30" s="3002" customFormat="1">
      <c r="I19" s="3201" t="s">
        <v>2814</v>
      </c>
    </row>
    <row r="20" spans="1:30" s="3002" customFormat="1"/>
    <row r="21" spans="1:30" s="3202" customFormat="1" ht="13.2">
      <c r="B21" s="3203" t="s">
        <v>2815</v>
      </c>
      <c r="C21" s="3204"/>
      <c r="D21" s="3204"/>
      <c r="E21" s="3204"/>
      <c r="F21" s="3204"/>
      <c r="G21" s="3204"/>
      <c r="H21" s="3204"/>
      <c r="I21" s="3204"/>
      <c r="J21" s="3158"/>
      <c r="K21" s="3204" t="s">
        <v>2816</v>
      </c>
      <c r="L21" s="3204"/>
      <c r="M21" s="3204"/>
      <c r="N21" s="3204"/>
      <c r="O21" s="3204"/>
      <c r="P21" s="3204"/>
      <c r="Q21" s="3158"/>
      <c r="R21" s="3855" t="s">
        <v>2817</v>
      </c>
      <c r="S21" s="3856"/>
      <c r="T21" s="3856"/>
      <c r="U21" s="3856"/>
      <c r="V21" s="3856"/>
      <c r="W21" s="3856"/>
      <c r="X21" s="3158"/>
      <c r="Y21" s="3855" t="s">
        <v>2818</v>
      </c>
      <c r="Z21" s="3856"/>
      <c r="AA21" s="3856"/>
      <c r="AB21" s="3856"/>
      <c r="AC21" s="3856"/>
      <c r="AD21" s="3856"/>
    </row>
    <row r="22" spans="1:30" s="3136" customFormat="1" ht="15" thickBot="1">
      <c r="B22" s="3137"/>
      <c r="C22" s="3138"/>
      <c r="D22" s="3139" t="s">
        <v>2819</v>
      </c>
      <c r="E22" s="3140" t="s">
        <v>2820</v>
      </c>
      <c r="F22" s="3140" t="s">
        <v>2821</v>
      </c>
      <c r="G22" s="3140" t="s">
        <v>2822</v>
      </c>
      <c r="H22" s="3140"/>
      <c r="I22" s="3140" t="s">
        <v>2823</v>
      </c>
      <c r="J22" s="3141"/>
      <c r="K22" s="3139" t="s">
        <v>2819</v>
      </c>
      <c r="L22" s="3140" t="s">
        <v>2820</v>
      </c>
      <c r="M22" s="3140" t="s">
        <v>2821</v>
      </c>
      <c r="N22" s="3140" t="s">
        <v>2822</v>
      </c>
      <c r="O22" s="3140"/>
      <c r="P22" s="3140" t="s">
        <v>2823</v>
      </c>
      <c r="Q22" s="3141"/>
      <c r="R22" s="3139" t="s">
        <v>2819</v>
      </c>
      <c r="S22" s="3140" t="s">
        <v>2820</v>
      </c>
      <c r="T22" s="3140" t="s">
        <v>2821</v>
      </c>
      <c r="U22" s="3140" t="s">
        <v>2822</v>
      </c>
      <c r="V22" s="3140"/>
      <c r="W22" s="3140" t="s">
        <v>2823</v>
      </c>
      <c r="X22" s="3141"/>
      <c r="Y22" s="3139" t="s">
        <v>2819</v>
      </c>
      <c r="Z22" s="3140" t="s">
        <v>2820</v>
      </c>
      <c r="AA22" s="3140" t="s">
        <v>2821</v>
      </c>
      <c r="AB22" s="3140" t="s">
        <v>2822</v>
      </c>
      <c r="AC22" s="3140"/>
      <c r="AD22" s="3140" t="s">
        <v>2823</v>
      </c>
    </row>
    <row r="23" spans="1:30" s="3154" customFormat="1" ht="13.2">
      <c r="A23" s="3142" t="s">
        <v>2824</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3.2">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3.2">
      <c r="A25" s="3169" t="s">
        <v>3358</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1.0396000000000001</v>
      </c>
      <c r="T25" s="3176">
        <f>ROUND(IF([3]项目基本情况!$B$8="出让",SUMPRODUCT(PRODUCT(1+M25:M$36)),SUMPRODUCT(PRODUCT(1+M25:M$35))),4)</f>
        <v>1.0269999999999999</v>
      </c>
      <c r="U25" s="3176">
        <f>ROUND(IF([3]项目基本情况!$B$8="出让",SUMPRODUCT(PRODUCT(1+N25:N$36)),SUMPRODUCT(PRODUCT(1+N25:N$35))),4)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3.2">
      <c r="A26" s="3169" t="s">
        <v>3359</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1.0396000000000001</v>
      </c>
      <c r="T26" s="3176">
        <f>ROUND(IF([3]项目基本情况!$B$8="出让",SUMPRODUCT(PRODUCT(1+M26:M$36)),SUMPRODUCT(PRODUCT(1+M26:M$35))),4)</f>
        <v>1.0269999999999999</v>
      </c>
      <c r="U26" s="3176">
        <f>ROUND(IF([3]项目基本情况!$B$8="出让",SUMPRODUCT(PRODUCT(1+N26:N$36)),SUMPRODUCT(PRODUCT(1+N26:N$35))),4)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3.2">
      <c r="A27" s="3179" t="s">
        <v>3361</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ROUND(IF([3]项目基本情况!$B$8="出让",SUMPRODUCT(PRODUCT(1+L27:L$36)),SUMPRODUCT(PRODUCT(1+L27:L$35))),4)</f>
        <v>1.0396000000000001</v>
      </c>
      <c r="T27" s="3185">
        <f>ROUND(IF([3]项目基本情况!$B$8="出让",SUMPRODUCT(PRODUCT(1+M27:M$36)),SUMPRODUCT(PRODUCT(1+M27:M$35))),4)</f>
        <v>1.0269999999999999</v>
      </c>
      <c r="U27" s="3185">
        <f>ROUND(IF([3]项目基本情况!$B$8="出让",SUMPRODUCT(PRODUCT(1+N27:N$36)),SUMPRODUCT(PRODUCT(1+N27:N$35))),4)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3.2">
      <c r="A28" s="3169" t="s">
        <v>3362</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ROUND(IF([3]项目基本情况!$B$8="出让",SUMPRODUCT(PRODUCT(1+L28:L$36)),SUMPRODUCT(PRODUCT(1+L28:L$35))),4)</f>
        <v>1.0344</v>
      </c>
      <c r="T28" s="3176">
        <f>ROUND(IF([3]项目基本情况!$B$8="出让",SUMPRODUCT(PRODUCT(1+M28:M$36)),SUMPRODUCT(PRODUCT(1+M28:M$35))),4)</f>
        <v>1.0224</v>
      </c>
      <c r="U28" s="3176">
        <f>ROUND(IF([3]项目基本情况!$B$8="出让",SUMPRODUCT(PRODUCT(1+N28:N$36)),SUMPRODUCT(PRODUCT(1+N28:N$35))),4)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3.2">
      <c r="A29" s="3169" t="s">
        <v>3360</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3.2">
      <c r="A30" s="3169" t="s">
        <v>3355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3.2">
      <c r="A31" s="3169" t="s">
        <v>3345</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3.2">
      <c r="A32" s="3169" t="s">
        <v>2825</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3.2">
      <c r="A33" s="3169" t="s">
        <v>2826</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3.2">
      <c r="A34" s="3169" t="s">
        <v>2827</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3.2">
      <c r="A35" s="3169" t="s">
        <v>2828</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ht="13.8" thickBot="1">
      <c r="A36" s="3190" t="s">
        <v>2813</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5" thickTop="1"/>
    <row r="38" spans="1:30">
      <c r="A38" s="3441"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62" t="s">
        <v>452</v>
      </c>
      <c r="C1" s="3862"/>
      <c r="D1" s="3862"/>
      <c r="E1" s="3862"/>
      <c r="F1" s="3862"/>
      <c r="G1" s="3858" t="s">
        <v>453</v>
      </c>
      <c r="H1" s="3858"/>
      <c r="I1" s="3858"/>
      <c r="J1" s="3858"/>
      <c r="K1" s="3858"/>
      <c r="L1" s="3858"/>
      <c r="N1" s="3858" t="s">
        <v>454</v>
      </c>
      <c r="O1" s="3858"/>
      <c r="P1" s="3858"/>
      <c r="Q1" s="3858"/>
      <c r="S1" s="3858" t="s">
        <v>455</v>
      </c>
      <c r="T1" s="3858"/>
      <c r="U1" s="3858"/>
      <c r="V1" s="3858"/>
      <c r="X1" s="3857" t="s">
        <v>456</v>
      </c>
      <c r="Y1" s="3858"/>
      <c r="Z1" s="3858"/>
      <c r="AA1" s="3858"/>
      <c r="AB1" s="3858"/>
      <c r="AD1" s="3857" t="s">
        <v>457</v>
      </c>
      <c r="AE1" s="3858"/>
      <c r="AF1" s="3858"/>
      <c r="AG1" s="3858"/>
      <c r="AH1" s="3858"/>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3353</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3350</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3351</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3352</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6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6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6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6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6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6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6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6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6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6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6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5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6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6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6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5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6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6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6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6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6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6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6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5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6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6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6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5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6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6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6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5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6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6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6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5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6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6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6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5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6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6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6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5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6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6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6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5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6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6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6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5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6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6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6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5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6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6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6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5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6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60">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61">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5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6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60">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61">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45146</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4">
        <v>45097</v>
      </c>
      <c r="D13" s="2815">
        <v>3.55</v>
      </c>
      <c r="E13" s="2815">
        <f>D13</f>
        <v>3.55</v>
      </c>
      <c r="F13" s="2815">
        <f>D13</f>
        <v>3.55</v>
      </c>
      <c r="G13" s="2815">
        <f>D13</f>
        <v>3.55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09"/>
      <c r="C14" s="2811">
        <v>44795</v>
      </c>
      <c r="D14" s="2810">
        <v>3.65</v>
      </c>
      <c r="E14" s="2810">
        <v>3.65</v>
      </c>
      <c r="F14" s="2810">
        <v>3.65</v>
      </c>
      <c r="G14" s="2810">
        <v>3.65</v>
      </c>
      <c r="H14" s="2810">
        <v>4.3</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09"/>
      <c r="C15" s="2811">
        <v>44701</v>
      </c>
      <c r="D15" s="2810">
        <v>3.7</v>
      </c>
      <c r="E15" s="2810">
        <f>D15</f>
        <v>3.7</v>
      </c>
      <c r="F15" s="2810">
        <f>D15</f>
        <v>3.7</v>
      </c>
      <c r="G15" s="2810">
        <f>D15</f>
        <v>3.7</v>
      </c>
      <c r="H15" s="2810">
        <v>4.45</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09"/>
      <c r="C16" s="2811">
        <v>44581</v>
      </c>
      <c r="D16" s="2810">
        <v>3.7</v>
      </c>
      <c r="E16" s="2810">
        <f>D16</f>
        <v>3.7</v>
      </c>
      <c r="F16" s="2810">
        <f>D16</f>
        <v>3.7</v>
      </c>
      <c r="G16" s="2810">
        <f>D16</f>
        <v>3.7</v>
      </c>
      <c r="H16" s="2810">
        <v>4.5999999999999996</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0"/>
      <c r="C17" s="2811">
        <v>44550</v>
      </c>
      <c r="D17" s="2810">
        <v>3.8</v>
      </c>
      <c r="E17" s="2810">
        <f>D17</f>
        <v>3.8</v>
      </c>
      <c r="F17" s="2810">
        <f>D17</f>
        <v>3.8</v>
      </c>
      <c r="G17" s="2810">
        <f>D17</f>
        <v>3.8</v>
      </c>
      <c r="H17" s="2810">
        <v>4.6500000000000004</v>
      </c>
      <c r="I17" s="2810"/>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0"/>
      <c r="C18" s="2811">
        <v>43941</v>
      </c>
      <c r="D18" s="2810">
        <v>3.85</v>
      </c>
      <c r="E18" s="2810">
        <v>3.85</v>
      </c>
      <c r="F18" s="2810">
        <v>3.85</v>
      </c>
      <c r="G18" s="2810">
        <v>3.85</v>
      </c>
      <c r="H18" s="2810">
        <v>4.6500000000000004</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5.6">
      <c r="A19" s="1282"/>
      <c r="B19" s="2810"/>
      <c r="C19" s="2811">
        <v>43881</v>
      </c>
      <c r="D19" s="2810">
        <v>4.05</v>
      </c>
      <c r="E19" s="2810">
        <v>4.05</v>
      </c>
      <c r="F19" s="2810">
        <v>4.05</v>
      </c>
      <c r="G19" s="2810">
        <v>4.05</v>
      </c>
      <c r="H19" s="2810">
        <v>4.75</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0"/>
      <c r="C20" s="2811">
        <v>43789</v>
      </c>
      <c r="D20" s="2810">
        <v>4.1500000000000004</v>
      </c>
      <c r="E20" s="2810">
        <v>4.1500000000000004</v>
      </c>
      <c r="F20" s="2810">
        <v>4.1500000000000004</v>
      </c>
      <c r="G20" s="2810">
        <v>4.1500000000000004</v>
      </c>
      <c r="H20" s="2810">
        <v>4.8</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0"/>
      <c r="C21" s="2811">
        <v>43728</v>
      </c>
      <c r="D21" s="2810">
        <v>4.2</v>
      </c>
      <c r="E21" s="2810">
        <v>4.2</v>
      </c>
      <c r="F21" s="2810">
        <v>4.2</v>
      </c>
      <c r="G21" s="2810">
        <v>4.2</v>
      </c>
      <c r="H21" s="2810">
        <v>4.8499999999999996</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09" t="s">
        <v>2298</v>
      </c>
      <c r="C22" s="2812">
        <v>43697</v>
      </c>
      <c r="D22" s="2813">
        <v>4.25</v>
      </c>
      <c r="E22" s="2813">
        <v>4.25</v>
      </c>
      <c r="F22" s="2813">
        <v>4.25</v>
      </c>
      <c r="G22" s="2813">
        <v>4.25</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16"/>
      <c r="B23" s="2817"/>
      <c r="C23" s="2818">
        <v>42301</v>
      </c>
      <c r="D23" s="2819">
        <v>4.3499999999999996</v>
      </c>
      <c r="E23" s="2819">
        <v>4.3499999999999996</v>
      </c>
      <c r="F23" s="2819">
        <v>4.75</v>
      </c>
      <c r="G23" s="2819">
        <v>4.75</v>
      </c>
      <c r="H23" s="2819">
        <v>4.9000000000000004</v>
      </c>
      <c r="I23" s="2819"/>
      <c r="J23" s="2819"/>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37" zoomScale="90" zoomScaleNormal="70" zoomScaleSheetLayoutView="90" workbookViewId="0">
      <selection activeCell="K39" sqref="K39"/>
    </sheetView>
  </sheetViews>
  <sheetFormatPr defaultColWidth="9" defaultRowHeight="13.2"/>
  <cols>
    <col min="1" max="1" width="9" style="258" customWidth="1"/>
    <col min="2" max="2" width="20.6640625" style="654" customWidth="1"/>
    <col min="3" max="3" width="11.88671875" style="654"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2"/>
      <c r="C1" s="1377" t="s">
        <v>3584</v>
      </c>
      <c r="D1" s="1360" t="s">
        <v>43</v>
      </c>
      <c r="E1" s="1361" t="s">
        <v>678</v>
      </c>
      <c r="F1" s="1061">
        <f ca="1">J53</f>
        <v>26.37</v>
      </c>
      <c r="G1" s="1376">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123180</v>
      </c>
      <c r="C2" s="1385" t="s">
        <v>805</v>
      </c>
      <c r="D2" s="1385"/>
      <c r="E2" s="1386"/>
      <c r="F2" s="1387"/>
      <c r="G2" s="2699"/>
      <c r="H2" s="2688"/>
      <c r="I2" s="2688"/>
      <c r="J2" s="2688"/>
      <c r="K2" s="2689"/>
      <c r="L2" s="2688"/>
      <c r="M2" s="2688"/>
    </row>
    <row r="3" spans="1:37" ht="18" customHeight="1" thickBot="1">
      <c r="A3" s="1388" t="s">
        <v>806</v>
      </c>
      <c r="B3" s="1389">
        <f ca="1">IF(ISERROR(B2*10000/F43),0,ROUND(B2*10000/F43,0))</f>
        <v>28642</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9422</v>
      </c>
      <c r="D5" s="1362" t="s">
        <v>693</v>
      </c>
      <c r="E5" s="1070"/>
      <c r="F5" s="1071"/>
      <c r="G5" s="1382"/>
      <c r="H5" s="299">
        <v>1</v>
      </c>
      <c r="I5" s="300" t="s">
        <v>692</v>
      </c>
      <c r="J5" s="1069">
        <f ca="1">J6+J10+J12</f>
        <v>0</v>
      </c>
      <c r="K5" s="1362" t="s">
        <v>693</v>
      </c>
      <c r="L5" s="1070"/>
      <c r="M5" s="1071"/>
    </row>
    <row r="6" spans="1:37" ht="18" customHeight="1">
      <c r="A6" s="1068" t="s">
        <v>398</v>
      </c>
      <c r="B6" s="3715" t="s">
        <v>694</v>
      </c>
      <c r="C6" s="1073">
        <f ca="1">ROUND(F6*F8*F7*(1-F9)/10000,0)</f>
        <v>9410</v>
      </c>
      <c r="D6" s="155" t="s">
        <v>2106</v>
      </c>
      <c r="E6" s="302" t="s">
        <v>696</v>
      </c>
      <c r="F6" s="303">
        <f ca="1">INDIRECT("'数据-取费表'!u"&amp;$G$1)</f>
        <v>104550000</v>
      </c>
      <c r="G6" s="1382"/>
      <c r="H6" s="1068" t="s">
        <v>398</v>
      </c>
      <c r="I6" s="3715" t="s">
        <v>694</v>
      </c>
      <c r="J6" s="301">
        <f ca="1">ROUND(M6*M8*M7*(1-M9)/10000,0)</f>
        <v>0</v>
      </c>
      <c r="K6" s="155" t="s">
        <v>2105</v>
      </c>
      <c r="L6" s="302" t="s">
        <v>696</v>
      </c>
      <c r="M6" s="303">
        <f ca="1">INDIRECT("'数据-取费表'!z"&amp;$G$1)</f>
        <v>0</v>
      </c>
    </row>
    <row r="7" spans="1:37" ht="18" customHeight="1">
      <c r="A7" s="1072"/>
      <c r="B7" s="3716"/>
      <c r="C7" s="1074"/>
      <c r="D7" s="307"/>
      <c r="E7" s="1075" t="s">
        <v>697</v>
      </c>
      <c r="F7" s="303">
        <f ca="1">IF(INDIRECT("'数据-取费表'!ah"&amp;$G$1)="",INDIRECT("'数据-取费表'!k"&amp;$G$1),INDIRECT("'数据-取费表'!ah"&amp;$G$1))</f>
        <v>1</v>
      </c>
      <c r="G7" s="1382"/>
      <c r="H7" s="304"/>
      <c r="I7" s="3716"/>
      <c r="J7" s="306"/>
      <c r="K7" s="307"/>
      <c r="L7" s="302" t="s">
        <v>697</v>
      </c>
      <c r="M7" s="303">
        <f ca="1">F7</f>
        <v>1</v>
      </c>
    </row>
    <row r="8" spans="1:37" ht="18" customHeight="1">
      <c r="A8" s="304"/>
      <c r="B8" s="3716"/>
      <c r="C8" s="306"/>
      <c r="D8" s="307"/>
      <c r="E8" s="302" t="s">
        <v>698</v>
      </c>
      <c r="F8" s="303">
        <f ca="1">INDIRECT("'数据-取费表'!ai"&amp;$G$1)</f>
        <v>1</v>
      </c>
      <c r="G8" s="1382"/>
      <c r="H8" s="304"/>
      <c r="I8" s="3716"/>
      <c r="J8" s="306"/>
      <c r="K8" s="307"/>
      <c r="L8" s="302" t="s">
        <v>698</v>
      </c>
      <c r="M8" s="303">
        <f ca="1">INDIRECT("'数据-取费表'!ai"&amp;$G$1)</f>
        <v>1</v>
      </c>
    </row>
    <row r="9" spans="1:37" ht="18" customHeight="1">
      <c r="A9" s="304"/>
      <c r="B9" s="3717"/>
      <c r="C9" s="306"/>
      <c r="D9" s="307"/>
      <c r="E9" s="302" t="s">
        <v>699</v>
      </c>
      <c r="F9" s="312">
        <f ca="1">INDIRECT("'数据-取费表'!w"&amp;$G$1)</f>
        <v>0.1</v>
      </c>
      <c r="G9" s="1382"/>
      <c r="H9" s="304"/>
      <c r="I9" s="3717"/>
      <c r="J9" s="306"/>
      <c r="K9" s="307"/>
      <c r="L9" s="313" t="s">
        <v>699</v>
      </c>
      <c r="M9" s="314">
        <f ca="1">INDIRECT("'数据-取费表'!ab"&amp;$G$1)</f>
        <v>0</v>
      </c>
    </row>
    <row r="10" spans="1:37" ht="18" customHeight="1">
      <c r="A10" s="1068" t="s">
        <v>402</v>
      </c>
      <c r="B10" s="1363" t="s">
        <v>700</v>
      </c>
      <c r="C10" s="316">
        <f ca="1">ROUND(IF(F10="押一",C6/12*F11,IF(F10="押二",C6/12*2*F11,IF(F10="押三",C6/12*3*F11,C11*F11))),0)</f>
        <v>12</v>
      </c>
      <c r="D10" s="1364" t="s">
        <v>2114</v>
      </c>
      <c r="E10" s="313" t="s">
        <v>701</v>
      </c>
      <c r="F10" s="1115" t="s">
        <v>3405</v>
      </c>
      <c r="G10" s="1382"/>
      <c r="H10" s="1068" t="s">
        <v>402</v>
      </c>
      <c r="I10" s="1363" t="s">
        <v>700</v>
      </c>
      <c r="J10" s="301">
        <f ca="1">ROUND(IF(M10="押一",J6/12*M11,IF(M10="押二",J6/12*2*M11,IF(M10="押三",J6/12*3*M11,J11*M11))),0)</f>
        <v>0</v>
      </c>
      <c r="K10" s="1364" t="s">
        <v>2113</v>
      </c>
      <c r="L10" s="313" t="s">
        <v>701</v>
      </c>
      <c r="M10" s="1115" t="s">
        <v>3405</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56830</v>
      </c>
      <c r="D13" s="1080" t="s">
        <v>705</v>
      </c>
      <c r="E13" s="1080" t="s">
        <v>706</v>
      </c>
      <c r="F13" s="1081">
        <f ca="1">INDIRECT("'数据-取费表'!y"&amp;$G$1)</f>
        <v>0.91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41449</v>
      </c>
      <c r="D14" s="1343" t="s">
        <v>708</v>
      </c>
      <c r="E14" s="1340"/>
      <c r="F14" s="319"/>
      <c r="G14" s="1382"/>
      <c r="H14" s="981" t="s">
        <v>398</v>
      </c>
      <c r="I14" s="302" t="s">
        <v>709</v>
      </c>
      <c r="J14" s="21">
        <f ca="1">C29</f>
        <v>62451</v>
      </c>
      <c r="K14" s="12"/>
      <c r="L14" s="806"/>
      <c r="M14" s="807"/>
    </row>
    <row r="15" spans="1:37" s="1395" customFormat="1" ht="18" customHeight="1" thickBot="1">
      <c r="A15" s="981" t="s">
        <v>399</v>
      </c>
      <c r="B15" s="302" t="s">
        <v>710</v>
      </c>
      <c r="C15" s="21">
        <f ca="1">ROUND(C14*F15,0)</f>
        <v>2487</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938</v>
      </c>
      <c r="K16" s="1086" t="s">
        <v>715</v>
      </c>
      <c r="L16" s="1087"/>
      <c r="M16" s="1071"/>
    </row>
    <row r="17" spans="1:37" s="1395" customFormat="1" ht="18" customHeight="1">
      <c r="A17" s="981" t="s">
        <v>681</v>
      </c>
      <c r="B17" s="302" t="s">
        <v>716</v>
      </c>
      <c r="C17" s="21">
        <f ca="1">ROUND(F17*(F43+INDIRECT("'数据-取费表'!S"&amp;$G$1))/10000,0)</f>
        <v>970</v>
      </c>
      <c r="D17" s="302" t="s">
        <v>717</v>
      </c>
      <c r="E17" s="302" t="s">
        <v>718</v>
      </c>
      <c r="F17" s="23">
        <f>'数据-取费表'!B35</f>
        <v>200</v>
      </c>
      <c r="G17" s="1394"/>
      <c r="H17" s="981" t="s">
        <v>398</v>
      </c>
      <c r="I17" s="302" t="s">
        <v>719</v>
      </c>
      <c r="J17" s="2312">
        <f ca="1">ROUND(IF(AND(项目基本情况!B11="自然人",项目基本情况!B10="北京市"),J6*M17/(1+'数据-取费表'!C42),J18+J19+J20),2)</f>
        <v>1.57</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829</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45735</v>
      </c>
      <c r="D19" s="131" t="s">
        <v>726</v>
      </c>
      <c r="E19" s="1358"/>
      <c r="F19" s="23"/>
      <c r="G19" s="1382"/>
      <c r="H19" s="981" t="s">
        <v>399</v>
      </c>
      <c r="I19" s="302" t="s">
        <v>727</v>
      </c>
      <c r="J19" s="21">
        <f ca="1">IF(K19="按租金收入计税",ROUND(J6*M19/(1+'数据-取费表'!C42),2),ROUND(C29*M19*0.7,2))</f>
        <v>0</v>
      </c>
      <c r="K19" s="1368" t="s">
        <v>3326</v>
      </c>
      <c r="L19" s="302" t="s">
        <v>712</v>
      </c>
      <c r="M19" s="322">
        <f>IF(K19="按租金收入计税",'数据-取费表'!B51,'数据-取费表'!B50)</f>
        <v>0.12</v>
      </c>
    </row>
    <row r="20" spans="1:37" s="1395" customFormat="1" ht="18" customHeight="1">
      <c r="A20" s="981" t="s">
        <v>402</v>
      </c>
      <c r="B20" s="302" t="s">
        <v>728</v>
      </c>
      <c r="C20" s="21">
        <f ca="1">ROUND(C19*F20,0)</f>
        <v>915</v>
      </c>
      <c r="D20" s="323" t="s">
        <v>729</v>
      </c>
      <c r="E20" s="302" t="s">
        <v>712</v>
      </c>
      <c r="F20" s="322">
        <f>'数据-取费表'!B37</f>
        <v>0.02</v>
      </c>
      <c r="G20" s="1394"/>
      <c r="H20" s="981" t="s">
        <v>680</v>
      </c>
      <c r="I20" s="155" t="s">
        <v>730</v>
      </c>
      <c r="J20" s="22">
        <f ca="1">ROUND(M20*M21/10000,2)</f>
        <v>1.57</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10479.049999999999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936.77</v>
      </c>
      <c r="K22" s="1342" t="s">
        <v>739</v>
      </c>
      <c r="L22" s="302" t="s">
        <v>712</v>
      </c>
      <c r="M22" s="328">
        <f ca="1">INDIRECT("'数据-取费表'!Ak"&amp;$G$1)</f>
        <v>1.4999999999999999E-2</v>
      </c>
    </row>
    <row r="23" spans="1:37" s="1395" customFormat="1" ht="18" customHeight="1">
      <c r="A23" s="981" t="s">
        <v>397</v>
      </c>
      <c r="B23" s="302" t="s">
        <v>740</v>
      </c>
      <c r="C23" s="21">
        <f ca="1">IF('数据-取费表'!B22&lt;=1,ROUND(C19*F24*F23/2,0)+ROUND(C20*F24*F23/2,0),ROUND(C19*(POWER((1+F24),F23/2)-1),0)+ROUND(C20*(POWER((1+F24),F23/2)-1),0))</f>
        <v>1656</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-938</v>
      </c>
      <c r="K25" s="1094" t="s">
        <v>753</v>
      </c>
      <c r="L25" s="1095"/>
      <c r="M25" s="1096"/>
    </row>
    <row r="26" spans="1:37">
      <c r="A26" s="981" t="s">
        <v>397</v>
      </c>
      <c r="B26" s="302" t="s">
        <v>754</v>
      </c>
      <c r="C26" s="21">
        <f ca="1">ROUND((C19+C20)*F26,0)</f>
        <v>9330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62451</v>
      </c>
      <c r="D29" s="1091"/>
      <c r="E29" s="1089"/>
      <c r="F29" s="1092"/>
      <c r="G29" s="1394"/>
      <c r="H29" s="334" t="s">
        <v>396</v>
      </c>
      <c r="I29" s="335" t="s">
        <v>768</v>
      </c>
      <c r="J29" s="336">
        <f ca="1">ROUND(J26/(1+F40)^F41,0)</f>
        <v>0</v>
      </c>
      <c r="K29" s="337" t="s">
        <v>769</v>
      </c>
      <c r="L29" s="338"/>
      <c r="M29" s="339">
        <f ca="1">INDIRECT("'数据-取费表'!k"&amp;$G$1)</f>
        <v>43006.62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2686</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ROUND(IF(AND(项目基本情况!B11="自然人",项目基本情况!B10="北京市"),C6*F31/(1+'数据-取费表'!C42),C32+C33+C34),2)</f>
        <v>1569.9</v>
      </c>
      <c r="D31" s="1343" t="s">
        <v>720</v>
      </c>
      <c r="E31" s="1342" t="s">
        <v>770</v>
      </c>
      <c r="F31" s="2311" t="str">
        <f>IF(项目基本情况!B11="企业","——",IF(M47="住宅",IF(F6*F7*F8/12/(1+'数据-取费表'!F30)&gt;100000,4%,2.5%),IF(F6*F7*F8/12/(1+'数据-取费表'!F30)&gt;100000,12%,7%)))</f>
        <v>——</v>
      </c>
      <c r="G31" s="1382"/>
      <c r="H31" s="2801" t="s">
        <v>2295</v>
      </c>
      <c r="I31" s="1396"/>
      <c r="J31" s="1397"/>
      <c r="K31" s="2468"/>
      <c r="L31" s="2691"/>
      <c r="M31" s="2692"/>
    </row>
    <row r="32" spans="1:37" ht="18" customHeight="1">
      <c r="A32" s="981" t="s">
        <v>397</v>
      </c>
      <c r="B32" s="302" t="s">
        <v>723</v>
      </c>
      <c r="C32" s="21">
        <f ca="1">IF(项目基本情况!B11="自然人","——",ROUND(C6*F32/(1+'数据-取费表'!C42),2))</f>
        <v>492.9</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1075.43</v>
      </c>
      <c r="D33" s="1368" t="s">
        <v>3326</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IF(项目基本情况!B11="自然人","——",ROUND(F34*F35/10000,2))</f>
        <v>1.57</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10479.049999999999</v>
      </c>
      <c r="G35" s="1382"/>
      <c r="H35" s="2690"/>
      <c r="I35" s="1396"/>
      <c r="J35" s="1397"/>
      <c r="K35" s="2694"/>
      <c r="L35" s="2693"/>
      <c r="M35" s="2693"/>
    </row>
    <row r="36" spans="1:18" ht="18" customHeight="1">
      <c r="A36" s="1101" t="s">
        <v>402</v>
      </c>
      <c r="B36" s="302" t="s">
        <v>738</v>
      </c>
      <c r="C36" s="21">
        <f ca="1">ROUND(C29*F36,2)</f>
        <v>936.77</v>
      </c>
      <c r="D36" s="1342" t="s">
        <v>771</v>
      </c>
      <c r="E36" s="302" t="s">
        <v>712</v>
      </c>
      <c r="F36" s="328">
        <f ca="1">INDIRECT("'数据-取费表'!Ak"&amp;$G$1)</f>
        <v>1.4999999999999999E-2</v>
      </c>
      <c r="G36" s="1382"/>
      <c r="H36" s="2693"/>
      <c r="I36" s="1396"/>
      <c r="J36" s="1397"/>
      <c r="K36" s="2537"/>
      <c r="L36" s="2693"/>
      <c r="M36" s="2693"/>
    </row>
    <row r="37" spans="1:18" ht="18" customHeight="1">
      <c r="A37" s="981" t="s">
        <v>437</v>
      </c>
      <c r="B37" s="302" t="s">
        <v>742</v>
      </c>
      <c r="C37" s="21">
        <f ca="1">ROUND(C13*F37,2)</f>
        <v>85.25</v>
      </c>
      <c r="D37" s="1342" t="s">
        <v>743</v>
      </c>
      <c r="E37" s="302" t="s">
        <v>744</v>
      </c>
      <c r="F37" s="330">
        <f ca="1">INDIRECT("'数据-取费表'!Al"&amp;$G$1)</f>
        <v>1.5E-3</v>
      </c>
      <c r="G37" s="1382"/>
      <c r="H37" s="2693"/>
      <c r="I37" s="1396"/>
      <c r="J37" s="1397"/>
      <c r="K37" s="2537"/>
      <c r="L37" s="2693"/>
      <c r="M37" s="2693"/>
    </row>
    <row r="38" spans="1:18" ht="18" customHeight="1" thickBot="1">
      <c r="A38" s="1088" t="s">
        <v>684</v>
      </c>
      <c r="B38" s="1089" t="s">
        <v>728</v>
      </c>
      <c r="C38" s="1090">
        <f ca="1">ROUND(C5*F38,2)</f>
        <v>94.22</v>
      </c>
      <c r="D38" s="1091" t="s">
        <v>748</v>
      </c>
      <c r="E38" s="1089" t="s">
        <v>744</v>
      </c>
      <c r="F38" s="1085">
        <f ca="1">INDIRECT("'数据-取费表'!Am"&amp;$G$1)</f>
        <v>0.01</v>
      </c>
      <c r="G38" s="1382"/>
      <c r="H38" s="2693"/>
      <c r="I38" s="1396"/>
      <c r="J38" s="1397"/>
      <c r="K38" s="2697"/>
      <c r="L38" s="2693"/>
      <c r="M38" s="2693"/>
    </row>
    <row r="39" spans="1:18" ht="24.6" customHeight="1" thickTop="1">
      <c r="A39" s="1078" t="s">
        <v>394</v>
      </c>
      <c r="B39" s="1093" t="s">
        <v>772</v>
      </c>
      <c r="C39" s="310">
        <f ca="1">C5-C30</f>
        <v>6736</v>
      </c>
      <c r="D39" s="1094" t="s">
        <v>773</v>
      </c>
      <c r="E39" s="1095"/>
      <c r="F39" s="1096"/>
      <c r="G39" s="1382"/>
      <c r="H39" s="2693"/>
      <c r="I39" s="1396"/>
      <c r="J39" s="1397"/>
      <c r="K39" s="2697"/>
      <c r="L39" s="2693"/>
      <c r="M39" s="2693"/>
    </row>
    <row r="40" spans="1:18" ht="18" customHeight="1">
      <c r="A40" s="299" t="s">
        <v>395</v>
      </c>
      <c r="B40" s="300" t="s">
        <v>774</v>
      </c>
      <c r="C40" s="301">
        <f ca="1">ROUND(C39*(1-((1+F42)/(1+F40))^F41)/(F40-F42),0)</f>
        <v>119220</v>
      </c>
      <c r="D40" s="324" t="s">
        <v>758</v>
      </c>
      <c r="E40" s="302" t="s">
        <v>759</v>
      </c>
      <c r="F40" s="312">
        <f ca="1">INDIRECT("'数据-取费表'!I"&amp;$G$1)</f>
        <v>0.06</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26.37</v>
      </c>
      <c r="G41" s="1382"/>
      <c r="H41" s="1189"/>
      <c r="I41" s="1396"/>
      <c r="J41" s="1397"/>
      <c r="K41" s="2537"/>
      <c r="L41" s="1189"/>
      <c r="M41" s="1189"/>
    </row>
    <row r="42" spans="1:18" ht="18" customHeight="1">
      <c r="A42" s="308"/>
      <c r="B42" s="309"/>
      <c r="C42" s="310"/>
      <c r="D42" s="327"/>
      <c r="E42" s="302" t="s">
        <v>766</v>
      </c>
      <c r="F42" s="312">
        <f ca="1">INDIRECT("'数据-取费表'!v"&amp;$G$1)</f>
        <v>0.03</v>
      </c>
      <c r="G42" s="1382"/>
      <c r="H42" s="1189"/>
      <c r="I42" s="1396"/>
      <c r="J42" s="1397"/>
      <c r="K42" s="2537"/>
      <c r="L42" s="1189"/>
      <c r="M42" s="1189"/>
    </row>
    <row r="43" spans="1:18" ht="18" customHeight="1" thickBot="1">
      <c r="A43" s="334" t="s">
        <v>396</v>
      </c>
      <c r="B43" s="335" t="s">
        <v>776</v>
      </c>
      <c r="C43" s="336">
        <f ca="1">ROUND(C40*10000/F43,0)</f>
        <v>27721</v>
      </c>
      <c r="D43" s="337" t="s">
        <v>777</v>
      </c>
      <c r="E43" s="338" t="s">
        <v>778</v>
      </c>
      <c r="F43" s="339">
        <f ca="1">INDIRECT("'数据-取费表'!k"&amp;$G$1)</f>
        <v>43006.62</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8" thickBot="1">
      <c r="A46" s="1402" t="s">
        <v>809</v>
      </c>
      <c r="C46" s="1403">
        <f ca="1">C68-C40</f>
        <v>-132615</v>
      </c>
      <c r="D46" s="1404" t="str">
        <f>C2</f>
        <v>万元</v>
      </c>
      <c r="E46" s="1398"/>
      <c r="F46" s="1398"/>
      <c r="I46" s="1405" t="s">
        <v>810</v>
      </c>
      <c r="J46" s="1406"/>
      <c r="K46" s="1407"/>
      <c r="L46" s="1408">
        <f ca="1">IF(M47="住宅",0,IF(L48&gt;J51,L60,J60))</f>
        <v>3960</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3406</v>
      </c>
      <c r="K47" s="1414" t="s">
        <v>816</v>
      </c>
      <c r="L47" s="1415">
        <f ca="1">INDIRECT("'数据-取费表'!d"&amp;$G$1)</f>
        <v>40</v>
      </c>
      <c r="M47" s="1378" t="str">
        <f>IF(ISNUMBER(FIND("住宅",C1)),"住宅","非住宅")</f>
        <v>非住宅</v>
      </c>
      <c r="O47" s="1416" t="s">
        <v>403</v>
      </c>
      <c r="P47" s="1417" t="s">
        <v>817</v>
      </c>
      <c r="Q47" s="1418">
        <f ca="1">C40+J29</f>
        <v>119220</v>
      </c>
      <c r="R47" s="1418" t="s">
        <v>818</v>
      </c>
    </row>
    <row r="48" spans="1:18" s="1382" customFormat="1" ht="40.200000000000003" thickBot="1">
      <c r="A48" s="1109" t="s">
        <v>438</v>
      </c>
      <c r="B48" s="300" t="s">
        <v>692</v>
      </c>
      <c r="C48" s="1357">
        <f ca="1">C49+C53+C55</f>
        <v>0</v>
      </c>
      <c r="D48" s="1111"/>
      <c r="E48" s="1112"/>
      <c r="F48" s="961"/>
      <c r="G48" s="721"/>
      <c r="H48" s="722"/>
      <c r="I48" s="1419" t="s">
        <v>819</v>
      </c>
      <c r="J48" s="1420" t="s">
        <v>3407</v>
      </c>
      <c r="K48" s="1421" t="s">
        <v>820</v>
      </c>
      <c r="L48" s="1422">
        <f ca="1">INDIRECT("'数据-取费表'!f"&amp;$G$1)</f>
        <v>26.37</v>
      </c>
      <c r="O48" s="1416" t="s">
        <v>404</v>
      </c>
      <c r="P48" s="1417" t="s">
        <v>821</v>
      </c>
      <c r="Q48" s="1418">
        <f ca="1">J60</f>
        <v>3960</v>
      </c>
      <c r="R48" s="1418" t="s">
        <v>822</v>
      </c>
    </row>
    <row r="49" spans="1:18" s="1382" customFormat="1" ht="13.8" thickBot="1">
      <c r="A49" s="974" t="s">
        <v>439</v>
      </c>
      <c r="B49" s="1369" t="s">
        <v>779</v>
      </c>
      <c r="C49" s="1113">
        <f ca="1">ROUND(F49*F51*F50*(1-F52)/10000,0)</f>
        <v>0</v>
      </c>
      <c r="D49" s="1054" t="s">
        <v>2107</v>
      </c>
      <c r="E49" s="1370" t="s">
        <v>780</v>
      </c>
      <c r="F49" s="1059"/>
      <c r="G49" s="1423"/>
      <c r="H49" s="722"/>
      <c r="I49" s="1419" t="s">
        <v>823</v>
      </c>
      <c r="J49" s="1424">
        <f>'数据-取费表'!N17</f>
        <v>2015</v>
      </c>
      <c r="K49" s="1421" t="s">
        <v>824</v>
      </c>
      <c r="L49" s="1425"/>
      <c r="O49" s="1426" t="s">
        <v>405</v>
      </c>
      <c r="P49" s="1417" t="s">
        <v>825</v>
      </c>
      <c r="Q49" s="1418">
        <f ca="1">C29</f>
        <v>62451</v>
      </c>
      <c r="R49" s="1418" t="s">
        <v>818</v>
      </c>
    </row>
    <row r="50" spans="1:18" s="1382" customFormat="1" ht="13.8" thickBot="1">
      <c r="A50" s="975"/>
      <c r="B50" s="978"/>
      <c r="C50" s="1117"/>
      <c r="D50" s="952"/>
      <c r="E50" s="1055" t="s">
        <v>697</v>
      </c>
      <c r="F50" s="1056">
        <f ca="1">F7</f>
        <v>1</v>
      </c>
      <c r="H50" s="722"/>
      <c r="I50" s="1419" t="s">
        <v>826</v>
      </c>
      <c r="J50" s="1427">
        <f>SUMPRODUCT((I63:I65=J47)*(J62:L62=J48)*(J63:L65))</f>
        <v>60</v>
      </c>
      <c r="K50" s="1421" t="s">
        <v>827</v>
      </c>
      <c r="L50" s="1425"/>
      <c r="M50" s="1428"/>
      <c r="O50" s="1426" t="s">
        <v>406</v>
      </c>
      <c r="P50" s="1417" t="s">
        <v>828</v>
      </c>
      <c r="Q50" s="1429">
        <f ca="1">J58</f>
        <v>0.42699999999999999</v>
      </c>
      <c r="R50" s="1418"/>
    </row>
    <row r="51" spans="1:18" s="1382" customFormat="1" ht="13.8" thickBot="1">
      <c r="A51" s="976"/>
      <c r="B51" s="978"/>
      <c r="C51" s="979"/>
      <c r="D51" s="952"/>
      <c r="E51" s="980" t="s">
        <v>698</v>
      </c>
      <c r="F51" s="303">
        <f ca="1">F8</f>
        <v>1</v>
      </c>
      <c r="I51" s="1430" t="s">
        <v>829</v>
      </c>
      <c r="J51" s="1431">
        <f>IF(J49="",J50,J49+J50-YEAR('数据-取费表'!B2))</f>
        <v>52</v>
      </c>
      <c r="K51" s="1432" t="s">
        <v>830</v>
      </c>
      <c r="L51" s="1433">
        <f ca="1">ROUND(-PV(INDIRECT("'数据-取费表'!h"&amp;$G$1),J51,(C39-C13*C76),0),0)</f>
        <v>50795</v>
      </c>
      <c r="M51" s="1434"/>
      <c r="O51" s="1426" t="s">
        <v>407</v>
      </c>
      <c r="P51" s="1417" t="s">
        <v>831</v>
      </c>
      <c r="Q51" s="1429">
        <f>J52</f>
        <v>7.5000000000000011E-2</v>
      </c>
      <c r="R51" s="1418"/>
    </row>
    <row r="52" spans="1:18" s="1382" customFormat="1" ht="13.8"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26.37</v>
      </c>
      <c r="R52" s="1418" t="s">
        <v>835</v>
      </c>
    </row>
    <row r="53" spans="1:18" s="1382" customFormat="1" ht="36.6" thickBot="1">
      <c r="A53" s="1151" t="s">
        <v>440</v>
      </c>
      <c r="B53" s="1371" t="s">
        <v>700</v>
      </c>
      <c r="C53" s="316">
        <f ca="1">ROUND(IF(F53="押一",C49/12*F11,IF(F53="押二",C49/12*2*F11,IF(F53="押三",C49/12*3*F11,C54*F11))),0)</f>
        <v>0</v>
      </c>
      <c r="D53" s="1364" t="s">
        <v>2113</v>
      </c>
      <c r="E53" s="313" t="s">
        <v>701</v>
      </c>
      <c r="F53" s="1115"/>
      <c r="I53" s="1437" t="s">
        <v>836</v>
      </c>
      <c r="J53" s="2164">
        <f ca="1">IF(M47="住宅",IF(D1="——",MAX(J51,L48),MAX(J51,L48-'数据-取费表'!B24)),IF(D1="——",MIN(J51,L48),MIN(J51,L48-'数据-取费表'!B24)))</f>
        <v>26.37</v>
      </c>
      <c r="K53" s="3718" t="s">
        <v>837</v>
      </c>
      <c r="L53" s="3719"/>
      <c r="O53" s="1416" t="s">
        <v>409</v>
      </c>
      <c r="P53" s="1417" t="s">
        <v>838</v>
      </c>
      <c r="Q53" s="1418">
        <f ca="1">Q47+Q48</f>
        <v>123180</v>
      </c>
      <c r="R53" s="1418" t="s">
        <v>410</v>
      </c>
    </row>
    <row r="54" spans="1:18" s="1382" customFormat="1" ht="24.6"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0.42699999999999999</v>
      </c>
      <c r="K55" s="1443" t="s">
        <v>841</v>
      </c>
      <c r="L55" s="1444"/>
      <c r="O55" s="1409" t="s">
        <v>811</v>
      </c>
      <c r="P55" s="1410" t="s">
        <v>812</v>
      </c>
      <c r="Q55" s="1411" t="s">
        <v>813</v>
      </c>
      <c r="R55" s="1411" t="s">
        <v>814</v>
      </c>
    </row>
    <row r="56" spans="1:18" s="1382" customFormat="1" ht="37.200000000000003" thickTop="1" thickBot="1">
      <c r="A56" s="956">
        <v>2</v>
      </c>
      <c r="B56" s="957" t="s">
        <v>704</v>
      </c>
      <c r="C56" s="232">
        <f ca="1">C13</f>
        <v>56830</v>
      </c>
      <c r="D56" s="1445"/>
      <c r="E56" s="1446"/>
      <c r="F56" s="1438"/>
      <c r="I56" s="1447" t="s">
        <v>842</v>
      </c>
      <c r="J56" s="1448" t="s">
        <v>3373</v>
      </c>
      <c r="K56" s="1419" t="s">
        <v>843</v>
      </c>
      <c r="L56" s="1422" t="str">
        <f ca="1">IF(L48&lt;J51,"——",L48-J53)</f>
        <v>——</v>
      </c>
      <c r="O56" s="1416" t="s">
        <v>403</v>
      </c>
      <c r="P56" s="1417" t="s">
        <v>817</v>
      </c>
      <c r="Q56" s="1418">
        <f ca="1">C40+J29</f>
        <v>119220</v>
      </c>
      <c r="R56" s="1418" t="s">
        <v>818</v>
      </c>
    </row>
    <row r="57" spans="1:18" s="1382" customFormat="1" ht="24.6" thickBot="1">
      <c r="A57" s="1449"/>
      <c r="B57" s="949" t="s">
        <v>767</v>
      </c>
      <c r="C57" s="238">
        <f ca="1">C29</f>
        <v>62451</v>
      </c>
      <c r="D57" s="1450"/>
      <c r="E57" s="1451"/>
      <c r="F57" s="1452"/>
      <c r="I57" s="1453" t="s">
        <v>844</v>
      </c>
      <c r="J57" s="1454">
        <f ca="1">IF(OR(M47="住宅",J51&lt;L48,J56="是"),"——",J51-L48)</f>
        <v>25.63</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7" t="s">
        <v>714</v>
      </c>
      <c r="C58" s="316">
        <f ca="1">ROUND(C59+C64+C65+C66,0)</f>
        <v>1024</v>
      </c>
      <c r="D58" s="959" t="s">
        <v>715</v>
      </c>
      <c r="E58" s="960"/>
      <c r="F58" s="961"/>
      <c r="I58" s="1453" t="s">
        <v>848</v>
      </c>
      <c r="J58" s="1455">
        <f ca="1">IF(J55&lt;0.4,0.4,J55)</f>
        <v>0.42699999999999999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2">
        <f ca="1">ROUND(IF(AND(项目基本情况!B11="自然人",项目基本情况!B10="北京市"),C49*F59/(1+'数据-取费表'!C42),C60+C61+C62),0)</f>
        <v>2</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26667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3960</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IF(项目基本情况!B11="自然人","——",IF(D61="按租金收入计税",ROUND(C49*F61/(1+'数据-取费表'!C42),2),IF(D61="按房产原值计税",ROUND(C57*F61*0.7,2),INDIRECT("'数据-取费表'!Aj"&amp;$G$1))))</f>
        <v>0</v>
      </c>
      <c r="D61" s="1368" t="s">
        <v>3326</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IF(项目基本情况!B11="自然人","——",ROUND(F62*F63/10000,2))</f>
        <v>1.57</v>
      </c>
      <c r="D62" s="964" t="s">
        <v>786</v>
      </c>
      <c r="E62" s="949" t="s">
        <v>787</v>
      </c>
      <c r="F62" s="325">
        <f t="shared" si="0"/>
        <v>1.5</v>
      </c>
      <c r="I62" s="1460" t="s">
        <v>858</v>
      </c>
      <c r="J62" s="1461" t="s">
        <v>859</v>
      </c>
      <c r="K62" s="1461" t="s">
        <v>860</v>
      </c>
      <c r="L62" s="1461" t="s">
        <v>861</v>
      </c>
      <c r="M62" s="1462" t="s">
        <v>862</v>
      </c>
      <c r="O62" s="1416" t="s">
        <v>409</v>
      </c>
      <c r="P62" s="1417" t="s">
        <v>863</v>
      </c>
      <c r="Q62" s="1418">
        <f ca="1">Q56+Q57</f>
        <v>119220</v>
      </c>
      <c r="R62" s="1418" t="s">
        <v>410</v>
      </c>
    </row>
    <row r="63" spans="1:18" s="1382" customFormat="1" ht="13.8" thickBot="1">
      <c r="A63" s="326"/>
      <c r="B63" s="955"/>
      <c r="C63" s="26"/>
      <c r="D63" s="965"/>
      <c r="E63" s="949" t="s">
        <v>788</v>
      </c>
      <c r="F63" s="303">
        <f t="shared" ca="1" si="0"/>
        <v>10479.049999999999</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ROUND(C57*F64,2)</f>
        <v>936.77</v>
      </c>
      <c r="D64" s="963" t="s">
        <v>791</v>
      </c>
      <c r="E64" s="949"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ROUND(C56*F65,2)</f>
        <v>85.25</v>
      </c>
      <c r="D65" s="963" t="s">
        <v>743</v>
      </c>
      <c r="E65" s="949" t="s">
        <v>744</v>
      </c>
      <c r="F65" s="330">
        <f t="shared" ca="1" si="0"/>
        <v>1.5E-3</v>
      </c>
      <c r="I65" s="1460" t="s">
        <v>867</v>
      </c>
      <c r="J65" s="1461">
        <v>40</v>
      </c>
      <c r="K65" s="1461">
        <v>30</v>
      </c>
      <c r="L65" s="1461">
        <v>50</v>
      </c>
      <c r="M65" s="1463">
        <v>0.02</v>
      </c>
      <c r="O65" s="1416" t="s">
        <v>403</v>
      </c>
      <c r="P65" s="1417" t="s">
        <v>868</v>
      </c>
      <c r="Q65" s="1418">
        <f ca="1">C40+J29</f>
        <v>119220</v>
      </c>
      <c r="R65" s="1418" t="s">
        <v>818</v>
      </c>
    </row>
    <row r="66" spans="1:18" s="1382" customFormat="1" ht="16.2"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24.6" thickBot="1">
      <c r="A67" s="956" t="s">
        <v>394</v>
      </c>
      <c r="B67" s="966" t="s">
        <v>752</v>
      </c>
      <c r="C67" s="316">
        <f ca="1">C48-C58</f>
        <v>-1024</v>
      </c>
      <c r="D67" s="962" t="s">
        <v>753</v>
      </c>
      <c r="E67" s="967"/>
      <c r="F67" s="968"/>
      <c r="O67" s="1426" t="s">
        <v>405</v>
      </c>
      <c r="P67" s="1417" t="s">
        <v>850</v>
      </c>
      <c r="Q67" s="1464">
        <f ca="1">L51</f>
        <v>50795</v>
      </c>
      <c r="R67" s="1418" t="s">
        <v>870</v>
      </c>
    </row>
    <row r="68" spans="1:18" s="1382" customFormat="1" ht="16.2" thickBot="1">
      <c r="A68" s="946" t="s">
        <v>395</v>
      </c>
      <c r="B68" s="947" t="s">
        <v>774</v>
      </c>
      <c r="C68" s="301">
        <f ca="1">ROUND(C67*(1-((1+F70)/(1+F68))^F69)/(F68-F70),0)</f>
        <v>-13395</v>
      </c>
      <c r="D68" s="964" t="s">
        <v>758</v>
      </c>
      <c r="E68" s="949" t="s">
        <v>759</v>
      </c>
      <c r="F68" s="312">
        <f ca="1">F40</f>
        <v>0.06</v>
      </c>
      <c r="O68" s="1426" t="s">
        <v>406</v>
      </c>
      <c r="P68" s="1465" t="s">
        <v>871</v>
      </c>
      <c r="Q68" s="1418">
        <f ca="1">ROUND(Q69-Q70*Q71,0)</f>
        <v>2758</v>
      </c>
      <c r="R68" s="1418" t="s">
        <v>414</v>
      </c>
    </row>
    <row r="69" spans="1:18" s="1382" customFormat="1" ht="13.8" thickBot="1">
      <c r="A69" s="950"/>
      <c r="B69" s="951"/>
      <c r="C69" s="306"/>
      <c r="D69" s="969" t="s">
        <v>762</v>
      </c>
      <c r="E69" s="949" t="s">
        <v>763</v>
      </c>
      <c r="F69" s="333">
        <f ca="1">F41</f>
        <v>26.37</v>
      </c>
      <c r="O69" s="1426" t="s">
        <v>411</v>
      </c>
      <c r="P69" s="1465" t="s">
        <v>872</v>
      </c>
      <c r="Q69" s="1418">
        <f ca="1">C39</f>
        <v>6736</v>
      </c>
      <c r="R69" s="1418" t="s">
        <v>818</v>
      </c>
    </row>
    <row r="70" spans="1:18" s="1382" customFormat="1" ht="13.8" thickBot="1">
      <c r="A70" s="953"/>
      <c r="B70" s="954"/>
      <c r="C70" s="310"/>
      <c r="D70" s="965"/>
      <c r="E70" s="949" t="s">
        <v>766</v>
      </c>
      <c r="F70" s="1053"/>
      <c r="O70" s="1426" t="s">
        <v>412</v>
      </c>
      <c r="P70" s="1465" t="s">
        <v>873</v>
      </c>
      <c r="Q70" s="1418">
        <f ca="1">C13</f>
        <v>56830</v>
      </c>
      <c r="R70" s="1418" t="s">
        <v>818</v>
      </c>
    </row>
    <row r="71" spans="1:18" s="1382" customFormat="1" ht="13.8" thickBot="1">
      <c r="A71" s="970" t="s">
        <v>396</v>
      </c>
      <c r="B71" s="971" t="s">
        <v>776</v>
      </c>
      <c r="C71" s="336">
        <f ca="1">ROUND(C68*10000/F71,0)</f>
        <v>-3115</v>
      </c>
      <c r="D71" s="972" t="s">
        <v>777</v>
      </c>
      <c r="E71" s="973" t="s">
        <v>778</v>
      </c>
      <c r="F71" s="339">
        <f ca="1">F43</f>
        <v>43006.62</v>
      </c>
      <c r="O71" s="1426" t="s">
        <v>413</v>
      </c>
      <c r="P71" s="1465" t="s">
        <v>874</v>
      </c>
      <c r="Q71" s="1429">
        <f ca="1">C76</f>
        <v>7.0000000000000007E-2</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3978</v>
      </c>
      <c r="D75" s="1382"/>
      <c r="E75" s="1382"/>
      <c r="F75" s="1382"/>
      <c r="K75" s="1400"/>
      <c r="L75" s="1382"/>
      <c r="O75" s="1416" t="s">
        <v>409</v>
      </c>
      <c r="P75" s="1417" t="s">
        <v>838</v>
      </c>
      <c r="Q75" s="1418">
        <f ca="1">Q65+Q66</f>
        <v>119220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0.40900000000000003</v>
      </c>
    </row>
    <row r="80" spans="1:18">
      <c r="B80" s="340" t="s">
        <v>800</v>
      </c>
      <c r="C80" s="274">
        <f ca="1">ROUND(C75/C39,3)</f>
        <v>0.59099999999999997</v>
      </c>
    </row>
    <row r="81" spans="2:3">
      <c r="B81" s="270" t="s">
        <v>801</v>
      </c>
      <c r="C81" s="238"/>
    </row>
    <row r="82" spans="2:3">
      <c r="B82" s="273" t="s">
        <v>802</v>
      </c>
      <c r="C82" s="275">
        <f ca="1">1-C83</f>
        <v>0.52300000000000002</v>
      </c>
    </row>
    <row r="83" spans="2:3">
      <c r="B83" s="273" t="s">
        <v>803</v>
      </c>
      <c r="C83" s="274">
        <f ca="1">ROUND(C13/C40,3)</f>
        <v>0.47699999999999998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J29" sqref="J29"/>
    </sheetView>
  </sheetViews>
  <sheetFormatPr defaultRowHeight="14.4"/>
  <sheetData>
    <row r="1" spans="1:2">
      <c r="A1" s="3453" t="s">
        <v>3496</v>
      </c>
      <c r="B1" s="3453" t="s">
        <v>3498</v>
      </c>
    </row>
    <row r="2" spans="1:2">
      <c r="A2" s="3453" t="s">
        <v>3497</v>
      </c>
      <c r="B2" s="3453" t="s">
        <v>3499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6">
      <c r="A3" s="3493"/>
      <c r="B3" s="3493"/>
      <c r="C3" s="3493"/>
      <c r="D3" s="853" t="s">
        <v>925</v>
      </c>
      <c r="E3" s="853" t="s">
        <v>931</v>
      </c>
      <c r="F3" s="853" t="s">
        <v>925</v>
      </c>
      <c r="G3" s="853" t="s">
        <v>926</v>
      </c>
      <c r="H3" s="853" t="s">
        <v>925</v>
      </c>
      <c r="I3" s="853" t="s">
        <v>926</v>
      </c>
    </row>
    <row r="4" spans="1:9" ht="45">
      <c r="A4" s="1503" t="str">
        <f>项目基本情况!S2</f>
        <v>北京市通州区新华东街289号院2号楼-3至29层101等7套房地产</v>
      </c>
      <c r="B4" s="853">
        <f>项目基本情况!C17</f>
        <v>48491.65</v>
      </c>
      <c r="C4" s="853">
        <f>项目基本情况!C18</f>
        <v>10479.049999999999</v>
      </c>
      <c r="D4" s="853">
        <f ca="1">结果表!D118</f>
        <v>44548</v>
      </c>
      <c r="E4" s="853">
        <f ca="1">结果表!E118</f>
        <v>9187</v>
      </c>
      <c r="F4" s="853">
        <f ca="1">结果表!F118</f>
        <v>64372</v>
      </c>
      <c r="G4" s="853">
        <f ca="1">结果表!G118</f>
        <v>13275</v>
      </c>
      <c r="H4" s="853">
        <f ca="1">结果表!H118</f>
        <v>108920</v>
      </c>
      <c r="I4" s="853">
        <f ca="1">结果表!I118</f>
        <v>22462</v>
      </c>
    </row>
    <row r="5" spans="1:9" ht="30" customHeight="1">
      <c r="A5" s="3493" t="s">
        <v>927</v>
      </c>
      <c r="B5" s="3493"/>
      <c r="C5" s="3493"/>
      <c r="D5" s="3493" t="str">
        <f ca="1">结果表!D119</f>
        <v>肆亿肆仟伍佰肆拾捌万元整</v>
      </c>
      <c r="E5" s="3493"/>
      <c r="F5" s="3493" t="str">
        <f ca="1">结果表!F119</f>
        <v>陆亿肆仟叁佰柒拾贰万元整</v>
      </c>
      <c r="G5" s="3493"/>
      <c r="H5" s="3493" t="str">
        <f ca="1">结果表!H119</f>
        <v>壹拾亿捌仟玖佰贰拾万元整</v>
      </c>
      <c r="I5" s="3493"/>
    </row>
    <row r="6" spans="1:9" ht="15.6">
      <c r="A6" s="3494" t="str">
        <f>结果表!A120</f>
        <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6">
      <c r="A8" s="3494" t="str">
        <f>结果表!A122</f>
        <v/>
      </c>
      <c r="B8" s="3494"/>
      <c r="C8" s="3494"/>
      <c r="D8" s="3494">
        <f ca="1">结果表!D122</f>
        <v>108920</v>
      </c>
      <c r="E8" s="3494"/>
      <c r="F8" s="3494"/>
      <c r="G8" s="3494"/>
      <c r="H8" s="3494"/>
      <c r="I8" s="3494"/>
    </row>
    <row r="9" spans="1:9" ht="15">
      <c r="A9" s="3493" t="s">
        <v>927</v>
      </c>
      <c r="B9" s="3493"/>
      <c r="C9" s="3493"/>
      <c r="D9" s="3493" t="str">
        <f ca="1">结果表!D123</f>
        <v>壹拾亿捌仟玖佰贰拾万元整</v>
      </c>
      <c r="E9" s="3493"/>
      <c r="F9" s="3493"/>
      <c r="G9" s="3493"/>
      <c r="H9" s="3493"/>
      <c r="I9" s="3493"/>
    </row>
    <row r="10" spans="1:9" ht="15.6">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6">
      <c r="A12" s="3494" t="str">
        <f>结果表!A126</f>
        <v/>
      </c>
      <c r="B12" s="3494"/>
      <c r="C12" s="3494"/>
      <c r="D12" s="3494" t="str">
        <f>结果表!D126</f>
        <v>——</v>
      </c>
      <c r="E12" s="3494"/>
      <c r="F12" s="3494"/>
      <c r="G12" s="3494"/>
      <c r="H12" s="3494"/>
      <c r="I12" s="3494"/>
    </row>
    <row r="13" spans="1:9" ht="15.6" thickBot="1">
      <c r="A13" s="3498" t="s">
        <v>927</v>
      </c>
      <c r="B13" s="3498"/>
      <c r="C13" s="3498"/>
      <c r="D13" s="3498" t="e">
        <f>结果表!D127</f>
        <v>#VALUE!</v>
      </c>
      <c r="E13" s="3498"/>
      <c r="F13" s="3498"/>
      <c r="G13" s="3498"/>
      <c r="H13" s="3498"/>
      <c r="I13" s="3498"/>
    </row>
    <row r="14" spans="1:9" ht="14.4" thickTop="1">
      <c r="A14" s="3499" t="s">
        <v>932</v>
      </c>
      <c r="B14" s="3499"/>
      <c r="C14" s="3499"/>
      <c r="D14" s="3499"/>
      <c r="E14" s="3499"/>
      <c r="F14" s="3499"/>
      <c r="G14" s="3499"/>
      <c r="H14" s="3499"/>
      <c r="I14" s="3499"/>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8:X67"/>
  <sheetViews>
    <sheetView topLeftCell="A124" workbookViewId="0">
      <selection activeCell="P56" sqref="P56"/>
    </sheetView>
  </sheetViews>
  <sheetFormatPr defaultRowHeight="14.4"/>
  <cols>
    <col min="7" max="7" width="9.44140625" bestFit="1" customWidth="1"/>
    <col min="9" max="9" width="9.44140625" bestFit="1" customWidth="1"/>
    <col min="15" max="16" width="9.44140625" bestFit="1" customWidth="1"/>
    <col min="19" max="20" width="9.44140625" bestFit="1" customWidth="1"/>
  </cols>
  <sheetData>
    <row r="28" spans="24:24">
      <c r="X28">
        <f>1357/7634</f>
        <v>0.17775740110034058</v>
      </c>
    </row>
    <row r="53" spans="7:20">
      <c r="O53">
        <v>51125442.450000003</v>
      </c>
      <c r="P53">
        <v>31905330.43</v>
      </c>
      <c r="S53">
        <v>76342140.569999993</v>
      </c>
      <c r="T53">
        <v>42421245.039999999</v>
      </c>
    </row>
    <row r="54" spans="7:20">
      <c r="O54">
        <f>O53-P53</f>
        <v>19220112.020000003</v>
      </c>
      <c r="S54">
        <f>S53-T53</f>
        <v>33920895.529999994</v>
      </c>
    </row>
    <row r="55" spans="7:20">
      <c r="O55">
        <f>O54/O53</f>
        <v>0.37594025790186586</v>
      </c>
      <c r="S55">
        <f>S54/S53</f>
        <v>0.44432727818126982</v>
      </c>
    </row>
    <row r="64" spans="7:20">
      <c r="G64">
        <v>61641014.280000001</v>
      </c>
      <c r="I64">
        <v>73391233.459999993</v>
      </c>
    </row>
    <row r="65" spans="7:9">
      <c r="G65">
        <v>40950085.170000002</v>
      </c>
      <c r="I65">
        <v>40908648.969999999</v>
      </c>
    </row>
    <row r="66" spans="7:9">
      <c r="G66">
        <f>G64-G65</f>
        <v>20690929.109999999</v>
      </c>
      <c r="I66">
        <f>I64-I65</f>
        <v>32482584.489999995</v>
      </c>
    </row>
    <row r="67" spans="7:9">
      <c r="G67">
        <f>G66/O53</f>
        <v>0.40470904736395097</v>
      </c>
      <c r="I67">
        <f>I66/S53</f>
        <v>0.42548694924549452</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00" t="s">
        <v>949</v>
      </c>
      <c r="B1" s="3500"/>
      <c r="C1" s="3500"/>
      <c r="D1" s="3500"/>
    </row>
    <row r="2" spans="1:4" ht="17.399999999999999">
      <c r="A2" s="3501" t="s">
        <v>933</v>
      </c>
      <c r="B2" s="3501"/>
      <c r="C2" s="3501"/>
      <c r="D2" s="3501"/>
    </row>
    <row r="3" spans="1:4" ht="17.399999999999999">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7.399999999999999">
      <c r="A6" s="3501" t="s">
        <v>939</v>
      </c>
      <c r="B6" s="3501"/>
      <c r="C6" s="3501"/>
      <c r="D6" s="3501"/>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02"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14" t="s">
        <v>956</v>
      </c>
      <c r="B15" s="3509" t="s">
        <v>109</v>
      </c>
      <c r="C15" s="3510"/>
    </row>
    <row r="16" spans="1:7" ht="14.4">
      <c r="A16" s="3515"/>
      <c r="B16" s="3509" t="s">
        <v>42</v>
      </c>
      <c r="C16" s="3510"/>
    </row>
    <row r="17" spans="1:3" ht="14.4">
      <c r="A17" s="3515"/>
      <c r="B17" s="3512" t="s">
        <v>957</v>
      </c>
      <c r="C17" s="1530" t="s">
        <v>956</v>
      </c>
    </row>
    <row r="18" spans="1:3" ht="14.4">
      <c r="A18" s="3515"/>
      <c r="B18" s="3512"/>
      <c r="C18" s="1530" t="s">
        <v>958</v>
      </c>
    </row>
    <row r="19" spans="1:3" ht="14.4">
      <c r="A19" s="3515"/>
      <c r="B19" s="3512"/>
      <c r="C19" s="1530" t="s">
        <v>959</v>
      </c>
    </row>
    <row r="20" spans="1:3" ht="14.4">
      <c r="A20" s="3516"/>
      <c r="B20" s="3511" t="s">
        <v>960</v>
      </c>
      <c r="C20" s="3510"/>
    </row>
    <row r="21" spans="1:3" ht="14.4">
      <c r="A21" s="1531" t="s">
        <v>961</v>
      </c>
      <c r="B21" s="1532"/>
      <c r="C21" s="1533"/>
    </row>
    <row r="22" spans="1:3" ht="14.4">
      <c r="A22" s="3513" t="s">
        <v>962</v>
      </c>
      <c r="B22" s="3511" t="s">
        <v>963</v>
      </c>
      <c r="C22" s="3510"/>
    </row>
    <row r="23" spans="1:3" ht="14.4">
      <c r="A23" s="3513"/>
      <c r="B23" s="3511" t="s">
        <v>964</v>
      </c>
      <c r="C23" s="3510"/>
    </row>
    <row r="24" spans="1:3" ht="14.4">
      <c r="A24" s="3513"/>
      <c r="B24" s="3511" t="s">
        <v>965</v>
      </c>
      <c r="C24" s="3510"/>
    </row>
    <row r="25" spans="1:3" ht="14.4">
      <c r="A25" s="3513"/>
      <c r="B25" s="3512" t="s">
        <v>966</v>
      </c>
      <c r="C25" s="1530" t="s">
        <v>967</v>
      </c>
    </row>
    <row r="26" spans="1:3" ht="14.4">
      <c r="A26" s="3513"/>
      <c r="B26" s="3512"/>
      <c r="C26" s="1530" t="s">
        <v>968</v>
      </c>
    </row>
    <row r="27" spans="1:3" ht="14.4">
      <c r="A27" s="3513"/>
      <c r="B27" s="3512"/>
      <c r="C27" s="1530" t="s">
        <v>969</v>
      </c>
    </row>
    <row r="28" spans="1:3" ht="14.4">
      <c r="A28" s="3513"/>
      <c r="B28" s="3512"/>
      <c r="C28" s="1530" t="s">
        <v>970</v>
      </c>
    </row>
    <row r="29" spans="1:3" ht="14.4">
      <c r="A29" s="3513"/>
      <c r="B29" s="3512"/>
      <c r="C29" s="1530" t="s">
        <v>971</v>
      </c>
    </row>
    <row r="30" spans="1:3" ht="14.4">
      <c r="A30" s="3513"/>
      <c r="B30" s="3512"/>
      <c r="C30" s="1530" t="s">
        <v>972</v>
      </c>
    </row>
    <row r="31" spans="1:3" ht="14.4">
      <c r="A31" s="3513"/>
      <c r="B31" s="3512"/>
      <c r="C31" s="1530" t="s">
        <v>973</v>
      </c>
    </row>
    <row r="32" spans="1:3" ht="14.4">
      <c r="A32" s="3513"/>
      <c r="B32" s="3512"/>
      <c r="C32" s="1530" t="s">
        <v>974</v>
      </c>
    </row>
    <row r="33" spans="1:3" ht="14.4">
      <c r="A33" s="3513"/>
      <c r="B33" s="3512"/>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2136</v>
      </c>
      <c r="B2" s="2335">
        <f ca="1">TODAY()</f>
        <v>45146</v>
      </c>
      <c r="C2" s="2336" t="s">
        <v>2137</v>
      </c>
      <c r="D2" s="2336"/>
      <c r="E2" s="2336"/>
      <c r="F2" s="2332"/>
      <c r="G2" s="2332"/>
      <c r="H2" s="2332"/>
    </row>
    <row r="3" spans="1:8" ht="24" customHeight="1">
      <c r="A3" s="2337" t="s">
        <v>2138</v>
      </c>
      <c r="B3" s="2338" t="s">
        <v>2139</v>
      </c>
      <c r="C3" s="2338" t="s">
        <v>2140</v>
      </c>
      <c r="D3" s="2339" t="s">
        <v>2141</v>
      </c>
      <c r="E3" s="2340" t="s">
        <v>2142</v>
      </c>
      <c r="F3" s="1302" t="s">
        <v>2143</v>
      </c>
      <c r="G3" s="2338" t="s">
        <v>2140</v>
      </c>
      <c r="H3" s="2339" t="s">
        <v>2144</v>
      </c>
    </row>
    <row r="4" spans="1:8" ht="24" customHeight="1">
      <c r="A4" s="1302" t="s">
        <v>2145</v>
      </c>
      <c r="B4" s="1302">
        <f ca="1">IF(C4&lt;B2,"已过期",1119970066)</f>
        <v>1119970066</v>
      </c>
      <c r="C4" s="2341">
        <v>45937</v>
      </c>
      <c r="D4" s="2342" t="str">
        <f ca="1">A4&amp;"（注册号："&amp;B4&amp;"）"</f>
        <v>梁津（注册号：1119970066）</v>
      </c>
      <c r="E4" s="2343" t="s">
        <v>2145</v>
      </c>
      <c r="F4" s="1302">
        <f ca="1">IF(G4&lt;B2,"已过期",96010014)</f>
        <v>96010014</v>
      </c>
      <c r="G4" s="2344">
        <v>47118</v>
      </c>
      <c r="H4" s="2345" t="str">
        <f ca="1">E4&amp;"（注册号："&amp;F4&amp;"）"</f>
        <v>梁津（注册号：96010014）</v>
      </c>
    </row>
    <row r="5" spans="1:8" ht="24" customHeight="1">
      <c r="A5" s="1302" t="s">
        <v>2146</v>
      </c>
      <c r="B5" s="1302">
        <f ca="1">IF(C5&lt;B2,"已过期",1119970111)</f>
        <v>1119970111</v>
      </c>
      <c r="C5" s="2341">
        <v>45937</v>
      </c>
      <c r="D5" s="2342" t="str">
        <f t="shared" ref="D5:D15" ca="1" si="0">A5&amp;"（注册号："&amp;B5&amp;"）"</f>
        <v>叶凌（注册号：1119970111）</v>
      </c>
      <c r="E5" s="2343" t="s">
        <v>2146</v>
      </c>
      <c r="F5" s="1302">
        <f ca="1">IF(G5&lt;B2,"已过期",94010078)</f>
        <v>94010078</v>
      </c>
      <c r="G5" s="2344">
        <v>46387</v>
      </c>
      <c r="H5" s="2345" t="str">
        <f t="shared" ref="H5:H16" ca="1" si="1">E5&amp;"（注册号："&amp;F5&amp;"）"</f>
        <v>叶凌（注册号：94010078）</v>
      </c>
    </row>
    <row r="6" spans="1:8" ht="24" customHeight="1">
      <c r="A6" s="1302" t="s">
        <v>2147</v>
      </c>
      <c r="B6" s="1302">
        <f ca="1">IF(C6&lt;B2,"已过期",1120050019)</f>
        <v>1120050019</v>
      </c>
      <c r="C6" s="2341">
        <v>45410</v>
      </c>
      <c r="D6" s="2342" t="str">
        <f t="shared" ca="1" si="0"/>
        <v>王鹏（注册号：1120050019）</v>
      </c>
      <c r="E6" s="2343" t="s">
        <v>2147</v>
      </c>
      <c r="F6" s="1302">
        <f ca="1">IF(G6&lt;B2,"已过期",2002110030)</f>
        <v>2002110030</v>
      </c>
      <c r="G6" s="2344">
        <v>46387</v>
      </c>
      <c r="H6" s="2345" t="str">
        <f t="shared" ca="1" si="1"/>
        <v>王鹏（注册号：2002110030）</v>
      </c>
    </row>
    <row r="7" spans="1:8" ht="24" customHeight="1">
      <c r="A7" s="1302" t="s">
        <v>2148</v>
      </c>
      <c r="B7" s="1302">
        <f ca="1">IF(C7&lt;B2,"已过期",1120000080)</f>
        <v>1120000080</v>
      </c>
      <c r="C7" s="2341">
        <v>45937</v>
      </c>
      <c r="D7" s="2342" t="str">
        <f t="shared" ca="1" si="0"/>
        <v>欧红伟（注册号：1120000080）</v>
      </c>
      <c r="E7" s="2343" t="s">
        <v>2148</v>
      </c>
      <c r="F7" s="1302">
        <f ca="1">IF(G7&lt;B2,"已过期",2000110082)</f>
        <v>2000110082</v>
      </c>
      <c r="G7" s="2344">
        <v>46387</v>
      </c>
      <c r="H7" s="2345" t="str">
        <f t="shared" ca="1" si="1"/>
        <v>欧红伟（注册号：2000110082）</v>
      </c>
    </row>
    <row r="8" spans="1:8" ht="24" customHeight="1">
      <c r="A8" s="1302" t="s">
        <v>2149</v>
      </c>
      <c r="B8" s="1302">
        <f ca="1">IF(C8&lt;B2,"已过期",1419970001)</f>
        <v>1419970001</v>
      </c>
      <c r="C8" s="2341">
        <v>45937</v>
      </c>
      <c r="D8" s="2342" t="str">
        <f t="shared" ca="1" si="0"/>
        <v>吴薇（注册号：1419970001）</v>
      </c>
      <c r="E8" s="2343" t="s">
        <v>2149</v>
      </c>
      <c r="F8" s="1302">
        <f ca="1">IF(G8&lt;B2,"已过期",2002110125)</f>
        <v>2002110125</v>
      </c>
      <c r="G8" s="2344">
        <v>47118</v>
      </c>
      <c r="H8" s="2345" t="str">
        <f t="shared" ca="1" si="1"/>
        <v>吴薇（注册号：2002110125）</v>
      </c>
    </row>
    <row r="9" spans="1:8" ht="24" customHeight="1">
      <c r="A9" s="1302" t="s">
        <v>2150</v>
      </c>
      <c r="B9" s="1302">
        <f ca="1">IF(C9&lt;B2,"已过期",1120060040)</f>
        <v>1120060040</v>
      </c>
      <c r="C9" s="2346">
        <v>45592</v>
      </c>
      <c r="D9" s="2342" t="str">
        <f t="shared" ca="1" si="0"/>
        <v>陈颖（注册号：1120060040）</v>
      </c>
      <c r="E9" s="2343" t="s">
        <v>2150</v>
      </c>
      <c r="F9" s="1302">
        <f ca="1">IF(G9&lt;B2,"已过期",2004110096)</f>
        <v>2004110096</v>
      </c>
      <c r="G9" s="2344">
        <v>47118</v>
      </c>
      <c r="H9" s="2345" t="str">
        <f t="shared" ca="1" si="1"/>
        <v>陈颖（注册号：2004110096）</v>
      </c>
    </row>
    <row r="10" spans="1:8" ht="24" customHeight="1">
      <c r="A10" s="1302" t="s">
        <v>2151</v>
      </c>
      <c r="B10" s="1302">
        <f ca="1">IF(C10&lt;B2,"已过期",1120100036)</f>
        <v>1120100036</v>
      </c>
      <c r="C10" s="2346">
        <v>45752</v>
      </c>
      <c r="D10" s="2342" t="str">
        <f t="shared" ca="1" si="0"/>
        <v>崔锴（注册号：1120100036）</v>
      </c>
      <c r="E10" s="2343" t="s">
        <v>2151</v>
      </c>
      <c r="F10" s="1302">
        <f ca="1">IF(G10&lt;B2,"已过期",2010110070)</f>
        <v>2010110070</v>
      </c>
      <c r="G10" s="2344">
        <v>47907</v>
      </c>
      <c r="H10" s="2345" t="str">
        <f t="shared" ca="1" si="1"/>
        <v>崔锴（注册号：2010110070）</v>
      </c>
    </row>
    <row r="11" spans="1:8" ht="24" customHeight="1">
      <c r="A11" s="1302" t="s">
        <v>2152</v>
      </c>
      <c r="B11" s="1302">
        <f ca="1">IF(C11&lt;B2,"已过期",1120070131)</f>
        <v>1120070131</v>
      </c>
      <c r="C11" s="2341">
        <v>45937</v>
      </c>
      <c r="D11" s="2342" t="str">
        <f t="shared" ca="1" si="0"/>
        <v>郑燚（注册号：1120070131）</v>
      </c>
      <c r="E11" s="2343" t="s">
        <v>2152</v>
      </c>
      <c r="F11" s="1302">
        <f ca="1">IF(G11&lt;B2,"已过期",2014110011)</f>
        <v>2014110011</v>
      </c>
      <c r="G11" s="2344">
        <v>49302</v>
      </c>
      <c r="H11" s="2345" t="str">
        <f t="shared" ca="1" si="1"/>
        <v>郑燚（注册号：2014110011）</v>
      </c>
    </row>
    <row r="12" spans="1:8" ht="24" customHeight="1">
      <c r="A12" s="1302" t="s">
        <v>2153</v>
      </c>
      <c r="B12" s="1302">
        <f ca="1">IF(C12&lt;B2,"已过期",1120040230)</f>
        <v>1120040230</v>
      </c>
      <c r="C12" s="2346">
        <v>45937</v>
      </c>
      <c r="D12" s="2342" t="str">
        <f t="shared" ca="1" si="0"/>
        <v>苏海（注册号：1120040230）</v>
      </c>
      <c r="E12" s="2343" t="s">
        <v>2153</v>
      </c>
      <c r="F12" s="1302">
        <f ca="1">IF(G12&lt;B2,"已过期",98030020)</f>
        <v>98030020</v>
      </c>
      <c r="G12" s="2344">
        <v>47118</v>
      </c>
      <c r="H12" s="2345" t="str">
        <f t="shared" ca="1" si="1"/>
        <v>苏海（注册号：98030020）</v>
      </c>
    </row>
    <row r="13" spans="1:8" ht="24" customHeight="1">
      <c r="A13" s="1302" t="s">
        <v>2154</v>
      </c>
      <c r="B13" s="1302">
        <f ca="1">IF(C13&lt;B2,"已过期",1120020033)</f>
        <v>1120020033</v>
      </c>
      <c r="C13" s="2341">
        <v>45375</v>
      </c>
      <c r="D13" s="2342" t="str">
        <f t="shared" ca="1" si="0"/>
        <v>刘敬东（注册号：1120020033）</v>
      </c>
      <c r="E13" s="2343" t="s">
        <v>2154</v>
      </c>
      <c r="F13" s="1302">
        <f ca="1">IF(G13&lt;B2,"已过期",2000110137)</f>
        <v>2000110137</v>
      </c>
      <c r="G13" s="2344">
        <v>46387</v>
      </c>
      <c r="H13" s="2345" t="str">
        <f t="shared" ca="1" si="1"/>
        <v>刘敬东（注册号：2000110137）</v>
      </c>
    </row>
    <row r="14" spans="1:8" ht="24" customHeight="1">
      <c r="A14" s="1302" t="s">
        <v>2155</v>
      </c>
      <c r="B14" s="1302" t="str">
        <f ca="1">IF(C14&lt;B2,"已过期",1119980106)</f>
        <v>已过期</v>
      </c>
      <c r="C14" s="2346">
        <v>44969</v>
      </c>
      <c r="D14" s="2342" t="str">
        <f t="shared" ca="1" si="0"/>
        <v>刘俊财（注册号：已过期）</v>
      </c>
      <c r="E14" s="2343" t="s">
        <v>2155</v>
      </c>
      <c r="F14" s="1302">
        <f ca="1">IF(G14&lt;B2,"已过期",96010063)</f>
        <v>96010063</v>
      </c>
      <c r="G14" s="2344">
        <v>47483</v>
      </c>
      <c r="H14" s="2345" t="str">
        <f t="shared" ca="1" si="1"/>
        <v>刘俊财（注册号：96010063）</v>
      </c>
    </row>
    <row r="15" spans="1:8" ht="24" customHeight="1">
      <c r="A15" s="1302" t="s">
        <v>2426</v>
      </c>
      <c r="B15" s="1302">
        <v>1120210056</v>
      </c>
      <c r="C15" s="2346">
        <v>45410</v>
      </c>
      <c r="D15" s="2342" t="str">
        <f t="shared" si="0"/>
        <v>宁小鳗（注册号：1120210056）</v>
      </c>
      <c r="E15" s="2343" t="s">
        <v>2156</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7" t="s">
        <v>2157</v>
      </c>
      <c r="B17" s="3517"/>
      <c r="C17" s="3517"/>
      <c r="D17" s="3517"/>
      <c r="E17" s="3517"/>
      <c r="F17" s="3517"/>
      <c r="G17" s="3517"/>
      <c r="H17" s="3517"/>
    </row>
    <row r="18" spans="1:8" ht="24" customHeight="1">
      <c r="A18" s="3518" t="s">
        <v>2158</v>
      </c>
      <c r="B18" s="3518"/>
      <c r="C18" s="3518"/>
      <c r="D18" s="2339"/>
      <c r="E18" s="3519" t="s">
        <v>2159</v>
      </c>
      <c r="F18" s="3518"/>
      <c r="G18" s="3518"/>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2020年企业提供面积</vt:lpstr>
      <vt:lpstr>房屋建筑面积总表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土地比较法-住宅、综合</vt:lpstr>
      <vt:lpstr>土地案例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管理协议</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2023-08-08T08:31:15Z</dcterms:modified>
</cp:coreProperties>
</file>