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华樾北京" sheetId="87" r:id="rId53"/>
    <sheet name="保利佲悦大都汇" sheetId="88" r:id="rId54"/>
  </sheets>
  <externalReferences>
    <externalReference r:id="rId55"/>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28" i="34" l="1"/>
  <c r="F128" i="34" s="1"/>
  <c r="D128" i="34"/>
  <c r="E48" i="34"/>
  <c r="D94" i="34" l="1"/>
  <c r="E94" i="34" s="1"/>
  <c r="F94" i="34" s="1"/>
  <c r="G94" i="34" s="1"/>
  <c r="I48" i="34"/>
  <c r="L23" i="87"/>
  <c r="N7" i="86"/>
  <c r="L22" i="87"/>
  <c r="K7" i="86"/>
  <c r="I34" i="34"/>
  <c r="F135" i="34"/>
  <c r="F136" i="34"/>
  <c r="K23" i="87"/>
  <c r="J22" i="87"/>
  <c r="K22" i="87"/>
  <c r="E105" i="34"/>
  <c r="F105" i="34" s="1"/>
  <c r="D105" i="34"/>
  <c r="G136" i="34" l="1"/>
  <c r="E37" i="34" l="1"/>
  <c r="G37" i="34"/>
  <c r="AK7" i="1"/>
  <c r="D67" i="34"/>
  <c r="E67" i="34" s="1"/>
  <c r="P5" i="81" l="1"/>
  <c r="N5" i="81"/>
  <c r="Q83" i="81"/>
  <c r="N37" i="81"/>
  <c r="D133" i="81"/>
  <c r="C144" i="81" s="1"/>
  <c r="G136" i="81"/>
  <c r="F144" i="81" s="1"/>
  <c r="U119" i="81"/>
  <c r="T119" i="81"/>
  <c r="S119" i="81"/>
  <c r="R119" i="81"/>
  <c r="Q119" i="81"/>
  <c r="P119" i="81"/>
  <c r="U117" i="81"/>
  <c r="T117" i="81"/>
  <c r="S117" i="81"/>
  <c r="R117" i="81"/>
  <c r="Q117" i="81"/>
  <c r="P117" i="81"/>
  <c r="U112" i="81"/>
  <c r="T112" i="81"/>
  <c r="S112" i="81"/>
  <c r="R112" i="81"/>
  <c r="Q112" i="81"/>
  <c r="P112"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U85" i="81"/>
  <c r="T85" i="81"/>
  <c r="S85" i="81"/>
  <c r="R85" i="81"/>
  <c r="Q85" i="81"/>
  <c r="P85" i="81"/>
  <c r="U84" i="81"/>
  <c r="T84" i="81"/>
  <c r="S84" i="81"/>
  <c r="R84" i="81"/>
  <c r="Q84" i="81"/>
  <c r="P84" i="81"/>
  <c r="U83" i="81"/>
  <c r="T83" i="81"/>
  <c r="S83" i="81"/>
  <c r="R83" i="81"/>
  <c r="P83" i="81"/>
  <c r="U77" i="81"/>
  <c r="T77" i="81"/>
  <c r="S77" i="81"/>
  <c r="R77" i="81"/>
  <c r="Q77" i="81"/>
  <c r="P77" i="81"/>
  <c r="U74" i="81"/>
  <c r="T74" i="81"/>
  <c r="S74" i="81"/>
  <c r="R74" i="81"/>
  <c r="Q74" i="81"/>
  <c r="P74" i="81"/>
  <c r="U68" i="81"/>
  <c r="T68" i="81"/>
  <c r="S68" i="81"/>
  <c r="R68" i="81"/>
  <c r="Q68" i="81"/>
  <c r="P68" i="81"/>
  <c r="U67" i="81"/>
  <c r="T67" i="81"/>
  <c r="S67" i="81"/>
  <c r="R67" i="81"/>
  <c r="Q67" i="81"/>
  <c r="P67" i="81"/>
  <c r="U66" i="81"/>
  <c r="T66" i="81"/>
  <c r="S66" i="81"/>
  <c r="R66" i="81"/>
  <c r="Q66" i="81"/>
  <c r="P66" i="81"/>
  <c r="U62" i="81"/>
  <c r="T62" i="81"/>
  <c r="S62" i="81"/>
  <c r="R62" i="81"/>
  <c r="Q62" i="81"/>
  <c r="P62" i="81"/>
  <c r="U59" i="81"/>
  <c r="T59" i="81"/>
  <c r="S59" i="81"/>
  <c r="R59" i="81"/>
  <c r="Q59" i="81"/>
  <c r="P59" i="81"/>
  <c r="U58" i="81"/>
  <c r="T58" i="81"/>
  <c r="S58" i="81"/>
  <c r="R58" i="81"/>
  <c r="Q58" i="81"/>
  <c r="P58" i="81"/>
  <c r="O58" i="81"/>
  <c r="U57" i="81"/>
  <c r="T57" i="81"/>
  <c r="S57" i="81"/>
  <c r="R57" i="81"/>
  <c r="Q57" i="81"/>
  <c r="P57" i="81"/>
  <c r="O57" i="81"/>
  <c r="U53" i="81"/>
  <c r="T53" i="81"/>
  <c r="S53" i="81"/>
  <c r="R53" i="81"/>
  <c r="Q53" i="81"/>
  <c r="P53" i="81"/>
  <c r="U20" i="81"/>
  <c r="T20" i="81"/>
  <c r="S20" i="81"/>
  <c r="R20" i="81"/>
  <c r="Q20" i="81"/>
  <c r="P20" i="81"/>
  <c r="U19" i="81"/>
  <c r="T19" i="81"/>
  <c r="S19" i="81"/>
  <c r="R19" i="81"/>
  <c r="Q19" i="81"/>
  <c r="P19" i="81"/>
  <c r="U18" i="81"/>
  <c r="T18" i="81"/>
  <c r="S18" i="81"/>
  <c r="R18" i="81"/>
  <c r="Q18" i="81"/>
  <c r="P18" i="81"/>
  <c r="U15" i="81"/>
  <c r="T15" i="81"/>
  <c r="S15" i="81"/>
  <c r="R15" i="81"/>
  <c r="Q15" i="81"/>
  <c r="P15" i="81"/>
  <c r="U14" i="81"/>
  <c r="T14" i="81"/>
  <c r="S14" i="81"/>
  <c r="R14" i="81"/>
  <c r="Q14" i="81"/>
  <c r="P14" i="81"/>
  <c r="U13" i="81"/>
  <c r="T13" i="81"/>
  <c r="S13" i="81"/>
  <c r="R13" i="81"/>
  <c r="Q13" i="81"/>
  <c r="P13" i="81"/>
  <c r="O13" i="81"/>
  <c r="U12" i="81"/>
  <c r="T12" i="81"/>
  <c r="S12" i="81"/>
  <c r="R12" i="81"/>
  <c r="Q12" i="81"/>
  <c r="P12" i="81"/>
  <c r="O12" i="81"/>
  <c r="U11" i="81"/>
  <c r="T11" i="81"/>
  <c r="S11" i="81"/>
  <c r="R11" i="81"/>
  <c r="Q11" i="81"/>
  <c r="P11" i="81"/>
  <c r="U4" i="81"/>
  <c r="T4" i="81"/>
  <c r="S4" i="81"/>
  <c r="R4" i="81"/>
  <c r="Q4" i="81"/>
  <c r="P4" i="81"/>
  <c r="U3" i="81"/>
  <c r="T3" i="81"/>
  <c r="S3" i="81"/>
  <c r="R3" i="81"/>
  <c r="Q3" i="81"/>
  <c r="P3" i="81"/>
  <c r="U121" i="81"/>
  <c r="U120" i="81"/>
  <c r="U118" i="81"/>
  <c r="Q39" i="81"/>
  <c r="R39" i="81" s="1"/>
  <c r="S39" i="81" s="1"/>
  <c r="T39" i="81" s="1"/>
  <c r="Q22" i="81"/>
  <c r="R22" i="81" s="1"/>
  <c r="S22" i="81" s="1"/>
  <c r="T22" i="81" s="1"/>
  <c r="Q21" i="81"/>
  <c r="R21" i="81" s="1"/>
  <c r="S21" i="81" s="1"/>
  <c r="T21" i="81" s="1"/>
  <c r="P10" i="81"/>
  <c r="Q10" i="81" s="1"/>
  <c r="R10" i="81" s="1"/>
  <c r="S10" i="81" s="1"/>
  <c r="T10" i="81" s="1"/>
  <c r="P9" i="81"/>
  <c r="Q9" i="81" s="1"/>
  <c r="R9" i="81" s="1"/>
  <c r="S9" i="81" s="1"/>
  <c r="T9" i="81" s="1"/>
  <c r="P8" i="81"/>
  <c r="Q8" i="81" s="1"/>
  <c r="R8" i="81" s="1"/>
  <c r="S8" i="81" s="1"/>
  <c r="T8" i="81" s="1"/>
  <c r="P7" i="81"/>
  <c r="Q7" i="81" s="1"/>
  <c r="R7" i="81" s="1"/>
  <c r="S7" i="81" s="1"/>
  <c r="T7" i="81" s="1"/>
  <c r="P6" i="81"/>
  <c r="Q6" i="81" s="1"/>
  <c r="R6" i="81" s="1"/>
  <c r="S6" i="81" s="1"/>
  <c r="T6" i="81" s="1"/>
  <c r="Q5" i="81"/>
  <c r="R5" i="81" s="1"/>
  <c r="S5" i="81" s="1"/>
  <c r="T5" i="81" s="1"/>
  <c r="P17" i="81"/>
  <c r="Q17" i="81" s="1"/>
  <c r="R17" i="81" s="1"/>
  <c r="S17" i="81" s="1"/>
  <c r="T17" i="81" s="1"/>
  <c r="P16" i="81"/>
  <c r="Q16" i="81" s="1"/>
  <c r="R16" i="81" s="1"/>
  <c r="S16" i="81" s="1"/>
  <c r="T16" i="81" s="1"/>
  <c r="P52" i="81"/>
  <c r="Q52" i="81" s="1"/>
  <c r="R52" i="81" s="1"/>
  <c r="S52" i="81" s="1"/>
  <c r="T52" i="81" s="1"/>
  <c r="P51" i="81"/>
  <c r="Q51" i="81" s="1"/>
  <c r="R51" i="81" s="1"/>
  <c r="S51" i="81" s="1"/>
  <c r="T51" i="81" s="1"/>
  <c r="P50" i="81"/>
  <c r="Q50" i="81" s="1"/>
  <c r="R50" i="81" s="1"/>
  <c r="S50" i="81" s="1"/>
  <c r="T50" i="81" s="1"/>
  <c r="P49" i="81"/>
  <c r="Q49" i="81" s="1"/>
  <c r="R49" i="81" s="1"/>
  <c r="S49" i="81" s="1"/>
  <c r="T49" i="81" s="1"/>
  <c r="P48" i="81"/>
  <c r="Q48" i="81" s="1"/>
  <c r="R48" i="81" s="1"/>
  <c r="S48" i="81" s="1"/>
  <c r="T48" i="81" s="1"/>
  <c r="P47" i="81"/>
  <c r="Q47" i="81" s="1"/>
  <c r="R47" i="81" s="1"/>
  <c r="S47" i="81" s="1"/>
  <c r="T47" i="81" s="1"/>
  <c r="P46" i="81"/>
  <c r="Q46" i="81" s="1"/>
  <c r="R46" i="81" s="1"/>
  <c r="S46" i="81" s="1"/>
  <c r="T46" i="81" s="1"/>
  <c r="P45" i="81"/>
  <c r="Q45" i="81" s="1"/>
  <c r="R45" i="81" s="1"/>
  <c r="S45" i="81" s="1"/>
  <c r="T45" i="81" s="1"/>
  <c r="P44" i="81"/>
  <c r="Q44" i="81" s="1"/>
  <c r="R44" i="81" s="1"/>
  <c r="S44" i="81" s="1"/>
  <c r="T44" i="81" s="1"/>
  <c r="P43" i="81"/>
  <c r="Q43" i="81" s="1"/>
  <c r="R43" i="81" s="1"/>
  <c r="S43" i="81" s="1"/>
  <c r="T43" i="81" s="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Q35" i="81" s="1"/>
  <c r="R35" i="81" s="1"/>
  <c r="S35" i="81" s="1"/>
  <c r="T35" i="81" s="1"/>
  <c r="P34" i="81"/>
  <c r="Q34" i="81" s="1"/>
  <c r="R34" i="81" s="1"/>
  <c r="S34" i="81" s="1"/>
  <c r="T34" i="81" s="1"/>
  <c r="P33" i="81"/>
  <c r="Q33" i="81" s="1"/>
  <c r="R33" i="81" s="1"/>
  <c r="S33" i="81" s="1"/>
  <c r="T33" i="81" s="1"/>
  <c r="P32" i="81"/>
  <c r="Q32" i="81" s="1"/>
  <c r="R32" i="81" s="1"/>
  <c r="S32" i="81" s="1"/>
  <c r="T32" i="81" s="1"/>
  <c r="P31" i="81"/>
  <c r="Q31" i="81" s="1"/>
  <c r="R31" i="81" s="1"/>
  <c r="S31" i="81" s="1"/>
  <c r="T31" i="81" s="1"/>
  <c r="P30" i="81"/>
  <c r="Q30" i="81" s="1"/>
  <c r="R30" i="81" s="1"/>
  <c r="S30" i="81" s="1"/>
  <c r="T30" i="81" s="1"/>
  <c r="P29" i="81"/>
  <c r="Q29" i="81" s="1"/>
  <c r="R29" i="81" s="1"/>
  <c r="S29" i="81" s="1"/>
  <c r="T29" i="81" s="1"/>
  <c r="P28" i="81"/>
  <c r="Q28" i="81" s="1"/>
  <c r="R28" i="81" s="1"/>
  <c r="S28" i="81" s="1"/>
  <c r="T28" i="81" s="1"/>
  <c r="P27" i="81"/>
  <c r="Q27" i="81" s="1"/>
  <c r="R27" i="81" s="1"/>
  <c r="S27" i="81" s="1"/>
  <c r="T27" i="81" s="1"/>
  <c r="P26" i="81"/>
  <c r="Q26" i="81" s="1"/>
  <c r="R26" i="81" s="1"/>
  <c r="S26" i="81" s="1"/>
  <c r="T26" i="81" s="1"/>
  <c r="P25" i="81"/>
  <c r="Q25" i="81" s="1"/>
  <c r="R25" i="81" s="1"/>
  <c r="S25" i="81" s="1"/>
  <c r="T25" i="81" s="1"/>
  <c r="P24" i="81"/>
  <c r="Q24" i="81" s="1"/>
  <c r="R24" i="81" s="1"/>
  <c r="S24" i="81" s="1"/>
  <c r="T24" i="81" s="1"/>
  <c r="P23" i="81"/>
  <c r="Q23" i="81" s="1"/>
  <c r="R23" i="81" s="1"/>
  <c r="S23" i="81" s="1"/>
  <c r="T23" i="81" s="1"/>
  <c r="P56" i="81"/>
  <c r="Q56" i="81" s="1"/>
  <c r="R56" i="81" s="1"/>
  <c r="S56" i="81" s="1"/>
  <c r="T56" i="81" s="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Q76" i="81" s="1"/>
  <c r="R76" i="81" s="1"/>
  <c r="S76" i="81" s="1"/>
  <c r="T76" i="81" s="1"/>
  <c r="P75" i="81"/>
  <c r="Q75" i="81" s="1"/>
  <c r="R75" i="81" s="1"/>
  <c r="S75" i="81" s="1"/>
  <c r="T75" i="81" s="1"/>
  <c r="P82" i="81"/>
  <c r="Q82" i="81" s="1"/>
  <c r="R82" i="81" s="1"/>
  <c r="S82" i="81" s="1"/>
  <c r="T82" i="81" s="1"/>
  <c r="P81" i="81"/>
  <c r="Q81" i="81" s="1"/>
  <c r="R81" i="81" s="1"/>
  <c r="S81" i="81" s="1"/>
  <c r="T81" i="81" s="1"/>
  <c r="P80" i="81"/>
  <c r="Q80" i="81" s="1"/>
  <c r="R80" i="81" s="1"/>
  <c r="S80" i="81" s="1"/>
  <c r="T80" i="81" s="1"/>
  <c r="P79" i="81"/>
  <c r="Q79" i="81" s="1"/>
  <c r="R79" i="81" s="1"/>
  <c r="S79" i="81" s="1"/>
  <c r="T79" i="81" s="1"/>
  <c r="P78" i="81"/>
  <c r="Q78" i="81" s="1"/>
  <c r="R78" i="81" s="1"/>
  <c r="S78" i="81" s="1"/>
  <c r="T78" i="81" s="1"/>
  <c r="P88" i="81"/>
  <c r="Q88" i="81" s="1"/>
  <c r="R88" i="81" s="1"/>
  <c r="S88" i="81" s="1"/>
  <c r="T88" i="81" s="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O118" i="81"/>
  <c r="P118" i="81" s="1"/>
  <c r="Q118" i="81" s="1"/>
  <c r="R118" i="81" s="1"/>
  <c r="S118" i="81" s="1"/>
  <c r="T118" i="81" s="1"/>
  <c r="O10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O96" i="81" l="1"/>
  <c r="U122" i="81"/>
  <c r="O15" i="81"/>
  <c r="O62" i="81"/>
  <c r="O102" i="81"/>
  <c r="O14" i="81"/>
  <c r="O59" i="81"/>
  <c r="O83" i="81"/>
  <c r="O5" i="81"/>
  <c r="O77" i="81"/>
  <c r="O53" i="81"/>
  <c r="O74" i="81"/>
  <c r="O68" i="81"/>
  <c r="O19" i="81"/>
  <c r="O67" i="81"/>
  <c r="O3" i="81"/>
  <c r="O11" i="81"/>
  <c r="O20" i="81"/>
  <c r="O18" i="81"/>
  <c r="O66" i="81"/>
  <c r="O85" i="81"/>
  <c r="O4" i="81"/>
  <c r="O84" i="81"/>
  <c r="I140" i="81"/>
  <c r="I141" i="81" s="1"/>
  <c r="O97" i="81"/>
  <c r="O103" i="81"/>
  <c r="O107" i="81"/>
  <c r="O120" i="81"/>
  <c r="P120" i="81" s="1"/>
  <c r="Q120" i="81" s="1"/>
  <c r="R120" i="81" s="1"/>
  <c r="S120" i="81" s="1"/>
  <c r="T120"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T122" i="81" l="1"/>
  <c r="Q122" i="81"/>
  <c r="G135" i="81"/>
  <c r="R122" i="81"/>
  <c r="O117" i="81"/>
  <c r="O113" i="81"/>
  <c r="O99" i="81"/>
  <c r="G126" i="81"/>
  <c r="O98" i="81"/>
  <c r="O112" i="81"/>
  <c r="O115" i="81"/>
  <c r="O119" i="81"/>
  <c r="S122" i="81"/>
  <c r="P122" i="81"/>
  <c r="O89" i="81"/>
  <c r="D130" i="81" s="1"/>
  <c r="D131" i="81" s="1"/>
  <c r="O122" i="81" l="1"/>
  <c r="G133" i="81" s="1"/>
  <c r="G134" i="81" s="1"/>
  <c r="K14" i="3"/>
  <c r="I13" i="3"/>
  <c r="F145" i="81" s="1"/>
  <c r="G145" i="81" s="1"/>
  <c r="I142" i="81" s="1"/>
  <c r="N6" i="1" l="1"/>
  <c r="C37" i="34" s="1"/>
  <c r="N7" i="1"/>
  <c r="D33" i="85"/>
  <c r="D1" i="85"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M98" i="85"/>
  <c r="N98" i="85" s="1"/>
  <c r="K98" i="85"/>
  <c r="J98" i="85" s="1"/>
  <c r="D98" i="85"/>
  <c r="M97" i="85"/>
  <c r="N97" i="85" s="1"/>
  <c r="K97" i="85"/>
  <c r="J97" i="85" s="1"/>
  <c r="D97" i="85"/>
  <c r="M96" i="85"/>
  <c r="N96" i="85" s="1"/>
  <c r="K96" i="85"/>
  <c r="J96" i="85" s="1"/>
  <c r="D96" i="85"/>
  <c r="M95" i="85"/>
  <c r="N95" i="85" s="1"/>
  <c r="K95" i="85"/>
  <c r="J95" i="85" s="1"/>
  <c r="D95" i="85"/>
  <c r="B95" i="85"/>
  <c r="M94" i="85"/>
  <c r="N94" i="85" s="1"/>
  <c r="K94" i="85"/>
  <c r="J94" i="85" s="1"/>
  <c r="D94" i="85"/>
  <c r="M93" i="85"/>
  <c r="N93" i="85" s="1"/>
  <c r="K93" i="85"/>
  <c r="J93" i="85" s="1"/>
  <c r="F93" i="85"/>
  <c r="H101" i="85" s="1"/>
  <c r="D93" i="85"/>
  <c r="M90" i="85"/>
  <c r="N90" i="85" s="1"/>
  <c r="K90" i="85"/>
  <c r="J90" i="85"/>
  <c r="D90" i="85"/>
  <c r="M89" i="85"/>
  <c r="N89" i="85" s="1"/>
  <c r="K89" i="85"/>
  <c r="J89" i="85" s="1"/>
  <c r="D89" i="85"/>
  <c r="M88" i="85"/>
  <c r="N88" i="85" s="1"/>
  <c r="K88" i="85"/>
  <c r="J88" i="85" s="1"/>
  <c r="D88" i="85"/>
  <c r="M87" i="85"/>
  <c r="N87" i="85" s="1"/>
  <c r="K87" i="85"/>
  <c r="J87" i="85" s="1"/>
  <c r="D87" i="85"/>
  <c r="M86" i="85"/>
  <c r="N86" i="85" s="1"/>
  <c r="K86" i="85"/>
  <c r="J86" i="85" s="1"/>
  <c r="D86" i="85"/>
  <c r="B86" i="85"/>
  <c r="M85" i="85"/>
  <c r="N85" i="85" s="1"/>
  <c r="K85" i="85"/>
  <c r="J85" i="85" s="1"/>
  <c r="D85" i="85"/>
  <c r="B85" i="85"/>
  <c r="M84" i="85"/>
  <c r="N84" i="85" s="1"/>
  <c r="K84" i="85"/>
  <c r="J84" i="85" s="1"/>
  <c r="D84" i="85"/>
  <c r="M83" i="85"/>
  <c r="N83" i="85" s="1"/>
  <c r="K83" i="85"/>
  <c r="J83" i="85"/>
  <c r="F83" i="85"/>
  <c r="H88" i="85" s="1"/>
  <c r="D83" i="85"/>
  <c r="M80" i="85"/>
  <c r="N80" i="85" s="1"/>
  <c r="K80" i="85"/>
  <c r="J80" i="85" s="1"/>
  <c r="D80" i="85"/>
  <c r="M79" i="85"/>
  <c r="N79" i="85" s="1"/>
  <c r="K79" i="85"/>
  <c r="J79" i="85"/>
  <c r="D79" i="85"/>
  <c r="M78" i="85"/>
  <c r="N78" i="85" s="1"/>
  <c r="K78" i="85"/>
  <c r="J78" i="85" s="1"/>
  <c r="D78" i="85"/>
  <c r="M77" i="85"/>
  <c r="N77" i="85" s="1"/>
  <c r="K77" i="85"/>
  <c r="J77" i="85" s="1"/>
  <c r="D77" i="85"/>
  <c r="M76" i="85"/>
  <c r="N76" i="85" s="1"/>
  <c r="K76" i="85"/>
  <c r="J76" i="85"/>
  <c r="D76" i="85"/>
  <c r="N75" i="85"/>
  <c r="M75" i="85"/>
  <c r="K75" i="85"/>
  <c r="J75" i="85" s="1"/>
  <c r="D75" i="85"/>
  <c r="M74" i="85"/>
  <c r="N74" i="85" s="1"/>
  <c r="K74" i="85"/>
  <c r="J74" i="85"/>
  <c r="D74" i="85"/>
  <c r="B74" i="85"/>
  <c r="M73" i="85"/>
  <c r="N73" i="85" s="1"/>
  <c r="K73" i="85"/>
  <c r="J73" i="85" s="1"/>
  <c r="D73" i="85"/>
  <c r="M72" i="85"/>
  <c r="N72" i="85" s="1"/>
  <c r="K72" i="85"/>
  <c r="J72" i="85" s="1"/>
  <c r="F72" i="85"/>
  <c r="H75" i="85" s="1"/>
  <c r="D72" i="85"/>
  <c r="B63" i="85"/>
  <c r="D54" i="85"/>
  <c r="B52" i="85"/>
  <c r="D50" i="85"/>
  <c r="B50" i="85"/>
  <c r="H42" i="85"/>
  <c r="H41" i="85"/>
  <c r="H40" i="85"/>
  <c r="H39" i="85"/>
  <c r="H38" i="85"/>
  <c r="H37" i="85"/>
  <c r="J24" i="85"/>
  <c r="G24" i="85"/>
  <c r="E44" i="85" s="1"/>
  <c r="C44" i="85" s="1"/>
  <c r="E24" i="85"/>
  <c r="M32" i="85" s="1"/>
  <c r="I23" i="85"/>
  <c r="C22" i="85"/>
  <c r="C20"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U4" i="85"/>
  <c r="U3" i="85"/>
  <c r="U2" i="85"/>
  <c r="I2" i="85"/>
  <c r="N12" i="85" s="1"/>
  <c r="G2" i="85"/>
  <c r="M21" i="85" s="1"/>
  <c r="U3" i="43"/>
  <c r="U4" i="43"/>
  <c r="U2" i="43"/>
  <c r="Q72" i="82"/>
  <c r="Q59" i="82"/>
  <c r="K59" i="82"/>
  <c r="P74" i="82" s="1"/>
  <c r="F59" i="82"/>
  <c r="Q58" i="82"/>
  <c r="Q51" i="82"/>
  <c r="J50" i="82"/>
  <c r="M47" i="82"/>
  <c r="D46" i="82"/>
  <c r="F33" i="82"/>
  <c r="F61" i="82" s="1"/>
  <c r="F31" i="82"/>
  <c r="F23" i="82"/>
  <c r="D24" i="82" s="1"/>
  <c r="F21" i="82"/>
  <c r="F20" i="82"/>
  <c r="M19" i="82"/>
  <c r="F18" i="82"/>
  <c r="M17" i="82"/>
  <c r="F17" i="82"/>
  <c r="F15" i="82"/>
  <c r="Y6" i="1"/>
  <c r="Y7" i="1" s="1"/>
  <c r="H73" i="85" l="1"/>
  <c r="M6" i="85"/>
  <c r="E83" i="85"/>
  <c r="B81" i="85" s="1"/>
  <c r="E10" i="85"/>
  <c r="E11" i="85"/>
  <c r="E8" i="85"/>
  <c r="M12" i="85"/>
  <c r="M2" i="85"/>
  <c r="G18" i="85"/>
  <c r="E93" i="85"/>
  <c r="B91" i="85" s="1"/>
  <c r="M3" i="85"/>
  <c r="C6" i="85" s="1"/>
  <c r="N9" i="85"/>
  <c r="S4" i="85"/>
  <c r="M1" i="85"/>
  <c r="L21" i="85"/>
  <c r="E72" i="85"/>
  <c r="B70" i="85" s="1"/>
  <c r="D22" i="82"/>
  <c r="D23" i="82"/>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N7" i="85"/>
  <c r="M9" i="85"/>
  <c r="N11" i="85"/>
  <c r="J21" i="85"/>
  <c r="N21" i="85"/>
  <c r="Q32" i="85"/>
  <c r="H77" i="85"/>
  <c r="H80" i="85"/>
  <c r="H74" i="85"/>
  <c r="H79" i="85"/>
  <c r="H76" i="85"/>
  <c r="H72" i="85"/>
  <c r="H78" i="85"/>
  <c r="K21" i="85"/>
  <c r="O21" i="85"/>
  <c r="H83" i="85"/>
  <c r="H87" i="85"/>
  <c r="H90" i="85"/>
  <c r="H94" i="85"/>
  <c r="H97" i="85"/>
  <c r="H100" i="85"/>
  <c r="H99" i="85"/>
  <c r="H85" i="85"/>
  <c r="H98" i="85"/>
  <c r="H84" i="85"/>
  <c r="P61" i="82"/>
  <c r="F20" i="6"/>
  <c r="C145" i="81" s="1"/>
  <c r="F19" i="6"/>
  <c r="C20" i="6"/>
  <c r="C19" i="6"/>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C23" i="80" s="1"/>
  <c r="G14" i="73"/>
  <c r="F14" i="73"/>
  <c r="E14" i="73"/>
  <c r="C51" i="34" l="1"/>
  <c r="H62" i="85"/>
  <c r="G62" i="85" s="1"/>
  <c r="H66" i="85"/>
  <c r="G66" i="85" s="1"/>
  <c r="H63" i="85"/>
  <c r="G63" i="85" s="1"/>
  <c r="H65" i="85"/>
  <c r="G65" i="85" s="1"/>
  <c r="H64" i="85"/>
  <c r="G64" i="85" s="1"/>
  <c r="H61" i="85"/>
  <c r="G61" i="85" s="1"/>
  <c r="H67" i="85"/>
  <c r="G67" i="85" s="1"/>
  <c r="H68" i="85"/>
  <c r="G68" i="85" s="1"/>
  <c r="H69" i="85"/>
  <c r="G69" i="85" s="1"/>
  <c r="G21" i="85"/>
  <c r="D5" i="85"/>
  <c r="C5" i="85"/>
  <c r="H58" i="85"/>
  <c r="G58" i="85" s="1"/>
  <c r="H57" i="85"/>
  <c r="G57" i="85" s="1"/>
  <c r="H56" i="85"/>
  <c r="G56" i="85" s="1"/>
  <c r="H55" i="85"/>
  <c r="G55" i="85" s="1"/>
  <c r="H52" i="85"/>
  <c r="G52" i="85" s="1"/>
  <c r="H51" i="85"/>
  <c r="G51" i="85" s="1"/>
  <c r="H50" i="85"/>
  <c r="G50" i="85" s="1"/>
  <c r="H54" i="85"/>
  <c r="G54" i="85" s="1"/>
  <c r="H53" i="85"/>
  <c r="G53" i="85"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4" i="85" l="1"/>
  <c r="N64" i="85" s="1"/>
  <c r="K64" i="85"/>
  <c r="M65" i="85"/>
  <c r="N65" i="85" s="1"/>
  <c r="K65" i="85"/>
  <c r="M63" i="85"/>
  <c r="N63" i="85" s="1"/>
  <c r="K63" i="85"/>
  <c r="M66" i="85"/>
  <c r="N66" i="85" s="1"/>
  <c r="K66" i="85"/>
  <c r="M61" i="85"/>
  <c r="N61" i="85" s="1"/>
  <c r="K61" i="85"/>
  <c r="M69" i="85"/>
  <c r="N69" i="85" s="1"/>
  <c r="K69" i="85"/>
  <c r="J69" i="85" s="1"/>
  <c r="D69" i="85" s="1"/>
  <c r="M62" i="85"/>
  <c r="N62" i="85" s="1"/>
  <c r="K62" i="85"/>
  <c r="M68" i="85"/>
  <c r="N68" i="85" s="1"/>
  <c r="K68" i="85"/>
  <c r="M67" i="85"/>
  <c r="N67" i="85" s="1"/>
  <c r="K67" i="85"/>
  <c r="K51" i="85"/>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J66" i="85" l="1"/>
  <c r="D66" i="85"/>
  <c r="J68" i="85"/>
  <c r="D68" i="85"/>
  <c r="J62" i="85"/>
  <c r="D62" i="85"/>
  <c r="J63" i="85"/>
  <c r="D63" i="85"/>
  <c r="J65" i="85"/>
  <c r="D65" i="85"/>
  <c r="J67" i="85"/>
  <c r="D67" i="85"/>
  <c r="J61" i="85"/>
  <c r="D61" i="85"/>
  <c r="J64" i="85"/>
  <c r="D64" i="85"/>
  <c r="E61" i="85" s="1"/>
  <c r="B59" i="85" s="1"/>
  <c r="D56" i="85"/>
  <c r="J56" i="85"/>
  <c r="D52" i="85"/>
  <c r="J52" i="85"/>
  <c r="D57" i="85"/>
  <c r="J57" i="85"/>
  <c r="D55" i="85"/>
  <c r="J55" i="85"/>
  <c r="J53" i="85"/>
  <c r="D53" i="85"/>
  <c r="D51" i="85"/>
  <c r="E50" i="85" s="1"/>
  <c r="B48" i="85" s="1"/>
  <c r="J51" i="85"/>
  <c r="AB32" i="79"/>
  <c r="AA32" i="79"/>
  <c r="Z32" i="79"/>
  <c r="N32" i="79"/>
  <c r="M32" i="79"/>
  <c r="P32" i="79" s="1"/>
  <c r="L32" i="79"/>
  <c r="I32" i="79"/>
  <c r="AC7" i="79"/>
  <c r="AB7" i="79"/>
  <c r="AA7" i="79"/>
  <c r="AD7" i="79" s="1"/>
  <c r="Z7" i="79"/>
  <c r="Y7" i="79"/>
  <c r="O7" i="79"/>
  <c r="N7" i="79"/>
  <c r="M7" i="79"/>
  <c r="P7" i="79" s="1"/>
  <c r="L7" i="79"/>
  <c r="K7" i="79"/>
  <c r="I7" i="79"/>
  <c r="C28" i="85"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28" i="79" l="1"/>
  <c r="E21" i="85"/>
  <c r="S17"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C67" i="71" s="1"/>
  <c r="B68" i="71"/>
  <c r="S68" i="71" s="1"/>
  <c r="D65" i="71"/>
  <c r="Q64" i="71"/>
  <c r="P64" i="71"/>
  <c r="O64" i="71"/>
  <c r="N64" i="71"/>
  <c r="Q63" i="71"/>
  <c r="P63" i="71"/>
  <c r="O63" i="71"/>
  <c r="N63" i="71"/>
  <c r="Q62" i="71"/>
  <c r="P62" i="71"/>
  <c r="O62" i="71"/>
  <c r="N62" i="71"/>
  <c r="Q61" i="71"/>
  <c r="F62" i="71" s="1"/>
  <c r="P61" i="71"/>
  <c r="E62" i="71" s="1"/>
  <c r="O61" i="71"/>
  <c r="C62" i="71" s="1"/>
  <c r="N61" i="71"/>
  <c r="B62" i="71" s="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Q37" i="71"/>
  <c r="P37" i="71"/>
  <c r="O37" i="71"/>
  <c r="Y37" i="71" s="1"/>
  <c r="Z37" i="71" s="1"/>
  <c r="N37" i="71"/>
  <c r="B38"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9" i="71"/>
  <c r="B40" i="71" s="1"/>
  <c r="S40" i="71" s="1"/>
  <c r="E38" i="71"/>
  <c r="C38" i="71"/>
  <c r="D38" i="71" s="1"/>
  <c r="X38" i="71"/>
  <c r="B28" i="71"/>
  <c r="B27" i="71" s="1"/>
  <c r="B26" i="71" s="1"/>
  <c r="P28" i="71"/>
  <c r="E28" i="71" s="1"/>
  <c r="U68" i="71"/>
  <c r="E67" i="71"/>
  <c r="E66" i="71" s="1"/>
  <c r="P65" i="71" s="1"/>
  <c r="Q28" i="71"/>
  <c r="D58" i="71"/>
  <c r="D62" i="71"/>
  <c r="D68" i="71"/>
  <c r="Q68" i="71"/>
  <c r="E71" i="71"/>
  <c r="E70" i="71" s="1"/>
  <c r="D72" i="71"/>
  <c r="E75" i="71"/>
  <c r="E74" i="71" s="1"/>
  <c r="E79" i="71"/>
  <c r="E78" i="71" s="1"/>
  <c r="D80" i="71"/>
  <c r="C87" i="71"/>
  <c r="C86" i="71" s="1"/>
  <c r="D86" i="71" s="1"/>
  <c r="F28" i="71"/>
  <c r="F27" i="71" s="1"/>
  <c r="F26" i="71" s="1"/>
  <c r="AB2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E83" i="21"/>
  <c r="F83" i="21" s="1"/>
  <c r="G83" i="21" s="1"/>
  <c r="H1" i="69"/>
  <c r="U25" i="40"/>
  <c r="S21" i="37"/>
  <c r="U21" i="34"/>
  <c r="W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A50" i="3" s="1"/>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I24" i="85" s="1"/>
  <c r="C24" i="85"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J35" i="35" s="1"/>
  <c r="AC35" i="35" s="1"/>
  <c r="B97" i="35"/>
  <c r="H34" i="35" s="1"/>
  <c r="AB34" i="35" s="1"/>
  <c r="B77" i="35"/>
  <c r="B75" i="35"/>
  <c r="J24" i="35" s="1"/>
  <c r="AC24" i="35" s="1"/>
  <c r="B73" i="35"/>
  <c r="B57" i="35"/>
  <c r="B61" i="35"/>
  <c r="B59" i="35"/>
  <c r="J12" i="35" s="1"/>
  <c r="W12" i="35" s="1"/>
  <c r="B131" i="34"/>
  <c r="B129" i="34"/>
  <c r="F46" i="34" s="1"/>
  <c r="B127" i="34"/>
  <c r="B99" i="34"/>
  <c r="J32" i="34" s="1"/>
  <c r="W32" i="34" s="1"/>
  <c r="B97" i="34"/>
  <c r="J31" i="34" s="1"/>
  <c r="AC31" i="34" s="1"/>
  <c r="B95" i="34"/>
  <c r="B93" i="34"/>
  <c r="J29" i="34" s="1"/>
  <c r="B75" i="34"/>
  <c r="B73" i="34"/>
  <c r="B71" i="34"/>
  <c r="F12" i="34" s="1"/>
  <c r="S12" i="34" s="1"/>
  <c r="B130" i="33"/>
  <c r="B128" i="33"/>
  <c r="H45" i="33" s="1"/>
  <c r="B126" i="33"/>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B79" i="43"/>
  <c r="C18" i="20"/>
  <c r="C17" i="20"/>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s="1"/>
  <c r="B96" i="21"/>
  <c r="F30" i="21" s="1"/>
  <c r="S30" i="21" s="1"/>
  <c r="B94" i="21"/>
  <c r="B92" i="21"/>
  <c r="J28" i="21" s="1"/>
  <c r="W28" i="21" s="1"/>
  <c r="B90" i="21"/>
  <c r="J27" i="21" s="1"/>
  <c r="W27" i="21" s="1"/>
  <c r="B74" i="21"/>
  <c r="J14" i="21" s="1"/>
  <c r="W14" i="21" s="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H36" i="39"/>
  <c r="AB36" i="39" s="1"/>
  <c r="J35" i="39"/>
  <c r="AC35"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S31" i="35"/>
  <c r="U34" i="35"/>
  <c r="F36" i="34"/>
  <c r="S36" i="34" s="1"/>
  <c r="J35" i="34"/>
  <c r="AC35" i="34" s="1"/>
  <c r="H39" i="33"/>
  <c r="AB39" i="33"/>
  <c r="U33" i="33"/>
  <c r="S40" i="33"/>
  <c r="W33" i="33"/>
  <c r="H39" i="37"/>
  <c r="AB39" i="37" s="1"/>
  <c r="F11" i="40"/>
  <c r="AA11" i="40" s="1"/>
  <c r="H11" i="40"/>
  <c r="AB11" i="40" s="1"/>
  <c r="W8" i="40"/>
  <c r="AA9" i="40"/>
  <c r="F42" i="39"/>
  <c r="AA42"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J23" i="40"/>
  <c r="AC23" i="40" s="1"/>
  <c r="F21" i="40"/>
  <c r="AA21" i="40" s="1"/>
  <c r="J21" i="40"/>
  <c r="AC21" i="40" s="1"/>
  <c r="H42" i="39"/>
  <c r="AB42" i="39" s="1"/>
  <c r="J34" i="39"/>
  <c r="AC34" i="39" s="1"/>
  <c r="J31" i="39"/>
  <c r="W31" i="39" s="1"/>
  <c r="J19" i="39"/>
  <c r="AC19" i="39" s="1"/>
  <c r="J27" i="39"/>
  <c r="AC27" i="39" s="1"/>
  <c r="F27" i="39"/>
  <c r="S27" i="39" s="1"/>
  <c r="F11" i="21"/>
  <c r="S11" i="21" s="1"/>
  <c r="H32" i="33"/>
  <c r="AB32" i="33" s="1"/>
  <c r="H11" i="21"/>
  <c r="U11" i="21" s="1"/>
  <c r="J11" i="21"/>
  <c r="W11" i="21" s="1"/>
  <c r="H37" i="40"/>
  <c r="U37" i="40" s="1"/>
  <c r="H36" i="40"/>
  <c r="AB36" i="40" s="1"/>
  <c r="F35" i="40"/>
  <c r="AA35" i="40" s="1"/>
  <c r="H23" i="40"/>
  <c r="AB23" i="40" s="1"/>
  <c r="H17" i="40"/>
  <c r="U17" i="40" s="1"/>
  <c r="J15" i="40"/>
  <c r="W15" i="40" s="1"/>
  <c r="J11" i="40"/>
  <c r="W11" i="40"/>
  <c r="F37" i="39"/>
  <c r="AA37" i="39" s="1"/>
  <c r="J34" i="36"/>
  <c r="W34" i="36" s="1"/>
  <c r="U30" i="36"/>
  <c r="J30" i="35"/>
  <c r="W30" i="35" s="1"/>
  <c r="H30" i="35"/>
  <c r="AB30" i="35" s="1"/>
  <c r="F22" i="35"/>
  <c r="AA22" i="35" s="1"/>
  <c r="H10" i="35"/>
  <c r="U10" i="35" s="1"/>
  <c r="W30" i="36"/>
  <c r="H16" i="36"/>
  <c r="AB16" i="36" s="1"/>
  <c r="J29" i="36"/>
  <c r="AC29" i="36" s="1"/>
  <c r="F34" i="36"/>
  <c r="S34" i="36" s="1"/>
  <c r="F14" i="35"/>
  <c r="AA14" i="35" s="1"/>
  <c r="J32" i="35"/>
  <c r="AC32" i="35" s="1"/>
  <c r="J16" i="35"/>
  <c r="AC16" i="35" s="1"/>
  <c r="H16" i="35"/>
  <c r="U16" i="35" s="1"/>
  <c r="F16" i="35"/>
  <c r="S16" i="35" s="1"/>
  <c r="H14" i="35"/>
  <c r="AB14" i="35" s="1"/>
  <c r="J29" i="35"/>
  <c r="H33" i="35"/>
  <c r="J20" i="35"/>
  <c r="W20" i="35"/>
  <c r="F35" i="37"/>
  <c r="S35" i="37" s="1"/>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17" i="34"/>
  <c r="U17" i="34" s="1"/>
  <c r="J28" i="34"/>
  <c r="W28" i="34" s="1"/>
  <c r="F41" i="33"/>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A34" i="37"/>
  <c r="J40" i="34"/>
  <c r="AC40" i="34" s="1"/>
  <c r="H38" i="34"/>
  <c r="AB38" i="34" s="1"/>
  <c r="J36" i="34"/>
  <c r="W36"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s="1"/>
  <c r="AA29" i="35"/>
  <c r="S42" i="34"/>
  <c r="AC38" i="34"/>
  <c r="AA38" i="34"/>
  <c r="J11" i="33"/>
  <c r="W11" i="33" s="1"/>
  <c r="I123" i="21"/>
  <c r="J123" i="21" s="1"/>
  <c r="K123" i="21" s="1"/>
  <c r="L123" i="21" s="1"/>
  <c r="M123" i="21" s="1"/>
  <c r="J42" i="21"/>
  <c r="AC42" i="21"/>
  <c r="H42" i="21"/>
  <c r="U42" i="21" s="1"/>
  <c r="J44" i="34"/>
  <c r="AC44" i="34" s="1"/>
  <c r="F44" i="34"/>
  <c r="S44" i="34" s="1"/>
  <c r="J10" i="35"/>
  <c r="AC10" i="35" s="1"/>
  <c r="F14" i="21"/>
  <c r="S14" i="21" s="1"/>
  <c r="H14" i="21"/>
  <c r="U14" i="21" s="1"/>
  <c r="H28" i="21"/>
  <c r="AB28" i="21" s="1"/>
  <c r="F28" i="21"/>
  <c r="AA28" i="21"/>
  <c r="H30" i="21"/>
  <c r="U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F45" i="21"/>
  <c r="AA45" i="21" s="1"/>
  <c r="F27" i="33"/>
  <c r="S27" i="33" s="1"/>
  <c r="J13" i="33"/>
  <c r="H13" i="33"/>
  <c r="U13" i="33" s="1"/>
  <c r="F13" i="33"/>
  <c r="S13" i="33" s="1"/>
  <c r="H29" i="33"/>
  <c r="U29" i="33" s="1"/>
  <c r="F29" i="33"/>
  <c r="S29" i="33" s="1"/>
  <c r="J31" i="33"/>
  <c r="W31" i="33" s="1"/>
  <c r="H31" i="33"/>
  <c r="F31" i="33"/>
  <c r="H14" i="34"/>
  <c r="H30" i="34"/>
  <c r="U30" i="34" s="1"/>
  <c r="F30" i="34"/>
  <c r="S30" i="34" s="1"/>
  <c r="J30" i="34"/>
  <c r="H46" i="34"/>
  <c r="AB46" i="34" s="1"/>
  <c r="H11" i="35"/>
  <c r="AB11" i="35" s="1"/>
  <c r="J11" i="35"/>
  <c r="W11" i="35" s="1"/>
  <c r="F11" i="35"/>
  <c r="S11" i="35" s="1"/>
  <c r="J26" i="36"/>
  <c r="W26" i="36" s="1"/>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c r="F40" i="37"/>
  <c r="AA40" i="37" s="1"/>
  <c r="H14" i="33"/>
  <c r="U14" i="33" s="1"/>
  <c r="F14" i="33"/>
  <c r="S14" i="33" s="1"/>
  <c r="J14" i="33"/>
  <c r="H30" i="33"/>
  <c r="AB30" i="33" s="1"/>
  <c r="F30" i="33"/>
  <c r="J30" i="33"/>
  <c r="H44" i="33"/>
  <c r="J44" i="33"/>
  <c r="AC44" i="33" s="1"/>
  <c r="F44" i="33"/>
  <c r="S44" i="33" s="1"/>
  <c r="J46" i="33"/>
  <c r="AC46" i="33"/>
  <c r="F46" i="33"/>
  <c r="AA46" i="33" s="1"/>
  <c r="H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F35" i="35"/>
  <c r="AA35" i="35" s="1"/>
  <c r="H35" i="35"/>
  <c r="J25" i="36"/>
  <c r="W25" i="36" s="1"/>
  <c r="F25" i="36"/>
  <c r="S25" i="36" s="1"/>
  <c r="H25" i="36"/>
  <c r="AB25" i="36" s="1"/>
  <c r="H13" i="37"/>
  <c r="AB13" i="37" s="1"/>
  <c r="F13" i="37"/>
  <c r="S13" i="37"/>
  <c r="J13" i="37"/>
  <c r="W13" i="37" s="1"/>
  <c r="H38" i="37"/>
  <c r="AB38" i="37" s="1"/>
  <c r="J38" i="37"/>
  <c r="AC38" i="37" s="1"/>
  <c r="F38" i="37"/>
  <c r="S38" i="37" s="1"/>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AA14" i="40" s="1"/>
  <c r="J14" i="37"/>
  <c r="J27" i="37"/>
  <c r="AC27" i="37" s="1"/>
  <c r="AA44" i="33"/>
  <c r="J36" i="37"/>
  <c r="AC36" i="37" s="1"/>
  <c r="J10" i="36"/>
  <c r="AC10" i="36" s="1"/>
  <c r="AB26" i="33"/>
  <c r="AB30" i="21"/>
  <c r="AC28" i="21"/>
  <c r="BA585" i="3"/>
  <c r="F17" i="21"/>
  <c r="AA17" i="21" s="1"/>
  <c r="H17" i="21"/>
  <c r="AB17" i="21" s="1"/>
  <c r="F15" i="21"/>
  <c r="S15" i="21" s="1"/>
  <c r="J41" i="39"/>
  <c r="W41" i="39" s="1"/>
  <c r="U36" i="39"/>
  <c r="S35" i="39"/>
  <c r="G544" i="3"/>
  <c r="G540" i="3"/>
  <c r="G536" i="3"/>
  <c r="G535" i="3"/>
  <c r="G531" i="3"/>
  <c r="G528" i="3"/>
  <c r="G527" i="3"/>
  <c r="G523" i="3"/>
  <c r="G514" i="3"/>
  <c r="G510" i="3"/>
  <c r="G508" i="3"/>
  <c r="G504" i="3"/>
  <c r="G500" i="3"/>
  <c r="G496" i="3"/>
  <c r="G580" i="3"/>
  <c r="G576" i="3"/>
  <c r="G572" i="3"/>
  <c r="G564" i="3"/>
  <c r="G560" i="3"/>
  <c r="G554" i="3"/>
  <c r="BL584" i="3"/>
  <c r="BL580" i="3"/>
  <c r="BL576" i="3"/>
  <c r="BL568" i="3"/>
  <c r="BL564" i="3"/>
  <c r="BL560" i="3"/>
  <c r="BL538" i="3"/>
  <c r="BL530" i="3"/>
  <c r="BL494" i="3"/>
  <c r="BL582" i="3"/>
  <c r="BL578" i="3"/>
  <c r="BL570" i="3"/>
  <c r="BL566" i="3"/>
  <c r="BL562" i="3"/>
  <c r="G533" i="3"/>
  <c r="BL532" i="3"/>
  <c r="G529" i="3"/>
  <c r="BL504" i="3"/>
  <c r="BL500" i="3"/>
  <c r="G493" i="3"/>
  <c r="BA584" i="3"/>
  <c r="BA582" i="3"/>
  <c r="BA578" i="3"/>
  <c r="BA576" i="3"/>
  <c r="BA574" i="3"/>
  <c r="BA570" i="3"/>
  <c r="AZ570" i="3" s="1"/>
  <c r="BA568" i="3"/>
  <c r="AZ568" i="3" s="1"/>
  <c r="BA566" i="3"/>
  <c r="BA562" i="3"/>
  <c r="BA560" i="3"/>
  <c r="AZ560" i="3" s="1"/>
  <c r="BA558" i="3"/>
  <c r="BA556" i="3"/>
  <c r="BA536" i="3"/>
  <c r="BA532" i="3"/>
  <c r="AZ532" i="3" s="1"/>
  <c r="BA516" i="3"/>
  <c r="BA514" i="3"/>
  <c r="BA512" i="3"/>
  <c r="BA502" i="3"/>
  <c r="BA498" i="3"/>
  <c r="BA496" i="3"/>
  <c r="BA583" i="3"/>
  <c r="BA581" i="3"/>
  <c r="BA579" i="3"/>
  <c r="BA575" i="3"/>
  <c r="BA573" i="3"/>
  <c r="BA571" i="3"/>
  <c r="BA567" i="3"/>
  <c r="BA565" i="3"/>
  <c r="BA563" i="3"/>
  <c r="BA559" i="3"/>
  <c r="BA545" i="3"/>
  <c r="BA543" i="3"/>
  <c r="BA523" i="3"/>
  <c r="BA519" i="3"/>
  <c r="BA501" i="3"/>
  <c r="BA499" i="3"/>
  <c r="BA495" i="3"/>
  <c r="G583" i="3"/>
  <c r="G581" i="3"/>
  <c r="G579" i="3"/>
  <c r="G577" i="3"/>
  <c r="G575" i="3"/>
  <c r="G573" i="3"/>
  <c r="G571" i="3"/>
  <c r="G569" i="3"/>
  <c r="G567" i="3"/>
  <c r="G565" i="3"/>
  <c r="G563" i="3"/>
  <c r="G561" i="3"/>
  <c r="BL558" i="3"/>
  <c r="AC557" i="3"/>
  <c r="G557" i="3" s="1"/>
  <c r="BQ557" i="3"/>
  <c r="BL557" i="3" s="1"/>
  <c r="BQ583" i="3"/>
  <c r="BL583" i="3" s="1"/>
  <c r="BQ581" i="3"/>
  <c r="BL581" i="3"/>
  <c r="BQ579" i="3"/>
  <c r="BL579" i="3"/>
  <c r="BQ577" i="3"/>
  <c r="BQ575" i="3"/>
  <c r="BL575" i="3" s="1"/>
  <c r="BQ573" i="3"/>
  <c r="BL573" i="3" s="1"/>
  <c r="BQ571" i="3"/>
  <c r="BQ569" i="3"/>
  <c r="BL569" i="3" s="1"/>
  <c r="BQ567" i="3"/>
  <c r="BL567" i="3" s="1"/>
  <c r="BQ565" i="3"/>
  <c r="BL565" i="3" s="1"/>
  <c r="BQ563" i="3"/>
  <c r="BL563" i="3" s="1"/>
  <c r="AZ563" i="3" s="1"/>
  <c r="BQ561" i="3"/>
  <c r="BL561" i="3" s="1"/>
  <c r="BQ559" i="3"/>
  <c r="G559" i="3"/>
  <c r="G555" i="3"/>
  <c r="G553" i="3"/>
  <c r="G549" i="3"/>
  <c r="G547" i="3"/>
  <c r="G545" i="3"/>
  <c r="G539" i="3"/>
  <c r="G537" i="3"/>
  <c r="BQ555" i="3"/>
  <c r="BQ553" i="3"/>
  <c r="BQ551" i="3"/>
  <c r="BQ549" i="3"/>
  <c r="BL549" i="3" s="1"/>
  <c r="BQ547" i="3"/>
  <c r="BL547" i="3" s="1"/>
  <c r="BQ545" i="3"/>
  <c r="BQ543" i="3"/>
  <c r="BQ541" i="3"/>
  <c r="BQ539" i="3"/>
  <c r="BQ537" i="3"/>
  <c r="BL537" i="3" s="1"/>
  <c r="BQ535" i="3"/>
  <c r="BQ533" i="3"/>
  <c r="BQ531" i="3"/>
  <c r="BL531" i="3" s="1"/>
  <c r="BQ529" i="3"/>
  <c r="BQ527" i="3"/>
  <c r="BQ525" i="3"/>
  <c r="BL525" i="3" s="1"/>
  <c r="BQ523" i="3"/>
  <c r="AC521" i="3"/>
  <c r="G521" i="3"/>
  <c r="BQ521" i="3"/>
  <c r="BL521" i="3"/>
  <c r="BL520" i="3"/>
  <c r="G519" i="3"/>
  <c r="G517" i="3"/>
  <c r="G515" i="3"/>
  <c r="BQ519" i="3"/>
  <c r="BL519" i="3" s="1"/>
  <c r="BQ517" i="3"/>
  <c r="BL517" i="3" s="1"/>
  <c r="BQ515" i="3"/>
  <c r="BQ513" i="3"/>
  <c r="BL513" i="3" s="1"/>
  <c r="BQ511" i="3"/>
  <c r="AC509" i="3"/>
  <c r="BQ509" i="3"/>
  <c r="BL509" i="3"/>
  <c r="G507" i="3"/>
  <c r="G505" i="3"/>
  <c r="G503" i="3"/>
  <c r="G501" i="3"/>
  <c r="G497" i="3"/>
  <c r="G495" i="3"/>
  <c r="BQ507" i="3"/>
  <c r="BQ505" i="3"/>
  <c r="BQ503" i="3"/>
  <c r="BL503" i="3" s="1"/>
  <c r="BQ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S36" i="37" s="1"/>
  <c r="F37" i="37"/>
  <c r="AA37" i="37"/>
  <c r="F31" i="40"/>
  <c r="AA31" i="40"/>
  <c r="H31" i="40"/>
  <c r="U31" i="40" s="1"/>
  <c r="F32" i="40"/>
  <c r="S32" i="40" s="1"/>
  <c r="H32" i="40"/>
  <c r="AB32" i="40" s="1"/>
  <c r="J36" i="40"/>
  <c r="W36" i="40" s="1"/>
  <c r="H19" i="37"/>
  <c r="AB19" i="37" s="1"/>
  <c r="H42" i="33"/>
  <c r="AB42" i="33" s="1"/>
  <c r="J43" i="33"/>
  <c r="AC43" i="33" s="1"/>
  <c r="S28" i="31"/>
  <c r="S27" i="31"/>
  <c r="S26" i="31"/>
  <c r="U14" i="40"/>
  <c r="U39" i="37"/>
  <c r="U26" i="37"/>
  <c r="AA13" i="33"/>
  <c r="AC31" i="33"/>
  <c r="U11" i="33"/>
  <c r="U19" i="21"/>
  <c r="W44" i="21"/>
  <c r="F43" i="33"/>
  <c r="AA43" i="33" s="1"/>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AC43" i="39"/>
  <c r="W43"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BL374" i="3"/>
  <c r="G375" i="3"/>
  <c r="BA377" i="3"/>
  <c r="AZ377" i="3" s="1"/>
  <c r="BA379" i="3"/>
  <c r="AZ379" i="3" s="1"/>
  <c r="BL380" i="3"/>
  <c r="G381" i="3"/>
  <c r="BA383" i="3"/>
  <c r="BL384" i="3"/>
  <c r="G385" i="3"/>
  <c r="BA387" i="3"/>
  <c r="AZ387" i="3" s="1"/>
  <c r="BL388" i="3"/>
  <c r="AZ388" i="3" s="1"/>
  <c r="G389" i="3"/>
  <c r="BA391" i="3"/>
  <c r="BL392" i="3"/>
  <c r="G393" i="3"/>
  <c r="BD5" i="3"/>
  <c r="G538" i="3"/>
  <c r="G520" i="3"/>
  <c r="G502" i="3"/>
  <c r="BS5" i="3"/>
  <c r="BP5" i="3"/>
  <c r="BI5" i="3"/>
  <c r="BG5" i="3"/>
  <c r="G17" i="3"/>
  <c r="BA17" i="3"/>
  <c r="BT5" i="3"/>
  <c r="BA15" i="3"/>
  <c r="BR5" i="3"/>
  <c r="G509" i="3"/>
  <c r="BL493" i="3"/>
  <c r="U36" i="40"/>
  <c r="F83" i="43"/>
  <c r="H85" i="43" s="1"/>
  <c r="F50" i="43"/>
  <c r="H54" i="43" s="1"/>
  <c r="G54" i="43" s="1"/>
  <c r="F72" i="43"/>
  <c r="H75" i="43" s="1"/>
  <c r="S14" i="35"/>
  <c r="U43" i="21"/>
  <c r="U35" i="21"/>
  <c r="AC35" i="21"/>
  <c r="G10" i="1"/>
  <c r="W37" i="37"/>
  <c r="S15" i="37"/>
  <c r="U13" i="37"/>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S20" i="35" s="1"/>
  <c r="AB29" i="36"/>
  <c r="U29" i="36"/>
  <c r="H32" i="37"/>
  <c r="AB32" i="37" s="1"/>
  <c r="F96" i="37"/>
  <c r="G96" i="37" s="1"/>
  <c r="H96" i="37" s="1"/>
  <c r="I96" i="37" s="1"/>
  <c r="J96" i="37" s="1"/>
  <c r="K96" i="37" s="1"/>
  <c r="L96" i="37" s="1"/>
  <c r="M96" i="37" s="1"/>
  <c r="H27" i="40"/>
  <c r="J27" i="40"/>
  <c r="AC27" i="40" s="1"/>
  <c r="F27" i="40"/>
  <c r="J30" i="40"/>
  <c r="AC30" i="40" s="1"/>
  <c r="F30"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F23" i="39"/>
  <c r="AA23" i="39" s="1"/>
  <c r="H27" i="36"/>
  <c r="U27" i="36" s="1"/>
  <c r="F27" i="36"/>
  <c r="AA27" i="36" s="1"/>
  <c r="H33" i="34"/>
  <c r="U33" i="34" s="1"/>
  <c r="F32" i="37"/>
  <c r="S32" i="37" s="1"/>
  <c r="F20" i="36"/>
  <c r="AA20" i="36" s="1"/>
  <c r="J33" i="34"/>
  <c r="AC33" i="34" s="1"/>
  <c r="H23" i="39"/>
  <c r="U23" i="39" s="1"/>
  <c r="K9" i="1"/>
  <c r="M9" i="1" s="1"/>
  <c r="D93" i="9"/>
  <c r="W27" i="34"/>
  <c r="AB34" i="36"/>
  <c r="U34" i="36"/>
  <c r="AC12" i="39"/>
  <c r="W12" i="39"/>
  <c r="AC39" i="40"/>
  <c r="W39" i="40"/>
  <c r="W12" i="33"/>
  <c r="AC12" i="33"/>
  <c r="U30" i="33"/>
  <c r="AC13" i="34"/>
  <c r="AA47" i="34"/>
  <c r="S19" i="39"/>
  <c r="F12" i="33"/>
  <c r="AA12" i="33" s="1"/>
  <c r="H12" i="39"/>
  <c r="F39" i="40"/>
  <c r="B12" i="1"/>
  <c r="E12" i="1" s="1"/>
  <c r="B10" i="1"/>
  <c r="E10" i="1" s="1"/>
  <c r="K12" i="1"/>
  <c r="M12" i="1" s="1"/>
  <c r="S13" i="1"/>
  <c r="AR13" i="1" s="1"/>
  <c r="R13" i="1"/>
  <c r="J51" i="67"/>
  <c r="B41" i="1"/>
  <c r="AB37" i="40"/>
  <c r="S35" i="40"/>
  <c r="U35" i="40"/>
  <c r="AC36" i="40"/>
  <c r="W38" i="40"/>
  <c r="AA32" i="40"/>
  <c r="S17" i="40"/>
  <c r="S23" i="40"/>
  <c r="AC17" i="40"/>
  <c r="AC15" i="40"/>
  <c r="AA19" i="40"/>
  <c r="S28"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W30" i="37"/>
  <c r="AA38"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W41" i="34"/>
  <c r="AC42" i="34"/>
  <c r="AB41" i="34"/>
  <c r="U28" i="34"/>
  <c r="H10" i="34"/>
  <c r="AB10" i="34" s="1"/>
  <c r="F11" i="34"/>
  <c r="S11" i="34" s="1"/>
  <c r="W42"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S43" i="33"/>
  <c r="F91" i="33"/>
  <c r="H27" i="33"/>
  <c r="U27" i="33" s="1"/>
  <c r="F87" i="33"/>
  <c r="G87" i="33" s="1"/>
  <c r="H87" i="33" s="1"/>
  <c r="H25" i="33"/>
  <c r="F25" i="33"/>
  <c r="AA25" i="33" s="1"/>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c r="E85" i="21"/>
  <c r="F85" i="21" s="1"/>
  <c r="G85" i="21" s="1"/>
  <c r="D120" i="9"/>
  <c r="D121" i="9" s="1"/>
  <c r="D7" i="52" s="1"/>
  <c r="F34" i="67"/>
  <c r="F62" i="67" s="1"/>
  <c r="M20" i="67"/>
  <c r="F34" i="15"/>
  <c r="F62" i="15" s="1"/>
  <c r="G13" i="3"/>
  <c r="BL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4" i="39"/>
  <c r="U43" i="39"/>
  <c r="AB43" i="39"/>
  <c r="AC31" i="39"/>
  <c r="AB39" i="39"/>
  <c r="W34" i="39"/>
  <c r="U38" i="39"/>
  <c r="S20" i="36"/>
  <c r="AC25"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U19" i="37"/>
  <c r="AA29" i="37"/>
  <c r="U8" i="37"/>
  <c r="AB40" i="34"/>
  <c r="AA30" i="34"/>
  <c r="AB36" i="34"/>
  <c r="AA36" i="34"/>
  <c r="U14" i="34"/>
  <c r="AB14"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F54" i="9"/>
  <c r="J32" i="39"/>
  <c r="AC32" i="39" s="1"/>
  <c r="H32" i="39"/>
  <c r="AB32" i="39" s="1"/>
  <c r="AA32"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S25" i="33"/>
  <c r="I87" i="33"/>
  <c r="J87" i="33" s="1"/>
  <c r="K87" i="33" s="1"/>
  <c r="L87" i="33" s="1"/>
  <c r="M87" i="33" s="1"/>
  <c r="J25" i="33"/>
  <c r="W25" i="33" s="1"/>
  <c r="F23" i="33"/>
  <c r="H19" i="33"/>
  <c r="AB19" i="33" s="1"/>
  <c r="G81" i="33"/>
  <c r="H17" i="33"/>
  <c r="U17" i="33" s="1"/>
  <c r="F17" i="33"/>
  <c r="S17" i="33" s="1"/>
  <c r="AC17" i="33"/>
  <c r="AA23" i="21"/>
  <c r="J23" i="21"/>
  <c r="W23" i="21" s="1"/>
  <c r="H23" i="21"/>
  <c r="U23" i="21" s="1"/>
  <c r="S13" i="21"/>
  <c r="D6" i="52"/>
  <c r="AP7" i="1"/>
  <c r="U9" i="21"/>
  <c r="AC9" i="21"/>
  <c r="J11" i="37"/>
  <c r="AC11" i="37" s="1"/>
  <c r="J11" i="34"/>
  <c r="W11" i="34" s="1"/>
  <c r="AC27" i="33"/>
  <c r="U19" i="33"/>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E12" i="76"/>
  <c r="B10" i="76"/>
  <c r="F8" i="15"/>
  <c r="E2" i="68"/>
  <c r="AO13" i="1"/>
  <c r="F9" i="67"/>
  <c r="F26" i="15"/>
  <c r="M23" i="67"/>
  <c r="B11" i="76"/>
  <c r="E10" i="76"/>
  <c r="M28" i="15"/>
  <c r="B12" i="76"/>
  <c r="B9" i="76"/>
  <c r="F40" i="15"/>
  <c r="F38" i="15"/>
  <c r="M8" i="15"/>
  <c r="F6" i="15"/>
  <c r="F20" i="31"/>
  <c r="F43" i="15"/>
  <c r="M24" i="15"/>
  <c r="M29" i="15"/>
  <c r="F36" i="15"/>
  <c r="F7" i="73"/>
  <c r="F42" i="15"/>
  <c r="E8" i="76"/>
  <c r="F6" i="73"/>
  <c r="E9" i="76"/>
  <c r="M23" i="15"/>
  <c r="M6" i="15"/>
  <c r="F13" i="15"/>
  <c r="F7" i="15"/>
  <c r="L47" i="15"/>
  <c r="F5" i="73"/>
  <c r="M26" i="15"/>
  <c r="E13" i="76"/>
  <c r="M9" i="15"/>
  <c r="E2" i="69"/>
  <c r="F4" i="73"/>
  <c r="B13" i="76"/>
  <c r="C76" i="15"/>
  <c r="L48" i="67"/>
  <c r="F26" i="67"/>
  <c r="M22" i="15"/>
  <c r="F9" i="15"/>
  <c r="J15" i="15"/>
  <c r="E11" i="76"/>
  <c r="F43" i="67"/>
  <c r="F16" i="15"/>
  <c r="F3" i="73"/>
  <c r="F37" i="15"/>
  <c r="J43" i="34" l="1"/>
  <c r="AC43" i="34" s="1"/>
  <c r="J37" i="34"/>
  <c r="AC37" i="34" s="1"/>
  <c r="H37" i="34"/>
  <c r="U37" i="34" s="1"/>
  <c r="F37" i="34"/>
  <c r="AA37" i="34" s="1"/>
  <c r="C18" i="9"/>
  <c r="D18" i="9" s="1"/>
  <c r="U15" i="21"/>
  <c r="W15" i="21"/>
  <c r="AZ17" i="3"/>
  <c r="AZ392" i="3"/>
  <c r="AC32" i="40"/>
  <c r="W32" i="40"/>
  <c r="AB38" i="40"/>
  <c r="U38" i="40"/>
  <c r="AA35" i="33"/>
  <c r="U20" i="35"/>
  <c r="AZ318" i="3"/>
  <c r="AZ360" i="3"/>
  <c r="AB31" i="35"/>
  <c r="U31" i="35"/>
  <c r="AC25" i="33"/>
  <c r="AZ389" i="3"/>
  <c r="AZ509" i="3"/>
  <c r="AZ584" i="3"/>
  <c r="AA34" i="39"/>
  <c r="S34" i="39"/>
  <c r="AB20" i="36"/>
  <c r="AZ373" i="3"/>
  <c r="AZ331" i="3"/>
  <c r="AZ326" i="3"/>
  <c r="AZ351" i="3"/>
  <c r="AZ525" i="3"/>
  <c r="AZ499" i="3"/>
  <c r="AZ565" i="3"/>
  <c r="AZ566" i="3"/>
  <c r="S11" i="36"/>
  <c r="S14" i="37"/>
  <c r="AB35" i="33"/>
  <c r="F38" i="40"/>
  <c r="G556" i="3"/>
  <c r="BA407" i="3"/>
  <c r="BL409" i="3"/>
  <c r="G410" i="3"/>
  <c r="G414" i="3"/>
  <c r="BA419" i="3"/>
  <c r="BA444" i="3"/>
  <c r="BL458" i="3"/>
  <c r="G466" i="3"/>
  <c r="G470" i="3"/>
  <c r="G474" i="3"/>
  <c r="G478" i="3"/>
  <c r="G490" i="3"/>
  <c r="BL316" i="3"/>
  <c r="G384" i="3"/>
  <c r="BA392" i="3"/>
  <c r="G397" i="3"/>
  <c r="G232" i="3"/>
  <c r="G236" i="3"/>
  <c r="BL252" i="3"/>
  <c r="BA254" i="3"/>
  <c r="AZ254" i="3" s="1"/>
  <c r="G256" i="3"/>
  <c r="G260" i="3"/>
  <c r="G134" i="3"/>
  <c r="BA148" i="3"/>
  <c r="AZ148" i="3" s="1"/>
  <c r="G151" i="3"/>
  <c r="G163" i="3"/>
  <c r="BL181" i="3"/>
  <c r="G183" i="3"/>
  <c r="G187" i="3"/>
  <c r="BL195" i="3"/>
  <c r="AZ195" i="3" s="1"/>
  <c r="G204" i="3"/>
  <c r="G18" i="3"/>
  <c r="G26" i="3"/>
  <c r="G63" i="3"/>
  <c r="BA67" i="3"/>
  <c r="BL67" i="3"/>
  <c r="G69" i="3"/>
  <c r="G73" i="3"/>
  <c r="G83" i="3"/>
  <c r="BL110" i="3"/>
  <c r="G111" i="3"/>
  <c r="K13" i="1"/>
  <c r="M13" i="1" s="1"/>
  <c r="O13" i="1" s="1"/>
  <c r="P13" i="1" s="1"/>
  <c r="C60" i="71"/>
  <c r="G586" i="3"/>
  <c r="BL555" i="3"/>
  <c r="BA555" i="3"/>
  <c r="BL554" i="3"/>
  <c r="BA554" i="3"/>
  <c r="AZ554" i="3" s="1"/>
  <c r="BA553" i="3"/>
  <c r="BL552" i="3"/>
  <c r="BA552" i="3"/>
  <c r="BA549" i="3"/>
  <c r="AZ549" i="3" s="1"/>
  <c r="BA548" i="3"/>
  <c r="BA547" i="3"/>
  <c r="BL546" i="3"/>
  <c r="BA546" i="3"/>
  <c r="BL544" i="3"/>
  <c r="BA544" i="3"/>
  <c r="AZ544" i="3" s="1"/>
  <c r="BL542" i="3"/>
  <c r="BA542" i="3"/>
  <c r="AZ542" i="3" s="1"/>
  <c r="BL541" i="3"/>
  <c r="BA541" i="3"/>
  <c r="BL540" i="3"/>
  <c r="BA540" i="3"/>
  <c r="BA539" i="3"/>
  <c r="BA538" i="3"/>
  <c r="AZ538" i="3" s="1"/>
  <c r="BA537" i="3"/>
  <c r="BL536" i="3"/>
  <c r="AZ536" i="3" s="1"/>
  <c r="BA535" i="3"/>
  <c r="BL534" i="3"/>
  <c r="BA534" i="3"/>
  <c r="BA533" i="3"/>
  <c r="BA531" i="3"/>
  <c r="BA530" i="3"/>
  <c r="AZ530" i="3" s="1"/>
  <c r="BL529" i="3"/>
  <c r="BA529" i="3"/>
  <c r="AZ529" i="3" s="1"/>
  <c r="BL528" i="3"/>
  <c r="BA528" i="3"/>
  <c r="BA527" i="3"/>
  <c r="BL526" i="3"/>
  <c r="BA526" i="3"/>
  <c r="BA525" i="3"/>
  <c r="BL524" i="3"/>
  <c r="BA524" i="3"/>
  <c r="AZ524" i="3" s="1"/>
  <c r="BL522" i="3"/>
  <c r="BA522" i="3"/>
  <c r="AZ522" i="3" s="1"/>
  <c r="BA521" i="3"/>
  <c r="BA520" i="3"/>
  <c r="AZ520" i="3" s="1"/>
  <c r="BL518" i="3"/>
  <c r="BA518" i="3"/>
  <c r="BA517" i="3"/>
  <c r="BL516" i="3"/>
  <c r="BL514" i="3"/>
  <c r="BA513" i="3"/>
  <c r="BL512" i="3"/>
  <c r="AZ512" i="3" s="1"/>
  <c r="BA511" i="3"/>
  <c r="BL510" i="3"/>
  <c r="BA510" i="3"/>
  <c r="BA509" i="3"/>
  <c r="BL508" i="3"/>
  <c r="BA508" i="3"/>
  <c r="BA507" i="3"/>
  <c r="BL506" i="3"/>
  <c r="BA506" i="3"/>
  <c r="BL505" i="3"/>
  <c r="BA505" i="3"/>
  <c r="BA504" i="3"/>
  <c r="AZ504" i="3" s="1"/>
  <c r="BA503" i="3"/>
  <c r="AZ503" i="3" s="1"/>
  <c r="BL502" i="3"/>
  <c r="BL501" i="3"/>
  <c r="BA500" i="3"/>
  <c r="AZ500" i="3" s="1"/>
  <c r="BL498" i="3"/>
  <c r="AZ498" i="3" s="1"/>
  <c r="BA497" i="3"/>
  <c r="AZ497" i="3" s="1"/>
  <c r="BL496" i="3"/>
  <c r="AZ496" i="3" s="1"/>
  <c r="BA494" i="3"/>
  <c r="AZ494" i="3" s="1"/>
  <c r="BA493" i="3"/>
  <c r="AZ493" i="3" s="1"/>
  <c r="G14" i="3"/>
  <c r="G582" i="3"/>
  <c r="BA580" i="3"/>
  <c r="AZ580" i="3" s="1"/>
  <c r="BA577" i="3"/>
  <c r="BL574" i="3"/>
  <c r="BL572" i="3"/>
  <c r="BA569" i="3"/>
  <c r="AZ569" i="3" s="1"/>
  <c r="G568" i="3"/>
  <c r="G566" i="3"/>
  <c r="BA564" i="3"/>
  <c r="BA561" i="3"/>
  <c r="AZ561" i="3" s="1"/>
  <c r="BA557" i="3"/>
  <c r="AZ557" i="3" s="1"/>
  <c r="BL556" i="3"/>
  <c r="G413" i="3"/>
  <c r="G430" i="3"/>
  <c r="BA433" i="3"/>
  <c r="AZ433" i="3" s="1"/>
  <c r="BL433" i="3"/>
  <c r="BL434" i="3"/>
  <c r="BL455" i="3"/>
  <c r="BA466" i="3"/>
  <c r="AZ466" i="3" s="1"/>
  <c r="BA480" i="3"/>
  <c r="BA489" i="3"/>
  <c r="BL365" i="3"/>
  <c r="AZ365" i="3" s="1"/>
  <c r="BL381" i="3"/>
  <c r="AZ381" i="3" s="1"/>
  <c r="BL219" i="3"/>
  <c r="BL289" i="3"/>
  <c r="G291" i="3"/>
  <c r="BA120" i="3"/>
  <c r="AZ120" i="3" s="1"/>
  <c r="BL121" i="3"/>
  <c r="BA125" i="3"/>
  <c r="G150" i="3"/>
  <c r="G203" i="3"/>
  <c r="BL205" i="3"/>
  <c r="BA21" i="3"/>
  <c r="BA29" i="3"/>
  <c r="G37" i="3"/>
  <c r="G41" i="3"/>
  <c r="BL47" i="3"/>
  <c r="G50" i="3"/>
  <c r="BA78" i="3"/>
  <c r="BA79" i="3"/>
  <c r="AZ79" i="3" s="1"/>
  <c r="BA86" i="3"/>
  <c r="G98" i="3"/>
  <c r="BA98" i="3"/>
  <c r="G102" i="3"/>
  <c r="C43" i="71"/>
  <c r="AB32" i="71"/>
  <c r="B59" i="71"/>
  <c r="B60" i="71" s="1"/>
  <c r="S60" i="71" s="1"/>
  <c r="B67" i="71"/>
  <c r="S76" i="71"/>
  <c r="B23" i="71"/>
  <c r="B22" i="71" s="1"/>
  <c r="B21" i="71" s="1"/>
  <c r="B20" i="71" s="1"/>
  <c r="G411" i="3"/>
  <c r="BA420" i="3"/>
  <c r="BA422" i="3"/>
  <c r="G433" i="3"/>
  <c r="G439" i="3"/>
  <c r="G440" i="3"/>
  <c r="BA448" i="3"/>
  <c r="BA452" i="3"/>
  <c r="AZ452" i="3" s="1"/>
  <c r="G463" i="3"/>
  <c r="BA464" i="3"/>
  <c r="G467" i="3"/>
  <c r="G471" i="3"/>
  <c r="BA476" i="3"/>
  <c r="BL479" i="3"/>
  <c r="BA331" i="3"/>
  <c r="G212" i="3"/>
  <c r="G216" i="3"/>
  <c r="G234" i="3"/>
  <c r="G244" i="3"/>
  <c r="BA245" i="3"/>
  <c r="G249" i="3"/>
  <c r="G253" i="3"/>
  <c r="G261" i="3"/>
  <c r="BL266" i="3"/>
  <c r="BA270" i="3"/>
  <c r="BL272" i="3"/>
  <c r="G273" i="3"/>
  <c r="BL274" i="3"/>
  <c r="BL280" i="3"/>
  <c r="G281" i="3"/>
  <c r="BA286" i="3"/>
  <c r="G289" i="3"/>
  <c r="BA116" i="3"/>
  <c r="AZ116" i="3" s="1"/>
  <c r="G127" i="3"/>
  <c r="BA149" i="3"/>
  <c r="G164" i="3"/>
  <c r="G172" i="3"/>
  <c r="G176" i="3"/>
  <c r="G180" i="3"/>
  <c r="BL198" i="3"/>
  <c r="G71" i="3"/>
  <c r="G80" i="3"/>
  <c r="BL91" i="3"/>
  <c r="G92" i="3"/>
  <c r="G96" i="3"/>
  <c r="BA97" i="3"/>
  <c r="W18" i="36"/>
  <c r="S18" i="36"/>
  <c r="N68" i="71"/>
  <c r="X26" i="71"/>
  <c r="AB34" i="71"/>
  <c r="V68" i="71"/>
  <c r="F71" i="71"/>
  <c r="F70" i="71" s="1"/>
  <c r="C23" i="71"/>
  <c r="U45" i="33"/>
  <c r="AB45" i="33"/>
  <c r="AZ546" i="3"/>
  <c r="AZ537" i="3"/>
  <c r="AZ527" i="3"/>
  <c r="AZ510" i="3"/>
  <c r="AZ338" i="3"/>
  <c r="AZ319" i="3"/>
  <c r="AA36" i="37"/>
  <c r="AA27" i="33"/>
  <c r="U34" i="21"/>
  <c r="W21" i="40"/>
  <c r="BA586" i="3"/>
  <c r="B84" i="43"/>
  <c r="B84" i="85"/>
  <c r="E78" i="34"/>
  <c r="H15" i="34" s="1"/>
  <c r="AB15" i="34" s="1"/>
  <c r="J23" i="35"/>
  <c r="H23" i="35"/>
  <c r="F23" i="35"/>
  <c r="AA27" i="35"/>
  <c r="S27" i="35"/>
  <c r="H45" i="39"/>
  <c r="F45" i="39"/>
  <c r="J45" i="39"/>
  <c r="W45" i="39" s="1"/>
  <c r="K54" i="43"/>
  <c r="M54" i="43"/>
  <c r="N54" i="43" s="1"/>
  <c r="AZ521" i="3"/>
  <c r="AC39" i="33"/>
  <c r="W39" i="33"/>
  <c r="BL551" i="3"/>
  <c r="AZ526" i="3"/>
  <c r="AZ518" i="3"/>
  <c r="BA515" i="3"/>
  <c r="AZ514" i="3"/>
  <c r="AZ506" i="3"/>
  <c r="AC35" i="33"/>
  <c r="W17" i="21"/>
  <c r="F48" i="9"/>
  <c r="O52" i="9" s="1"/>
  <c r="F32" i="82"/>
  <c r="F60" i="82" s="1"/>
  <c r="M18" i="82"/>
  <c r="F28" i="82"/>
  <c r="C28" i="82" s="1"/>
  <c r="AA20" i="35"/>
  <c r="AZ357" i="3"/>
  <c r="AZ344" i="3"/>
  <c r="AZ336" i="3"/>
  <c r="AZ305" i="3"/>
  <c r="AZ378" i="3"/>
  <c r="W16" i="35"/>
  <c r="BL553" i="3"/>
  <c r="AZ553" i="3" s="1"/>
  <c r="AZ501" i="3"/>
  <c r="BA572" i="3"/>
  <c r="AZ572" i="3" s="1"/>
  <c r="BL571" i="3"/>
  <c r="AZ571" i="3" s="1"/>
  <c r="AZ564" i="3"/>
  <c r="AZ556" i="3"/>
  <c r="E86" i="34"/>
  <c r="J23" i="34"/>
  <c r="AC23" i="34" s="1"/>
  <c r="BL511" i="3"/>
  <c r="AB46" i="33"/>
  <c r="U46" i="33"/>
  <c r="F45" i="33"/>
  <c r="B101" i="43"/>
  <c r="B69" i="85"/>
  <c r="B58" i="85"/>
  <c r="B101" i="85"/>
  <c r="B79" i="85"/>
  <c r="C25" i="39"/>
  <c r="AB40" i="33"/>
  <c r="U40" i="33"/>
  <c r="E100" i="39"/>
  <c r="F100" i="39" s="1"/>
  <c r="G100" i="39" s="1"/>
  <c r="H27" i="39"/>
  <c r="U27" i="39" s="1"/>
  <c r="AC12" i="40"/>
  <c r="W12" i="40"/>
  <c r="AB23" i="21"/>
  <c r="AC23" i="37"/>
  <c r="S36" i="33"/>
  <c r="AA31" i="37"/>
  <c r="U32" i="37"/>
  <c r="AB19" i="40"/>
  <c r="BE5" i="3"/>
  <c r="AZ362" i="3"/>
  <c r="AZ356" i="3"/>
  <c r="AZ135" i="3"/>
  <c r="BL543" i="3"/>
  <c r="AZ543" i="3" s="1"/>
  <c r="AZ558" i="3"/>
  <c r="H28" i="37"/>
  <c r="U28" i="37" s="1"/>
  <c r="F32" i="34"/>
  <c r="J45" i="33"/>
  <c r="J14" i="34"/>
  <c r="W14" i="34" s="1"/>
  <c r="F14" i="34"/>
  <c r="F12" i="35"/>
  <c r="S12" i="35" s="1"/>
  <c r="H12" i="35"/>
  <c r="AA19" i="33"/>
  <c r="U12" i="40"/>
  <c r="AZ310" i="3"/>
  <c r="AZ163" i="3"/>
  <c r="BL545" i="3"/>
  <c r="AZ545" i="3" s="1"/>
  <c r="AZ582" i="3"/>
  <c r="H32" i="34"/>
  <c r="U32" i="34" s="1"/>
  <c r="F32" i="36"/>
  <c r="H32" i="36"/>
  <c r="J32" i="36"/>
  <c r="W32" i="36" s="1"/>
  <c r="AA34" i="40"/>
  <c r="S34" i="40"/>
  <c r="AA32" i="37"/>
  <c r="AZ311" i="3"/>
  <c r="AZ380" i="3"/>
  <c r="BL535" i="3"/>
  <c r="AZ535" i="3" s="1"/>
  <c r="AA14" i="33"/>
  <c r="J28" i="37"/>
  <c r="AA41" i="33"/>
  <c r="S41" i="33"/>
  <c r="BA587" i="3"/>
  <c r="J29" i="21"/>
  <c r="H29" i="21"/>
  <c r="B99" i="43"/>
  <c r="B67" i="85"/>
  <c r="B76" i="85"/>
  <c r="B56" i="85"/>
  <c r="B99" i="85"/>
  <c r="Y27" i="71"/>
  <c r="Z27" i="71" s="1"/>
  <c r="Y25" i="71"/>
  <c r="Z25" i="71" s="1"/>
  <c r="BL527" i="3"/>
  <c r="BL539" i="3"/>
  <c r="AZ539" i="3" s="1"/>
  <c r="BL559" i="3"/>
  <c r="AZ559" i="3" s="1"/>
  <c r="U9" i="40"/>
  <c r="B97" i="43"/>
  <c r="B97" i="85"/>
  <c r="B75" i="85"/>
  <c r="B65" i="85"/>
  <c r="B54" i="85"/>
  <c r="H43" i="34"/>
  <c r="H39" i="40"/>
  <c r="G570" i="3"/>
  <c r="M20" i="15"/>
  <c r="F34" i="82"/>
  <c r="F62" i="82" s="1"/>
  <c r="M20" i="82"/>
  <c r="E5" i="6"/>
  <c r="BL163" i="3"/>
  <c r="BA177" i="3"/>
  <c r="C15" i="39"/>
  <c r="B72" i="85"/>
  <c r="B83" i="43"/>
  <c r="B83" i="85"/>
  <c r="BL16" i="3"/>
  <c r="AZ16" i="3" s="1"/>
  <c r="BA385" i="3"/>
  <c r="BA293" i="3"/>
  <c r="BL154" i="3"/>
  <c r="C30" i="71"/>
  <c r="D30" i="71" s="1"/>
  <c r="Y29" i="71"/>
  <c r="Z29" i="71" s="1"/>
  <c r="G558" i="3"/>
  <c r="BA105" i="3"/>
  <c r="S38" i="33"/>
  <c r="S40" i="21"/>
  <c r="F41" i="39"/>
  <c r="S41" i="39" s="1"/>
  <c r="B61" i="43"/>
  <c r="B61" i="85"/>
  <c r="B87" i="43"/>
  <c r="B87" i="85"/>
  <c r="H12" i="33"/>
  <c r="U12" i="33" s="1"/>
  <c r="AA35" i="71"/>
  <c r="BL515" i="3"/>
  <c r="BL523" i="3"/>
  <c r="BL533" i="3"/>
  <c r="AZ533" i="3" s="1"/>
  <c r="BL577" i="3"/>
  <c r="W22" i="35"/>
  <c r="B94" i="43"/>
  <c r="B51" i="85"/>
  <c r="B62" i="85"/>
  <c r="B73" i="85"/>
  <c r="B94" i="85"/>
  <c r="B90" i="43"/>
  <c r="B90" i="85"/>
  <c r="BL462" i="3"/>
  <c r="BA260" i="3"/>
  <c r="BK5" i="3"/>
  <c r="BL14" i="3"/>
  <c r="BL431" i="3"/>
  <c r="BA441" i="3"/>
  <c r="BL443" i="3"/>
  <c r="BL445" i="3"/>
  <c r="BL446" i="3"/>
  <c r="BA451" i="3"/>
  <c r="BA462" i="3"/>
  <c r="BA463" i="3"/>
  <c r="BL465" i="3"/>
  <c r="BL467" i="3"/>
  <c r="BL468" i="3"/>
  <c r="AZ468" i="3" s="1"/>
  <c r="BA473" i="3"/>
  <c r="BA485" i="3"/>
  <c r="BL487" i="3"/>
  <c r="AZ487" i="3" s="1"/>
  <c r="G489" i="3"/>
  <c r="BL314" i="3"/>
  <c r="AZ314" i="3" s="1"/>
  <c r="BL340" i="3"/>
  <c r="AZ340" i="3" s="1"/>
  <c r="BL225" i="3"/>
  <c r="AZ225" i="3" s="1"/>
  <c r="BL226" i="3"/>
  <c r="BL230" i="3"/>
  <c r="BL242" i="3"/>
  <c r="BL243" i="3"/>
  <c r="BA250" i="3"/>
  <c r="BA252" i="3"/>
  <c r="BL256" i="3"/>
  <c r="BA297" i="3"/>
  <c r="BA124" i="3"/>
  <c r="AZ124" i="3" s="1"/>
  <c r="BL143" i="3"/>
  <c r="AZ143" i="3" s="1"/>
  <c r="BL175" i="3"/>
  <c r="AZ175" i="3" s="1"/>
  <c r="G195" i="3"/>
  <c r="G205" i="3"/>
  <c r="G32" i="3"/>
  <c r="BA55" i="3"/>
  <c r="BA62" i="3"/>
  <c r="AZ62" i="3" s="1"/>
  <c r="BL65" i="3"/>
  <c r="BL66" i="3"/>
  <c r="BL77" i="3"/>
  <c r="G81" i="3"/>
  <c r="G89" i="3"/>
  <c r="BL100" i="3"/>
  <c r="G101" i="3"/>
  <c r="G1" i="82"/>
  <c r="B100" i="43"/>
  <c r="B100" i="85"/>
  <c r="B57" i="85"/>
  <c r="B68" i="85"/>
  <c r="B77" i="85"/>
  <c r="X25" i="71"/>
  <c r="BH5" i="3"/>
  <c r="BJ5" i="3"/>
  <c r="BB5" i="3"/>
  <c r="E12" i="6" s="1"/>
  <c r="E57" i="40" s="1"/>
  <c r="BO5" i="3"/>
  <c r="BA404" i="3"/>
  <c r="BA405" i="3"/>
  <c r="BL406" i="3"/>
  <c r="AZ406" i="3" s="1"/>
  <c r="G407" i="3"/>
  <c r="G408" i="3"/>
  <c r="G409" i="3"/>
  <c r="BL419" i="3"/>
  <c r="AZ419" i="3" s="1"/>
  <c r="G421" i="3"/>
  <c r="BL430" i="3"/>
  <c r="G431" i="3"/>
  <c r="BL452" i="3"/>
  <c r="G454" i="3"/>
  <c r="G455" i="3"/>
  <c r="G477" i="3"/>
  <c r="BA303" i="3"/>
  <c r="AZ303" i="3" s="1"/>
  <c r="G323" i="3"/>
  <c r="BL332" i="3"/>
  <c r="G339" i="3"/>
  <c r="G380" i="3"/>
  <c r="BL208" i="3"/>
  <c r="G210" i="3"/>
  <c r="BA220" i="3"/>
  <c r="AZ220" i="3" s="1"/>
  <c r="G225" i="3"/>
  <c r="G252" i="3"/>
  <c r="G255" i="3"/>
  <c r="BL262" i="3"/>
  <c r="G263" i="3"/>
  <c r="BL264" i="3"/>
  <c r="BA268" i="3"/>
  <c r="G271" i="3"/>
  <c r="BA276" i="3"/>
  <c r="BL278" i="3"/>
  <c r="G279" i="3"/>
  <c r="BL286" i="3"/>
  <c r="AZ286" i="3" s="1"/>
  <c r="BL298" i="3"/>
  <c r="G299" i="3"/>
  <c r="G126" i="3"/>
  <c r="BA133" i="3"/>
  <c r="BL133" i="3"/>
  <c r="BL135" i="3"/>
  <c r="G143" i="3"/>
  <c r="BA152" i="3"/>
  <c r="AZ152" i="3" s="1"/>
  <c r="BA154" i="3"/>
  <c r="G166" i="3"/>
  <c r="G167" i="3"/>
  <c r="BL167" i="3"/>
  <c r="AZ167" i="3" s="1"/>
  <c r="G175" i="3"/>
  <c r="G22" i="3"/>
  <c r="G30" i="3"/>
  <c r="G31" i="3"/>
  <c r="BA36" i="3"/>
  <c r="BL38" i="3"/>
  <c r="BA43" i="3"/>
  <c r="BA53" i="3"/>
  <c r="BA54" i="3"/>
  <c r="AZ54" i="3" s="1"/>
  <c r="G56" i="3"/>
  <c r="BL64" i="3"/>
  <c r="G65" i="3"/>
  <c r="BL99" i="3"/>
  <c r="G108" i="3"/>
  <c r="G109" i="3"/>
  <c r="AC21" i="33"/>
  <c r="S21" i="33"/>
  <c r="C25" i="40"/>
  <c r="B88" i="85"/>
  <c r="Y35" i="71"/>
  <c r="Z35" i="71" s="1"/>
  <c r="BA403" i="3"/>
  <c r="BL416" i="3"/>
  <c r="G418" i="3"/>
  <c r="G452" i="3"/>
  <c r="G464" i="3"/>
  <c r="BA470" i="3"/>
  <c r="BL473" i="3"/>
  <c r="BL474" i="3"/>
  <c r="G475" i="3"/>
  <c r="BA482" i="3"/>
  <c r="BA484" i="3"/>
  <c r="AZ484" i="3" s="1"/>
  <c r="G486" i="3"/>
  <c r="BA319" i="3"/>
  <c r="BA368" i="3"/>
  <c r="BL222" i="3"/>
  <c r="BL223" i="3"/>
  <c r="G224" i="3"/>
  <c r="G241" i="3"/>
  <c r="BA248" i="3"/>
  <c r="BA258" i="3"/>
  <c r="AZ258" i="3" s="1"/>
  <c r="G270" i="3"/>
  <c r="BL271" i="3"/>
  <c r="BA275" i="3"/>
  <c r="BA283" i="3"/>
  <c r="G286" i="3"/>
  <c r="G116" i="3"/>
  <c r="BA132" i="3"/>
  <c r="AZ132" i="3" s="1"/>
  <c r="G155" i="3"/>
  <c r="BL162" i="3"/>
  <c r="G184" i="3"/>
  <c r="BL191" i="3"/>
  <c r="AZ191" i="3" s="1"/>
  <c r="G192" i="3"/>
  <c r="G202" i="3"/>
  <c r="BL44" i="3"/>
  <c r="G45" i="3"/>
  <c r="BA52" i="3"/>
  <c r="AZ52" i="3" s="1"/>
  <c r="BL62" i="3"/>
  <c r="BL63" i="3"/>
  <c r="G76" i="3"/>
  <c r="BL86" i="3"/>
  <c r="AZ86" i="3" s="1"/>
  <c r="E63" i="71"/>
  <c r="E64" i="71" s="1"/>
  <c r="U64" i="71" s="1"/>
  <c r="Y26" i="71"/>
  <c r="Z26" i="71" s="1"/>
  <c r="BA402" i="3"/>
  <c r="AZ402" i="3" s="1"/>
  <c r="BA413" i="3"/>
  <c r="BL427" i="3"/>
  <c r="BL440" i="3"/>
  <c r="BL451" i="3"/>
  <c r="BA458" i="3"/>
  <c r="AZ458" i="3" s="1"/>
  <c r="BA469" i="3"/>
  <c r="BL472" i="3"/>
  <c r="BL395" i="3"/>
  <c r="BA219" i="3"/>
  <c r="AZ219" i="3" s="1"/>
  <c r="BL220" i="3"/>
  <c r="BL221" i="3"/>
  <c r="BL237" i="3"/>
  <c r="BL238" i="3"/>
  <c r="BA247" i="3"/>
  <c r="AZ247" i="3" s="1"/>
  <c r="BA257" i="3"/>
  <c r="BA274" i="3"/>
  <c r="AZ274" i="3" s="1"/>
  <c r="BA121" i="3"/>
  <c r="AZ121" i="3" s="1"/>
  <c r="BL161" i="3"/>
  <c r="BA180" i="3"/>
  <c r="AZ180" i="3" s="1"/>
  <c r="BL182" i="3"/>
  <c r="BA189" i="3"/>
  <c r="BA196" i="3"/>
  <c r="AZ196" i="3" s="1"/>
  <c r="BL20" i="3"/>
  <c r="BA26" i="3"/>
  <c r="BL28" i="3"/>
  <c r="BA33" i="3"/>
  <c r="BL74" i="3"/>
  <c r="BL85" i="3"/>
  <c r="BA94" i="3"/>
  <c r="BL106" i="3"/>
  <c r="C31" i="71"/>
  <c r="AA37" i="71"/>
  <c r="AA3" i="71"/>
  <c r="A15" i="62"/>
  <c r="B61" i="72" s="1"/>
  <c r="G404" i="3"/>
  <c r="BA410" i="3"/>
  <c r="BA424" i="3"/>
  <c r="AZ424" i="3" s="1"/>
  <c r="BA456" i="3"/>
  <c r="BL470" i="3"/>
  <c r="G472" i="3"/>
  <c r="G311" i="3"/>
  <c r="BL386" i="3"/>
  <c r="BL216" i="3"/>
  <c r="BL217" i="3"/>
  <c r="G220" i="3"/>
  <c r="BA235" i="3"/>
  <c r="BL235" i="3"/>
  <c r="BL236" i="3"/>
  <c r="G237" i="3"/>
  <c r="BA256" i="3"/>
  <c r="AZ256" i="3" s="1"/>
  <c r="BL259" i="3"/>
  <c r="BA265" i="3"/>
  <c r="G268" i="3"/>
  <c r="BL269" i="3"/>
  <c r="G276" i="3"/>
  <c r="BA281" i="3"/>
  <c r="G284" i="3"/>
  <c r="BL294" i="3"/>
  <c r="BL297" i="3"/>
  <c r="BA301" i="3"/>
  <c r="BL122" i="3"/>
  <c r="G123" i="3"/>
  <c r="BL139" i="3"/>
  <c r="AZ139" i="3" s="1"/>
  <c r="G140" i="3"/>
  <c r="BL141" i="3"/>
  <c r="G171" i="3"/>
  <c r="BA188" i="3"/>
  <c r="AZ188" i="3" s="1"/>
  <c r="G190" i="3"/>
  <c r="BA207" i="3"/>
  <c r="AZ207" i="3" s="1"/>
  <c r="BA25" i="3"/>
  <c r="G35" i="3"/>
  <c r="BA40" i="3"/>
  <c r="BA72" i="3"/>
  <c r="BL72" i="3"/>
  <c r="G74" i="3"/>
  <c r="BA91" i="3"/>
  <c r="AZ91" i="3" s="1"/>
  <c r="BL92" i="3"/>
  <c r="AZ92" i="3" s="1"/>
  <c r="G95" i="3"/>
  <c r="BA101" i="3"/>
  <c r="BL103" i="3"/>
  <c r="G104" i="3"/>
  <c r="G105" i="3"/>
  <c r="AA18" i="35"/>
  <c r="X33" i="71"/>
  <c r="X36" i="71"/>
  <c r="AB37" i="71"/>
  <c r="B43" i="71"/>
  <c r="B44" i="71" s="1"/>
  <c r="S44" i="71" s="1"/>
  <c r="E51" i="71"/>
  <c r="E52" i="71" s="1"/>
  <c r="U52" i="71" s="1"/>
  <c r="B55" i="71"/>
  <c r="B56" i="71" s="1"/>
  <c r="S56" i="71" s="1"/>
  <c r="F63" i="71"/>
  <c r="F64" i="71" s="1"/>
  <c r="V64" i="71" s="1"/>
  <c r="BF5" i="3"/>
  <c r="BL13" i="3"/>
  <c r="BA400" i="3"/>
  <c r="AZ400" i="3" s="1"/>
  <c r="BA401" i="3"/>
  <c r="BL402" i="3"/>
  <c r="G403" i="3"/>
  <c r="BL412" i="3"/>
  <c r="BA437" i="3"/>
  <c r="BL437" i="3"/>
  <c r="BL447" i="3"/>
  <c r="BL449" i="3"/>
  <c r="AZ449" i="3" s="1"/>
  <c r="BL450" i="3"/>
  <c r="BA307" i="3"/>
  <c r="AZ307" i="3" s="1"/>
  <c r="BA332" i="3"/>
  <c r="BL350" i="3"/>
  <c r="BL359" i="3"/>
  <c r="AZ359" i="3" s="1"/>
  <c r="BL367" i="3"/>
  <c r="BL383" i="3"/>
  <c r="AZ383" i="3" s="1"/>
  <c r="BA214" i="3"/>
  <c r="AZ214" i="3" s="1"/>
  <c r="BL214" i="3"/>
  <c r="BA233" i="3"/>
  <c r="BL233" i="3"/>
  <c r="BA255" i="3"/>
  <c r="AZ255" i="3" s="1"/>
  <c r="BL150" i="3"/>
  <c r="BL169" i="3"/>
  <c r="BA194" i="3"/>
  <c r="BA39" i="3"/>
  <c r="BA47" i="3"/>
  <c r="AZ47" i="3" s="1"/>
  <c r="BL52" i="3"/>
  <c r="BA70" i="3"/>
  <c r="BL70" i="3"/>
  <c r="BL71" i="3"/>
  <c r="BA88" i="3"/>
  <c r="AB25" i="71"/>
  <c r="F51" i="71"/>
  <c r="F52" i="71" s="1"/>
  <c r="V52" i="71" s="1"/>
  <c r="BL410" i="3"/>
  <c r="G412" i="3"/>
  <c r="BL423" i="3"/>
  <c r="G425" i="3"/>
  <c r="BA431" i="3"/>
  <c r="AZ431" i="3" s="1"/>
  <c r="BA443" i="3"/>
  <c r="AZ443" i="3" s="1"/>
  <c r="BL456" i="3"/>
  <c r="G459" i="3"/>
  <c r="BL469" i="3"/>
  <c r="G481" i="3"/>
  <c r="BL490" i="3"/>
  <c r="G491" i="3"/>
  <c r="BL308" i="3"/>
  <c r="AZ308" i="3" s="1"/>
  <c r="G351" i="3"/>
  <c r="BL368" i="3"/>
  <c r="BA374" i="3"/>
  <c r="AZ374" i="3" s="1"/>
  <c r="BA212" i="3"/>
  <c r="BL212" i="3"/>
  <c r="G214" i="3"/>
  <c r="BA231" i="3"/>
  <c r="BL231" i="3"/>
  <c r="G233" i="3"/>
  <c r="G266" i="3"/>
  <c r="BL267" i="3"/>
  <c r="BA271" i="3"/>
  <c r="BA279" i="3"/>
  <c r="BA288" i="3"/>
  <c r="G292" i="3"/>
  <c r="G302" i="3"/>
  <c r="BA126" i="3"/>
  <c r="BA145" i="3"/>
  <c r="BL146" i="3"/>
  <c r="G147" i="3"/>
  <c r="BA157" i="3"/>
  <c r="BL158" i="3"/>
  <c r="G159" i="3"/>
  <c r="G170" i="3"/>
  <c r="BA185" i="3"/>
  <c r="AZ185" i="3" s="1"/>
  <c r="BA193" i="3"/>
  <c r="BA205" i="3"/>
  <c r="AZ205" i="3" s="1"/>
  <c r="BA22" i="3"/>
  <c r="G25" i="3"/>
  <c r="BA30" i="3"/>
  <c r="G42" i="3"/>
  <c r="G51" i="3"/>
  <c r="G52" i="3"/>
  <c r="BA65" i="3"/>
  <c r="BL69" i="3"/>
  <c r="G70" i="3"/>
  <c r="G82" i="3"/>
  <c r="BA87" i="3"/>
  <c r="G90" i="3"/>
  <c r="BA109" i="3"/>
  <c r="BA110" i="3"/>
  <c r="AZ110" i="3" s="1"/>
  <c r="G112" i="3"/>
  <c r="BL112" i="3"/>
  <c r="S25" i="40"/>
  <c r="AA28" i="71"/>
  <c r="E39" i="71"/>
  <c r="E40" i="71" s="1"/>
  <c r="U40" i="71" s="1"/>
  <c r="E55" i="71"/>
  <c r="E56" i="71" s="1"/>
  <c r="U56" i="71" s="1"/>
  <c r="C63" i="71"/>
  <c r="C40" i="68"/>
  <c r="AB45" i="34"/>
  <c r="AA25" i="34"/>
  <c r="W40" i="34"/>
  <c r="M7" i="1"/>
  <c r="J51" i="15"/>
  <c r="J51" i="82"/>
  <c r="G23" i="85"/>
  <c r="M47" i="9"/>
  <c r="C7" i="40"/>
  <c r="C63" i="40" s="1"/>
  <c r="C7" i="39"/>
  <c r="C67" i="39" s="1"/>
  <c r="C7" i="36"/>
  <c r="C46" i="36" s="1"/>
  <c r="D46" i="36" s="1"/>
  <c r="E46" i="36" s="1"/>
  <c r="F46" i="36" s="1"/>
  <c r="G46" i="36" s="1"/>
  <c r="H46" i="36" s="1"/>
  <c r="I46" i="36" s="1"/>
  <c r="C7" i="35"/>
  <c r="C48" i="35" s="1"/>
  <c r="D48" i="35" s="1"/>
  <c r="E48" i="35" s="1"/>
  <c r="C7" i="21"/>
  <c r="C42" i="1"/>
  <c r="C7" i="34"/>
  <c r="F6" i="1"/>
  <c r="I24" i="43" s="1"/>
  <c r="C24" i="43" s="1"/>
  <c r="U39" i="34"/>
  <c r="U38" i="34"/>
  <c r="W35" i="34"/>
  <c r="F19" i="34"/>
  <c r="AA19" i="34" s="1"/>
  <c r="H19" i="34"/>
  <c r="AB19" i="34" s="1"/>
  <c r="U25" i="34"/>
  <c r="AA33" i="34"/>
  <c r="W33" i="34"/>
  <c r="AB33" i="34"/>
  <c r="AA35" i="34"/>
  <c r="W44" i="34"/>
  <c r="W43" i="34"/>
  <c r="AC45" i="34"/>
  <c r="U46" i="34"/>
  <c r="AB35" i="34"/>
  <c r="AB47" i="34"/>
  <c r="S43" i="34"/>
  <c r="AA40" i="34"/>
  <c r="AA44" i="34"/>
  <c r="U27" i="34"/>
  <c r="W19" i="34"/>
  <c r="AC17" i="34"/>
  <c r="AB17" i="34"/>
  <c r="S17" i="34"/>
  <c r="U9" i="34"/>
  <c r="AA8" i="34"/>
  <c r="W8" i="34"/>
  <c r="S46" i="34"/>
  <c r="AA46" i="34"/>
  <c r="J46" i="34"/>
  <c r="F31" i="34"/>
  <c r="S31" i="34" s="1"/>
  <c r="W29" i="34"/>
  <c r="AC29" i="34"/>
  <c r="H29" i="34"/>
  <c r="F29" i="34"/>
  <c r="S29" i="34" s="1"/>
  <c r="AC32" i="34"/>
  <c r="S13" i="34"/>
  <c r="AA31" i="34"/>
  <c r="AB30" i="34"/>
  <c r="D23" i="15"/>
  <c r="O7" i="1"/>
  <c r="P7" i="1" s="1"/>
  <c r="C24" i="12"/>
  <c r="J1" i="73"/>
  <c r="G7" i="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41" i="39"/>
  <c r="AC38" i="39"/>
  <c r="S15" i="39"/>
  <c r="S9" i="39"/>
  <c r="AB8" i="39"/>
  <c r="S8" i="39"/>
  <c r="G22" i="11"/>
  <c r="E1" i="73"/>
  <c r="G22" i="69"/>
  <c r="D22" i="15"/>
  <c r="G26" i="12"/>
  <c r="BM5" i="3"/>
  <c r="F29" i="6" s="1"/>
  <c r="BC5" i="3"/>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79" i="3"/>
  <c r="AZ516" i="3"/>
  <c r="AC11" i="35"/>
  <c r="BL585" i="3"/>
  <c r="AZ585" i="3" s="1"/>
  <c r="AB34" i="40"/>
  <c r="U34" i="40"/>
  <c r="H12" i="36"/>
  <c r="J12" i="36"/>
  <c r="H44" i="39"/>
  <c r="J44" i="39"/>
  <c r="F44" i="39"/>
  <c r="AC31" i="40"/>
  <c r="W31" i="40"/>
  <c r="H25" i="37"/>
  <c r="F25" i="37"/>
  <c r="AZ451" i="3"/>
  <c r="F9" i="34"/>
  <c r="AA9" i="34" s="1"/>
  <c r="J9" i="34"/>
  <c r="J12" i="34"/>
  <c r="H12" i="34"/>
  <c r="J25" i="37"/>
  <c r="G551" i="3"/>
  <c r="BL550" i="3"/>
  <c r="G542" i="3"/>
  <c r="BL398" i="3"/>
  <c r="BL403" i="3"/>
  <c r="AZ403" i="3" s="1"/>
  <c r="G405" i="3"/>
  <c r="BA408" i="3"/>
  <c r="BA409" i="3"/>
  <c r="AZ409" i="3" s="1"/>
  <c r="BA411" i="3"/>
  <c r="BL414" i="3"/>
  <c r="BL415" i="3"/>
  <c r="BA417" i="3"/>
  <c r="BL421" i="3"/>
  <c r="BL422" i="3"/>
  <c r="AZ422" i="3" s="1"/>
  <c r="BL425" i="3"/>
  <c r="BL426" i="3"/>
  <c r="AZ426" i="3" s="1"/>
  <c r="BA428" i="3"/>
  <c r="BA429" i="3"/>
  <c r="BA430" i="3"/>
  <c r="BA432" i="3"/>
  <c r="BA434" i="3"/>
  <c r="AZ434" i="3" s="1"/>
  <c r="BA436" i="3"/>
  <c r="BA438" i="3"/>
  <c r="G442" i="3"/>
  <c r="BA446" i="3"/>
  <c r="BA450" i="3"/>
  <c r="BA453" i="3"/>
  <c r="BA455" i="3"/>
  <c r="AZ455" i="3" s="1"/>
  <c r="BL457" i="3"/>
  <c r="BL460" i="3"/>
  <c r="BL461" i="3"/>
  <c r="BL463" i="3"/>
  <c r="AZ463" i="3" s="1"/>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BA414" i="3"/>
  <c r="BA415" i="3"/>
  <c r="AZ415" i="3" s="1"/>
  <c r="BA416" i="3"/>
  <c r="AZ416" i="3" s="1"/>
  <c r="BA418" i="3"/>
  <c r="BA421" i="3"/>
  <c r="BA423" i="3"/>
  <c r="AZ423" i="3" s="1"/>
  <c r="BA425" i="3"/>
  <c r="AZ425" i="3" s="1"/>
  <c r="BA426" i="3"/>
  <c r="BA427" i="3"/>
  <c r="AZ427" i="3" s="1"/>
  <c r="BA435" i="3"/>
  <c r="AZ435" i="3" s="1"/>
  <c r="BL441" i="3"/>
  <c r="BL442" i="3"/>
  <c r="BL444" i="3"/>
  <c r="AZ444" i="3" s="1"/>
  <c r="G446" i="3"/>
  <c r="BL448" i="3"/>
  <c r="AZ448" i="3" s="1"/>
  <c r="G450" i="3"/>
  <c r="G451" i="3"/>
  <c r="BA454" i="3"/>
  <c r="BA457" i="3"/>
  <c r="BA459" i="3"/>
  <c r="BA460" i="3"/>
  <c r="BA461" i="3"/>
  <c r="BL464" i="3"/>
  <c r="AZ464" i="3" s="1"/>
  <c r="BL466" i="3"/>
  <c r="G468" i="3"/>
  <c r="G469" i="3"/>
  <c r="BL476" i="3"/>
  <c r="BL477" i="3"/>
  <c r="BL478" i="3"/>
  <c r="AZ478" i="3" s="1"/>
  <c r="G479" i="3"/>
  <c r="G480" i="3"/>
  <c r="BL480" i="3"/>
  <c r="G482" i="3"/>
  <c r="BA483" i="3"/>
  <c r="BL483" i="3"/>
  <c r="BA486" i="3"/>
  <c r="BL489" i="3"/>
  <c r="AZ489" i="3" s="1"/>
  <c r="BL491" i="3"/>
  <c r="BL492" i="3"/>
  <c r="G307" i="3"/>
  <c r="BA315" i="3"/>
  <c r="AZ315" i="3" s="1"/>
  <c r="BA333" i="3"/>
  <c r="BL346" i="3"/>
  <c r="AZ346" i="3" s="1"/>
  <c r="G349" i="3"/>
  <c r="BA210" i="3"/>
  <c r="BL210" i="3"/>
  <c r="BA223" i="3"/>
  <c r="BA228" i="3"/>
  <c r="BA229" i="3"/>
  <c r="BL229" i="3"/>
  <c r="BA551" i="3"/>
  <c r="BA550" i="3"/>
  <c r="BL548" i="3"/>
  <c r="AZ548" i="3" s="1"/>
  <c r="AZ407" i="3"/>
  <c r="G437" i="3"/>
  <c r="BL438" i="3"/>
  <c r="AZ438" i="3" s="1"/>
  <c r="BL439" i="3"/>
  <c r="AZ480" i="3"/>
  <c r="G364" i="3"/>
  <c r="BA367" i="3"/>
  <c r="BA370" i="3"/>
  <c r="AZ370" i="3" s="1"/>
  <c r="BA386" i="3"/>
  <c r="AZ386" i="3" s="1"/>
  <c r="BA397" i="3"/>
  <c r="BL397" i="3"/>
  <c r="BA209" i="3"/>
  <c r="BA217" i="3"/>
  <c r="BA218" i="3"/>
  <c r="BL218" i="3"/>
  <c r="BA221" i="3"/>
  <c r="AZ221" i="3" s="1"/>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AZ439" i="3" s="1"/>
  <c r="BA440" i="3"/>
  <c r="BA442" i="3"/>
  <c r="BA445" i="3"/>
  <c r="BA447" i="3"/>
  <c r="AZ447" i="3" s="1"/>
  <c r="BA449" i="3"/>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L228" i="3"/>
  <c r="BA384" i="3"/>
  <c r="AZ384" i="3" s="1"/>
  <c r="BA395" i="3"/>
  <c r="BA208" i="3"/>
  <c r="AZ208" i="3" s="1"/>
  <c r="BA211" i="3"/>
  <c r="AZ211" i="3" s="1"/>
  <c r="BL213" i="3"/>
  <c r="BL215" i="3"/>
  <c r="BA222" i="3"/>
  <c r="AZ222" i="3" s="1"/>
  <c r="BA224" i="3"/>
  <c r="BA226" i="3"/>
  <c r="BA237" i="3"/>
  <c r="BL240" i="3"/>
  <c r="AZ240" i="3" s="1"/>
  <c r="BA242" i="3"/>
  <c r="AZ242" i="3" s="1"/>
  <c r="BL245" i="3"/>
  <c r="G247" i="3"/>
  <c r="BL255" i="3"/>
  <c r="G257" i="3"/>
  <c r="BL257" i="3"/>
  <c r="AZ257" i="3" s="1"/>
  <c r="BL258" i="3"/>
  <c r="G259" i="3"/>
  <c r="BA262" i="3"/>
  <c r="AZ262" i="3" s="1"/>
  <c r="G265" i="3"/>
  <c r="BL265" i="3"/>
  <c r="G267" i="3"/>
  <c r="G269" i="3"/>
  <c r="BA273" i="3"/>
  <c r="BA278" i="3"/>
  <c r="AZ278" i="3" s="1"/>
  <c r="BA280" i="3"/>
  <c r="G283" i="3"/>
  <c r="BL283" i="3"/>
  <c r="BL284" i="3"/>
  <c r="G285" i="3"/>
  <c r="G288" i="3"/>
  <c r="BL292" i="3"/>
  <c r="BA294" i="3"/>
  <c r="AZ294" i="3" s="1"/>
  <c r="BL295" i="3"/>
  <c r="BA298" i="3"/>
  <c r="AZ298" i="3" s="1"/>
  <c r="BL301" i="3"/>
  <c r="BL302" i="3"/>
  <c r="BA114" i="3"/>
  <c r="BL123" i="3"/>
  <c r="AZ123" i="3" s="1"/>
  <c r="BL127" i="3"/>
  <c r="AZ127" i="3" s="1"/>
  <c r="BA130" i="3"/>
  <c r="BL130" i="3"/>
  <c r="BL137" i="3"/>
  <c r="BA146" i="3"/>
  <c r="AZ146" i="3" s="1"/>
  <c r="BA150" i="3"/>
  <c r="AZ150" i="3" s="1"/>
  <c r="BL165" i="3"/>
  <c r="BA168" i="3"/>
  <c r="AZ168" i="3" s="1"/>
  <c r="BL34" i="3"/>
  <c r="BA249" i="3"/>
  <c r="BL249" i="3"/>
  <c r="BA251" i="3"/>
  <c r="BL251" i="3"/>
  <c r="BA253" i="3"/>
  <c r="BL260" i="3"/>
  <c r="G262" i="3"/>
  <c r="BL263" i="3"/>
  <c r="G264" i="3"/>
  <c r="BL270" i="3"/>
  <c r="AZ270" i="3" s="1"/>
  <c r="BA272" i="3"/>
  <c r="AZ272" i="3" s="1"/>
  <c r="BL275" i="3"/>
  <c r="G277" i="3"/>
  <c r="G280" i="3"/>
  <c r="G282" i="3"/>
  <c r="BL285" i="3"/>
  <c r="BL287" i="3"/>
  <c r="BA290" i="3"/>
  <c r="AZ290" i="3" s="1"/>
  <c r="G297" i="3"/>
  <c r="BL299" i="3"/>
  <c r="G300" i="3"/>
  <c r="BL113" i="3"/>
  <c r="BL115" i="3"/>
  <c r="AZ115" i="3" s="1"/>
  <c r="BA118" i="3"/>
  <c r="BL118" i="3"/>
  <c r="BA122" i="3"/>
  <c r="AZ122" i="3" s="1"/>
  <c r="BL125" i="3"/>
  <c r="AZ125" i="3" s="1"/>
  <c r="BA129" i="3"/>
  <c r="BL134" i="3"/>
  <c r="BA239" i="3"/>
  <c r="BL239" i="3"/>
  <c r="BA241" i="3"/>
  <c r="BL241" i="3"/>
  <c r="BA244" i="3"/>
  <c r="AZ244" i="3" s="1"/>
  <c r="BL244" i="3"/>
  <c r="BA246" i="3"/>
  <c r="BL273" i="3"/>
  <c r="G274" i="3"/>
  <c r="BA277" i="3"/>
  <c r="AZ277" i="3" s="1"/>
  <c r="BL277" i="3"/>
  <c r="BA282" i="3"/>
  <c r="BL282" i="3"/>
  <c r="BA284" i="3"/>
  <c r="BL290" i="3"/>
  <c r="BL291" i="3"/>
  <c r="AZ291" i="3" s="1"/>
  <c r="BL293" i="3"/>
  <c r="AZ293" i="3" s="1"/>
  <c r="BL300" i="3"/>
  <c r="BA302" i="3"/>
  <c r="G115" i="3"/>
  <c r="BA117" i="3"/>
  <c r="BA128" i="3"/>
  <c r="AZ128" i="3" s="1"/>
  <c r="G136" i="3"/>
  <c r="BA137" i="3"/>
  <c r="BL138" i="3"/>
  <c r="BA140" i="3"/>
  <c r="AZ140" i="3" s="1"/>
  <c r="BA142" i="3"/>
  <c r="BL149" i="3"/>
  <c r="AZ149" i="3" s="1"/>
  <c r="BL24" i="3"/>
  <c r="BA230" i="3"/>
  <c r="AZ230" i="3" s="1"/>
  <c r="BL232" i="3"/>
  <c r="BL234" i="3"/>
  <c r="BA236" i="3"/>
  <c r="AZ236" i="3" s="1"/>
  <c r="BA238" i="3"/>
  <c r="BA243" i="3"/>
  <c r="BL248" i="3"/>
  <c r="AZ248" i="3" s="1"/>
  <c r="BL250" i="3"/>
  <c r="AZ250" i="3" s="1"/>
  <c r="BA259" i="3"/>
  <c r="BL261" i="3"/>
  <c r="BA263" i="3"/>
  <c r="AZ263" i="3" s="1"/>
  <c r="BA267" i="3"/>
  <c r="AZ267" i="3" s="1"/>
  <c r="BA269" i="3"/>
  <c r="AZ269" i="3" s="1"/>
  <c r="BA296" i="3"/>
  <c r="BA160" i="3"/>
  <c r="AZ160" i="3" s="1"/>
  <c r="BA162" i="3"/>
  <c r="AZ162" i="3" s="1"/>
  <c r="BL166" i="3"/>
  <c r="BL186" i="3"/>
  <c r="BL23" i="3"/>
  <c r="BL35" i="3"/>
  <c r="D31" i="71"/>
  <c r="C32" i="71"/>
  <c r="D50" i="71"/>
  <c r="C51" i="71"/>
  <c r="V24" i="71"/>
  <c r="E23" i="71"/>
  <c r="E22" i="71" s="1"/>
  <c r="E21" i="71" s="1"/>
  <c r="E20" i="71" s="1"/>
  <c r="E19" i="71" s="1"/>
  <c r="E18" i="71" s="1"/>
  <c r="E17" i="71" s="1"/>
  <c r="E16" i="71"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BA31" i="3"/>
  <c r="BA32" i="3"/>
  <c r="G38" i="3"/>
  <c r="BA38" i="3"/>
  <c r="AZ38" i="3" s="1"/>
  <c r="BA41" i="3"/>
  <c r="BA42" i="3"/>
  <c r="G46" i="3"/>
  <c r="G47" i="3"/>
  <c r="BL48" i="3"/>
  <c r="BL54" i="3"/>
  <c r="BL55" i="3"/>
  <c r="AZ55" i="3" s="1"/>
  <c r="G57" i="3"/>
  <c r="G58" i="3"/>
  <c r="BA59" i="3"/>
  <c r="G61" i="3"/>
  <c r="BL61" i="3"/>
  <c r="G64" i="3"/>
  <c r="BA64" i="3"/>
  <c r="G67" i="3"/>
  <c r="BL68" i="3"/>
  <c r="BA69" i="3"/>
  <c r="AZ69" i="3" s="1"/>
  <c r="G72" i="3"/>
  <c r="BL73" i="3"/>
  <c r="BA74" i="3"/>
  <c r="BA75" i="3"/>
  <c r="AB21" i="37"/>
  <c r="U21" i="37"/>
  <c r="T28" i="71"/>
  <c r="D28" i="71"/>
  <c r="U28" i="71" s="1"/>
  <c r="C27" i="71"/>
  <c r="F66" i="71"/>
  <c r="Q66" i="71" s="1"/>
  <c r="Q67" i="71"/>
  <c r="BL170" i="3"/>
  <c r="BA173" i="3"/>
  <c r="AZ173" i="3" s="1"/>
  <c r="BA174" i="3"/>
  <c r="BL179" i="3"/>
  <c r="AZ179" i="3" s="1"/>
  <c r="BA181" i="3"/>
  <c r="BA182" i="3"/>
  <c r="AZ182" i="3" s="1"/>
  <c r="BL185" i="3"/>
  <c r="BL193" i="3"/>
  <c r="AZ193" i="3" s="1"/>
  <c r="BL194" i="3"/>
  <c r="BA198" i="3"/>
  <c r="AZ198" i="3" s="1"/>
  <c r="BL206" i="3"/>
  <c r="BA19" i="3"/>
  <c r="AZ19" i="3" s="1"/>
  <c r="BA27" i="3"/>
  <c r="BL30" i="3"/>
  <c r="BL31" i="3"/>
  <c r="BL40" i="3"/>
  <c r="BL41" i="3"/>
  <c r="BL45" i="3"/>
  <c r="BA48" i="3"/>
  <c r="AZ48" i="3" s="1"/>
  <c r="BA49" i="3"/>
  <c r="BA51" i="3"/>
  <c r="BL56" i="3"/>
  <c r="BA58" i="3"/>
  <c r="BL59" i="3"/>
  <c r="BL60" i="3"/>
  <c r="BA61" i="3"/>
  <c r="BL76" i="3"/>
  <c r="BL88" i="3"/>
  <c r="BL90" i="3"/>
  <c r="BA92" i="3"/>
  <c r="BA95" i="3"/>
  <c r="BL97" i="3"/>
  <c r="AZ97" i="3" s="1"/>
  <c r="BL101" i="3"/>
  <c r="AZ101" i="3" s="1"/>
  <c r="BL102" i="3"/>
  <c r="F3" i="35"/>
  <c r="AC25" i="40"/>
  <c r="U21" i="33"/>
  <c r="AB21" i="33"/>
  <c r="D34" i="71"/>
  <c r="C35" i="71"/>
  <c r="C55" i="71"/>
  <c r="D54" i="71"/>
  <c r="D67" i="71"/>
  <c r="C66" i="71"/>
  <c r="O67" i="71"/>
  <c r="G154" i="3"/>
  <c r="G156" i="3"/>
  <c r="BL157" i="3"/>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G33" i="3"/>
  <c r="G34" i="3"/>
  <c r="BA37" i="3"/>
  <c r="G39" i="3"/>
  <c r="BL39" i="3"/>
  <c r="G43" i="3"/>
  <c r="G44" i="3"/>
  <c r="BA45" i="3"/>
  <c r="BA46" i="3"/>
  <c r="BL49" i="3"/>
  <c r="BL50" i="3"/>
  <c r="AZ50" i="3" s="1"/>
  <c r="BL51" i="3"/>
  <c r="G53" i="3"/>
  <c r="BL53" i="3"/>
  <c r="AZ53" i="3" s="1"/>
  <c r="BA56" i="3"/>
  <c r="AZ56" i="3" s="1"/>
  <c r="BA57" i="3"/>
  <c r="AZ57" i="3" s="1"/>
  <c r="BL58" i="3"/>
  <c r="G60" i="3"/>
  <c r="BA60" i="3"/>
  <c r="BA63" i="3"/>
  <c r="BA66" i="3"/>
  <c r="AZ66" i="3" s="1"/>
  <c r="BA71" i="3"/>
  <c r="AZ71" i="3" s="1"/>
  <c r="BA77" i="3"/>
  <c r="AZ77" i="3" s="1"/>
  <c r="BL82" i="3"/>
  <c r="BA84" i="3"/>
  <c r="BL96" i="3"/>
  <c r="W21" i="21"/>
  <c r="F40" i="69"/>
  <c r="C40" i="69"/>
  <c r="C64" i="71"/>
  <c r="D64" i="71" s="1"/>
  <c r="D63" i="71"/>
  <c r="BA68" i="3"/>
  <c r="BA73" i="3"/>
  <c r="BA80" i="3"/>
  <c r="G84" i="3"/>
  <c r="BL84" i="3"/>
  <c r="BA89" i="3"/>
  <c r="G99" i="3"/>
  <c r="G103" i="3"/>
  <c r="BA103" i="3"/>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BA100" i="3"/>
  <c r="AZ100" i="3" s="1"/>
  <c r="BA102" i="3"/>
  <c r="AZ102" i="3" s="1"/>
  <c r="BL105" i="3"/>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55" i="3"/>
  <c r="AZ581" i="3"/>
  <c r="AB33" i="37"/>
  <c r="U33" i="37"/>
  <c r="AC19" i="37"/>
  <c r="W23" i="33"/>
  <c r="AB13" i="34"/>
  <c r="S41" i="34"/>
  <c r="AA41" i="34"/>
  <c r="AZ495" i="3"/>
  <c r="AZ567" i="3"/>
  <c r="AC14" i="37"/>
  <c r="W14" i="37"/>
  <c r="AB28" i="37"/>
  <c r="W30" i="34"/>
  <c r="AC30" i="34"/>
  <c r="AC29" i="33"/>
  <c r="W29" i="33"/>
  <c r="W46" i="21"/>
  <c r="AC46" i="21"/>
  <c r="BL507" i="3"/>
  <c r="AZ507" i="3" s="1"/>
  <c r="BQ5" i="3"/>
  <c r="F28" i="6" s="1"/>
  <c r="E28" i="6" s="1"/>
  <c r="K14" i="1" s="1"/>
  <c r="AB35" i="35"/>
  <c r="U35" i="35"/>
  <c r="S13" i="35"/>
  <c r="AA13" i="35"/>
  <c r="AB31" i="34"/>
  <c r="U31" i="34"/>
  <c r="S12" i="21"/>
  <c r="AA12" i="21"/>
  <c r="AC45" i="39"/>
  <c r="AA12" i="34"/>
  <c r="S34" i="21"/>
  <c r="J34" i="35"/>
  <c r="F34" i="35"/>
  <c r="J26" i="37"/>
  <c r="F26" i="37"/>
  <c r="F40" i="40"/>
  <c r="G578" i="3"/>
  <c r="AZ410" i="3"/>
  <c r="AZ442" i="3"/>
  <c r="AZ445" i="3"/>
  <c r="AZ456" i="3"/>
  <c r="AZ467" i="3"/>
  <c r="W35" i="39"/>
  <c r="F27" i="34"/>
  <c r="C21" i="39"/>
  <c r="U9" i="36"/>
  <c r="U14" i="37"/>
  <c r="H12" i="21"/>
  <c r="G526" i="3"/>
  <c r="AZ420" i="3"/>
  <c r="AZ436" i="3"/>
  <c r="AZ450" i="3"/>
  <c r="G28" i="6"/>
  <c r="U26" i="21"/>
  <c r="W36" i="39"/>
  <c r="U23" i="40"/>
  <c r="AC16" i="36"/>
  <c r="C27" i="39"/>
  <c r="U40" i="40"/>
  <c r="AC9" i="40"/>
  <c r="W36" i="35"/>
  <c r="J12" i="21"/>
  <c r="B73" i="43"/>
  <c r="B76" i="43"/>
  <c r="F9" i="36"/>
  <c r="J40" i="40"/>
  <c r="G562" i="3"/>
  <c r="AZ385" i="3"/>
  <c r="AZ212"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G230" i="3"/>
  <c r="BA232" i="3"/>
  <c r="BA234" i="3"/>
  <c r="AZ234" i="3" s="1"/>
  <c r="G248" i="3"/>
  <c r="AZ260" i="3"/>
  <c r="BL268" i="3"/>
  <c r="AZ268" i="3" s="1"/>
  <c r="G278" i="3"/>
  <c r="BA474" i="3"/>
  <c r="BA475" i="3"/>
  <c r="AZ475" i="3" s="1"/>
  <c r="BL481" i="3"/>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AZ266" i="3" s="1"/>
  <c r="G272" i="3"/>
  <c r="G275" i="3"/>
  <c r="BL276" i="3"/>
  <c r="BL279" i="3"/>
  <c r="AZ279" i="3" s="1"/>
  <c r="BL281" i="3"/>
  <c r="BA285" i="3"/>
  <c r="AZ285" i="3" s="1"/>
  <c r="BA287" i="3"/>
  <c r="AZ287" i="3" s="1"/>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BL202" i="3"/>
  <c r="AZ30" i="3"/>
  <c r="BL36" i="3"/>
  <c r="AZ68" i="3"/>
  <c r="AZ104" i="3"/>
  <c r="AZ106" i="3"/>
  <c r="G200" i="3"/>
  <c r="G207" i="3"/>
  <c r="BA23" i="3"/>
  <c r="AZ23" i="3" s="1"/>
  <c r="BA24" i="3"/>
  <c r="BL26" i="3"/>
  <c r="BL32" i="3"/>
  <c r="BA34" i="3"/>
  <c r="AZ34" i="3" s="1"/>
  <c r="BA35" i="3"/>
  <c r="AZ35" i="3" s="1"/>
  <c r="BL37" i="3"/>
  <c r="BL42" i="3"/>
  <c r="BA44" i="3"/>
  <c r="AZ44" i="3" s="1"/>
  <c r="AZ60" i="3"/>
  <c r="BA206" i="3"/>
  <c r="BL22" i="3"/>
  <c r="BL33" i="3"/>
  <c r="AZ33" i="3" s="1"/>
  <c r="BL43" i="3"/>
  <c r="AZ43" i="3" s="1"/>
  <c r="BL46" i="3"/>
  <c r="AZ46" i="3" s="1"/>
  <c r="BL78" i="3"/>
  <c r="AZ78" i="3" s="1"/>
  <c r="BA83" i="3"/>
  <c r="AZ83" i="3" s="1"/>
  <c r="G91" i="3"/>
  <c r="BL95" i="3"/>
  <c r="BL98" i="3"/>
  <c r="AZ98" i="3" s="1"/>
  <c r="BL109" i="3"/>
  <c r="AB21" i="21"/>
  <c r="G77" i="3"/>
  <c r="BA81" i="3"/>
  <c r="AZ81" i="3" s="1"/>
  <c r="BA85" i="3"/>
  <c r="BL89" i="3"/>
  <c r="AZ89" i="3" s="1"/>
  <c r="G94" i="3"/>
  <c r="G97" i="3"/>
  <c r="G100" i="3"/>
  <c r="BA107" i="3"/>
  <c r="BA112" i="3"/>
  <c r="AZ112" i="3" s="1"/>
  <c r="AC21" i="34"/>
  <c r="E27" i="71"/>
  <c r="E26" i="71" s="1"/>
  <c r="V28" i="71"/>
  <c r="BA76" i="3"/>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J53" i="67"/>
  <c r="J57" i="67"/>
  <c r="J55" i="67" s="1"/>
  <c r="J58" i="67" s="1"/>
  <c r="Q50" i="67" s="1"/>
  <c r="L56" i="67"/>
  <c r="I54" i="67"/>
  <c r="M7" i="15"/>
  <c r="J6" i="15" s="1"/>
  <c r="F50" i="15"/>
  <c r="F51" i="15"/>
  <c r="F71" i="15"/>
  <c r="C6" i="15"/>
  <c r="L59" i="15"/>
  <c r="N59" i="15"/>
  <c r="M59" i="15"/>
  <c r="F66" i="15"/>
  <c r="F64" i="15"/>
  <c r="C27" i="67"/>
  <c r="F71" i="67"/>
  <c r="C27" i="15"/>
  <c r="F65" i="15"/>
  <c r="B13" i="70"/>
  <c r="F68" i="15"/>
  <c r="C36" i="68"/>
  <c r="D9" i="69"/>
  <c r="C36" i="69"/>
  <c r="D9" i="68"/>
  <c r="M28" i="67"/>
  <c r="D4" i="73"/>
  <c r="F13" i="67"/>
  <c r="M6" i="67"/>
  <c r="F6" i="67"/>
  <c r="F37" i="67"/>
  <c r="D3" i="73"/>
  <c r="F40" i="67"/>
  <c r="D6" i="73"/>
  <c r="M22" i="67"/>
  <c r="M9" i="67"/>
  <c r="J15" i="67"/>
  <c r="M8" i="67"/>
  <c r="F8" i="67"/>
  <c r="F36" i="67"/>
  <c r="D7" i="73"/>
  <c r="F16" i="67"/>
  <c r="L47" i="67"/>
  <c r="M29" i="67"/>
  <c r="F38" i="67"/>
  <c r="M26" i="67"/>
  <c r="D5" i="73"/>
  <c r="C76" i="67"/>
  <c r="M24" i="67"/>
  <c r="C16" i="15"/>
  <c r="L48" i="15"/>
  <c r="F42" i="67"/>
  <c r="F7" i="67"/>
  <c r="S37" i="34" l="1"/>
  <c r="E13" i="6"/>
  <c r="AZ95" i="3"/>
  <c r="AZ113" i="3"/>
  <c r="AZ276" i="3"/>
  <c r="AZ474" i="3"/>
  <c r="AZ280" i="3"/>
  <c r="AZ350" i="3"/>
  <c r="AZ421" i="3"/>
  <c r="B19" i="71"/>
  <c r="B18" i="71" s="1"/>
  <c r="B17" i="71" s="1"/>
  <c r="B16" i="71" s="1"/>
  <c r="S20" i="71"/>
  <c r="AZ540" i="3"/>
  <c r="D60" i="71"/>
  <c r="T60" i="71"/>
  <c r="AZ67" i="3"/>
  <c r="S38" i="40"/>
  <c r="AA38" i="40"/>
  <c r="B20" i="31"/>
  <c r="B21" i="31" s="1"/>
  <c r="AZ107" i="3"/>
  <c r="AZ22" i="3"/>
  <c r="AZ42" i="3"/>
  <c r="AZ32" i="3"/>
  <c r="AZ165" i="3"/>
  <c r="G30" i="6"/>
  <c r="G31" i="6" s="1"/>
  <c r="AA12" i="35"/>
  <c r="AZ94" i="3"/>
  <c r="AZ73" i="3"/>
  <c r="AZ39" i="3"/>
  <c r="AZ177" i="3"/>
  <c r="AZ194" i="3"/>
  <c r="AZ181" i="3"/>
  <c r="AZ243" i="3"/>
  <c r="AZ275" i="3"/>
  <c r="AZ265" i="3"/>
  <c r="AZ237" i="3"/>
  <c r="AZ217" i="3"/>
  <c r="AZ550" i="3"/>
  <c r="AZ412" i="3"/>
  <c r="AA41" i="39"/>
  <c r="AZ231" i="3"/>
  <c r="AZ368" i="3"/>
  <c r="AZ470" i="3"/>
  <c r="AZ446" i="3"/>
  <c r="AZ511" i="3"/>
  <c r="C44" i="71"/>
  <c r="D43" i="71"/>
  <c r="AZ534" i="3"/>
  <c r="AZ552" i="3"/>
  <c r="AB12" i="33"/>
  <c r="AZ157" i="3"/>
  <c r="AZ70" i="3"/>
  <c r="AZ133" i="3"/>
  <c r="AZ85" i="3"/>
  <c r="AZ109" i="3"/>
  <c r="AZ37" i="3"/>
  <c r="AZ26" i="3"/>
  <c r="AZ36" i="3"/>
  <c r="AZ141" i="3"/>
  <c r="AZ281" i="3"/>
  <c r="AZ253" i="3"/>
  <c r="AZ481" i="3"/>
  <c r="AZ354" i="3"/>
  <c r="AZ105" i="3"/>
  <c r="AZ103" i="3"/>
  <c r="AZ29" i="3"/>
  <c r="AZ40" i="3"/>
  <c r="AZ28" i="3"/>
  <c r="AZ189" i="3"/>
  <c r="AZ238" i="3"/>
  <c r="AZ301" i="3"/>
  <c r="AZ283" i="3"/>
  <c r="AZ245" i="3"/>
  <c r="AZ226" i="3"/>
  <c r="AZ551" i="3"/>
  <c r="AZ223" i="3"/>
  <c r="AZ476" i="3"/>
  <c r="AZ441" i="3"/>
  <c r="AB32" i="34"/>
  <c r="AZ65" i="3"/>
  <c r="AZ252" i="3"/>
  <c r="AZ577" i="3"/>
  <c r="C22" i="71"/>
  <c r="D23" i="71"/>
  <c r="N67" i="71"/>
  <c r="B66" i="71"/>
  <c r="AZ505" i="3"/>
  <c r="AZ508" i="3"/>
  <c r="AZ541" i="3"/>
  <c r="W23" i="34"/>
  <c r="U15" i="34"/>
  <c r="F50" i="67"/>
  <c r="M7" i="67"/>
  <c r="J6" i="67" s="1"/>
  <c r="J18" i="67" s="1"/>
  <c r="L58" i="67"/>
  <c r="Q60" i="67" s="1"/>
  <c r="N59" i="67"/>
  <c r="L59" i="67"/>
  <c r="Q61" i="67" s="1"/>
  <c r="M59" i="67"/>
  <c r="F66" i="67"/>
  <c r="M57" i="43"/>
  <c r="N57" i="43" s="1"/>
  <c r="K57" i="43"/>
  <c r="J57" i="43" s="1"/>
  <c r="D57" i="43" s="1"/>
  <c r="AZ292" i="3"/>
  <c r="AZ64" i="3"/>
  <c r="AZ437" i="3"/>
  <c r="AZ473" i="3"/>
  <c r="AZ76" i="3"/>
  <c r="AZ202" i="3"/>
  <c r="AZ117" i="3"/>
  <c r="AZ232" i="3"/>
  <c r="AZ333" i="3"/>
  <c r="AZ118" i="3"/>
  <c r="AZ130" i="3"/>
  <c r="AZ395" i="3"/>
  <c r="AZ72" i="3"/>
  <c r="U39" i="40"/>
  <c r="AB39" i="40"/>
  <c r="AC28" i="37"/>
  <c r="W28" i="37"/>
  <c r="U12" i="35"/>
  <c r="AB12" i="35"/>
  <c r="AA23" i="35"/>
  <c r="S23" i="35"/>
  <c r="AZ63" i="3"/>
  <c r="AZ74" i="3"/>
  <c r="AZ440" i="3"/>
  <c r="AZ271" i="3"/>
  <c r="AZ332" i="3"/>
  <c r="AZ297" i="3"/>
  <c r="AB43" i="34"/>
  <c r="U43" i="34"/>
  <c r="F86" i="34"/>
  <c r="G86" i="34" s="1"/>
  <c r="H23" i="34"/>
  <c r="F23" i="34"/>
  <c r="U23" i="35"/>
  <c r="AB23" i="35"/>
  <c r="M53" i="43"/>
  <c r="N53" i="43" s="1"/>
  <c r="K53" i="43"/>
  <c r="K51" i="43"/>
  <c r="M51" i="43"/>
  <c r="N51" i="43" s="1"/>
  <c r="AZ206" i="3"/>
  <c r="AZ58" i="3"/>
  <c r="AZ27" i="3"/>
  <c r="AZ169" i="3"/>
  <c r="AZ239" i="3"/>
  <c r="AZ224" i="3"/>
  <c r="AZ367" i="3"/>
  <c r="AC17" i="39"/>
  <c r="AZ233" i="3"/>
  <c r="AB32" i="36"/>
  <c r="U32" i="36"/>
  <c r="S14" i="34"/>
  <c r="AA14" i="34"/>
  <c r="J54" i="43"/>
  <c r="D54" i="43"/>
  <c r="AC23" i="35"/>
  <c r="W23" i="35"/>
  <c r="M58" i="43"/>
  <c r="N58" i="43" s="1"/>
  <c r="K58" i="43"/>
  <c r="J58" i="43" s="1"/>
  <c r="D58" i="43" s="1"/>
  <c r="M50" i="43"/>
  <c r="N50" i="43" s="1"/>
  <c r="K50" i="43"/>
  <c r="AZ300" i="3"/>
  <c r="AZ485" i="3"/>
  <c r="AZ137" i="3"/>
  <c r="AZ216" i="3"/>
  <c r="AZ453" i="3"/>
  <c r="AZ430" i="3"/>
  <c r="AZ235" i="3"/>
  <c r="AZ469" i="3"/>
  <c r="U29" i="21"/>
  <c r="AB29" i="21"/>
  <c r="AA32" i="36"/>
  <c r="S32" i="36"/>
  <c r="AA45" i="33"/>
  <c r="S45" i="33"/>
  <c r="M56" i="43"/>
  <c r="N56" i="43" s="1"/>
  <c r="K56" i="43"/>
  <c r="M52" i="43"/>
  <c r="N52" i="43" s="1"/>
  <c r="K52" i="43"/>
  <c r="AZ24" i="3"/>
  <c r="AZ174" i="3"/>
  <c r="E15" i="6"/>
  <c r="E64" i="39" s="1"/>
  <c r="AZ154" i="3"/>
  <c r="AZ462" i="3"/>
  <c r="AC29" i="21"/>
  <c r="W29" i="21"/>
  <c r="W45" i="33"/>
  <c r="AC45" i="33"/>
  <c r="S45" i="39"/>
  <c r="AA45" i="39"/>
  <c r="F78" i="34"/>
  <c r="G78" i="34" s="1"/>
  <c r="J15" i="34"/>
  <c r="F15" i="34"/>
  <c r="M55" i="43"/>
  <c r="N55" i="43" s="1"/>
  <c r="K55" i="43"/>
  <c r="AZ153" i="3"/>
  <c r="AA39" i="37"/>
  <c r="AZ45" i="3"/>
  <c r="AZ88" i="3"/>
  <c r="AZ49" i="3"/>
  <c r="AZ259" i="3"/>
  <c r="AZ251" i="3"/>
  <c r="AZ461" i="3"/>
  <c r="S32" i="34"/>
  <c r="AA32" i="34"/>
  <c r="AB45" i="39"/>
  <c r="U45" i="39"/>
  <c r="E10" i="6"/>
  <c r="E16" i="6" s="1"/>
  <c r="E8" i="6"/>
  <c r="F27" i="6" s="1"/>
  <c r="E14" i="6"/>
  <c r="E63" i="39" s="1"/>
  <c r="E11" i="6"/>
  <c r="E60" i="39" s="1"/>
  <c r="G3" i="43"/>
  <c r="F26" i="43" s="1"/>
  <c r="G3" i="85"/>
  <c r="J57" i="15"/>
  <c r="J55" i="15" s="1"/>
  <c r="J58" i="15" s="1"/>
  <c r="Q50" i="15" s="1"/>
  <c r="L58" i="15"/>
  <c r="Q73" i="15" s="1"/>
  <c r="I54" i="15"/>
  <c r="J53" i="15"/>
  <c r="L56" i="15" s="1"/>
  <c r="P26" i="85"/>
  <c r="P25" i="85"/>
  <c r="P27" i="85"/>
  <c r="O23" i="85"/>
  <c r="P28" i="85"/>
  <c r="P29" i="85"/>
  <c r="C23" i="85"/>
  <c r="G6" i="1"/>
  <c r="G16" i="1" s="1"/>
  <c r="F10" i="39" s="1"/>
  <c r="S10" i="39" s="1"/>
  <c r="U19" i="34"/>
  <c r="S19" i="34"/>
  <c r="S9" i="34"/>
  <c r="W46" i="34"/>
  <c r="AC46" i="34"/>
  <c r="AB29" i="34"/>
  <c r="U29" i="34"/>
  <c r="AA29" i="34"/>
  <c r="U17" i="39"/>
  <c r="AA17" i="39"/>
  <c r="S17" i="39"/>
  <c r="M11" i="82"/>
  <c r="J10" i="82" s="1"/>
  <c r="F11" i="82"/>
  <c r="C30" i="69"/>
  <c r="E26" i="43"/>
  <c r="F30" i="6"/>
  <c r="E29" i="6"/>
  <c r="K15" i="1" s="1"/>
  <c r="K16" i="1" s="1"/>
  <c r="E59" i="40"/>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40"/>
  <c r="AB10" i="40" s="1"/>
  <c r="C7" i="43"/>
  <c r="C5" i="43" s="1"/>
  <c r="B7" i="74"/>
  <c r="E69" i="39"/>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M11" i="67"/>
  <c r="J10" i="67" s="1"/>
  <c r="F11" i="15"/>
  <c r="M11" i="15"/>
  <c r="J10" i="15" s="1"/>
  <c r="J5" i="15" s="1"/>
  <c r="J24" i="15" s="1"/>
  <c r="F11" i="67"/>
  <c r="C32" i="15"/>
  <c r="F1" i="67"/>
  <c r="Q52" i="67"/>
  <c r="Q74" i="15"/>
  <c r="Q61" i="15"/>
  <c r="AE11" i="1"/>
  <c r="AE9" i="1"/>
  <c r="F27" i="68"/>
  <c r="AE8" i="1"/>
  <c r="AE12" i="1"/>
  <c r="AE10" i="1"/>
  <c r="F42" i="82"/>
  <c r="F8" i="82"/>
  <c r="F43" i="82"/>
  <c r="G1" i="73"/>
  <c r="M22" i="82"/>
  <c r="F6" i="82"/>
  <c r="M28" i="82"/>
  <c r="M29" i="82"/>
  <c r="C16" i="67"/>
  <c r="M23" i="82"/>
  <c r="F16" i="82"/>
  <c r="L48" i="82"/>
  <c r="M8" i="82"/>
  <c r="J15" i="82"/>
  <c r="F26" i="82"/>
  <c r="F13" i="82"/>
  <c r="L47" i="82"/>
  <c r="M6" i="82"/>
  <c r="F9" i="82"/>
  <c r="C76" i="82"/>
  <c r="F40" i="82"/>
  <c r="F37" i="82"/>
  <c r="F36" i="82"/>
  <c r="F41" i="67"/>
  <c r="F38" i="82"/>
  <c r="M9" i="82"/>
  <c r="M26" i="82"/>
  <c r="F7" i="82"/>
  <c r="M24" i="82"/>
  <c r="Q74" i="67" l="1"/>
  <c r="N65" i="71"/>
  <c r="N66" i="71"/>
  <c r="T44" i="71"/>
  <c r="D44" i="71"/>
  <c r="B116" i="43"/>
  <c r="G26" i="43"/>
  <c r="H26" i="43"/>
  <c r="J26" i="43"/>
  <c r="AZ5" i="3"/>
  <c r="E3" i="6" s="1"/>
  <c r="B14" i="74" s="1"/>
  <c r="N94" i="46"/>
  <c r="C21" i="71"/>
  <c r="D22" i="71"/>
  <c r="Q73" i="67"/>
  <c r="L58" i="82"/>
  <c r="N59" i="82"/>
  <c r="M59" i="82"/>
  <c r="L59" i="82"/>
  <c r="F66" i="82"/>
  <c r="F68" i="82"/>
  <c r="M7" i="82"/>
  <c r="J6" i="82" s="1"/>
  <c r="J5" i="82" s="1"/>
  <c r="J24" i="82" s="1"/>
  <c r="F50" i="82"/>
  <c r="C6" i="82"/>
  <c r="C10" i="82" s="1"/>
  <c r="C5" i="82" s="1"/>
  <c r="F51" i="82"/>
  <c r="F71" i="82"/>
  <c r="L57" i="82"/>
  <c r="I54" i="82"/>
  <c r="L56" i="82"/>
  <c r="L60" i="82"/>
  <c r="J53" i="82"/>
  <c r="J57" i="82"/>
  <c r="J55" i="82" s="1"/>
  <c r="J58" i="82" s="1"/>
  <c r="Q50" i="82" s="1"/>
  <c r="F65" i="82"/>
  <c r="C27" i="82"/>
  <c r="F64" i="82"/>
  <c r="Q71" i="82"/>
  <c r="J53" i="43"/>
  <c r="D53" i="43"/>
  <c r="AA15" i="34"/>
  <c r="S15" i="34"/>
  <c r="J56" i="43"/>
  <c r="D56" i="43"/>
  <c r="J50" i="43"/>
  <c r="D50" i="43"/>
  <c r="W15" i="34"/>
  <c r="AC15" i="34"/>
  <c r="AA23" i="34"/>
  <c r="S23" i="34"/>
  <c r="U23" i="34"/>
  <c r="AB23" i="34"/>
  <c r="J55" i="43"/>
  <c r="D55" i="43"/>
  <c r="J52" i="43"/>
  <c r="D52" i="43"/>
  <c r="D51" i="43"/>
  <c r="J51" i="43"/>
  <c r="AA10" i="39"/>
  <c r="J10" i="39"/>
  <c r="W10" i="39" s="1"/>
  <c r="F10" i="40"/>
  <c r="S10" i="40" s="1"/>
  <c r="H10" i="39"/>
  <c r="U10" i="39" s="1"/>
  <c r="Q60" i="15"/>
  <c r="E26" i="85"/>
  <c r="J26" i="85"/>
  <c r="F26" i="85"/>
  <c r="B116" i="85"/>
  <c r="H26" i="85"/>
  <c r="G26" i="85"/>
  <c r="Z7" i="85"/>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G40" i="36" s="1"/>
  <c r="H40" i="36" s="1"/>
  <c r="D26" i="43"/>
  <c r="C25" i="43" s="1"/>
  <c r="S7" i="36"/>
  <c r="C53" i="82"/>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D3" i="21"/>
  <c r="E6" i="6"/>
  <c r="C34" i="34" s="1"/>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1" i="36"/>
  <c r="H41" i="36" s="1"/>
  <c r="G46" i="37"/>
  <c r="H46" i="37" s="1"/>
  <c r="G48" i="35"/>
  <c r="U7" i="33"/>
  <c r="AB7" i="33"/>
  <c r="T48" i="33" s="1"/>
  <c r="G48" i="33" s="1"/>
  <c r="C53" i="67"/>
  <c r="C10" i="67"/>
  <c r="C5" i="67" s="1"/>
  <c r="C38" i="67" s="1"/>
  <c r="C53" i="15"/>
  <c r="C48" i="15" s="1"/>
  <c r="C66" i="15" s="1"/>
  <c r="C10" i="15"/>
  <c r="C5" i="15" s="1"/>
  <c r="C38" i="15" s="1"/>
  <c r="C16" i="82"/>
  <c r="M27" i="82"/>
  <c r="M27" i="67"/>
  <c r="AE6" i="1"/>
  <c r="I46" i="37" l="1"/>
  <c r="J46" i="37" s="1"/>
  <c r="AC10" i="39"/>
  <c r="D21" i="71"/>
  <c r="C20" i="71"/>
  <c r="B1" i="74"/>
  <c r="C49" i="82"/>
  <c r="C61" i="82" s="1"/>
  <c r="J19" i="82"/>
  <c r="J18" i="82"/>
  <c r="E50" i="43"/>
  <c r="B48" i="43" s="1"/>
  <c r="C28" i="43" s="1"/>
  <c r="C48" i="82"/>
  <c r="C60" i="82" s="1"/>
  <c r="Q61" i="82"/>
  <c r="Q74" i="82"/>
  <c r="Q57" i="82"/>
  <c r="Q66" i="82"/>
  <c r="F1" i="82"/>
  <c r="Q52" i="82"/>
  <c r="C33" i="82"/>
  <c r="C32" i="82"/>
  <c r="Q73" i="82"/>
  <c r="Q60" i="82"/>
  <c r="AY87" i="3"/>
  <c r="AG6" i="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15"/>
  <c r="C17" i="67"/>
  <c r="F41" i="15"/>
  <c r="M27" i="15"/>
  <c r="C17" i="82"/>
  <c r="C14" i="67"/>
  <c r="AE7" i="1"/>
  <c r="D20" i="71" l="1"/>
  <c r="U20" i="71" s="1"/>
  <c r="C19" i="71"/>
  <c r="T20" i="71"/>
  <c r="T12" i="43"/>
  <c r="V12" i="43" s="1"/>
  <c r="C33" i="43"/>
  <c r="E33" i="43" s="1"/>
  <c r="T15" i="43"/>
  <c r="V15" i="43" s="1"/>
  <c r="T10" i="43"/>
  <c r="V10" i="43" s="1"/>
  <c r="C40" i="43"/>
  <c r="C39" i="43"/>
  <c r="T14" i="43"/>
  <c r="V14" i="43" s="1"/>
  <c r="T13" i="43"/>
  <c r="V13" i="43" s="1"/>
  <c r="T8" i="43"/>
  <c r="V8" i="43" s="1"/>
  <c r="C37" i="43"/>
  <c r="T11" i="43"/>
  <c r="V11" i="43" s="1"/>
  <c r="T4" i="43"/>
  <c r="V4" i="43" s="1"/>
  <c r="C41" i="43"/>
  <c r="T9" i="43"/>
  <c r="V9" i="43" s="1"/>
  <c r="T3" i="43"/>
  <c r="V3" i="43" s="1"/>
  <c r="T5" i="43"/>
  <c r="V5" i="43" s="1"/>
  <c r="T7" i="43"/>
  <c r="V7" i="43" s="1"/>
  <c r="T2" i="43"/>
  <c r="V2" i="43" s="1"/>
  <c r="C42" i="43"/>
  <c r="T16" i="43"/>
  <c r="V16" i="43" s="1"/>
  <c r="T6" i="43"/>
  <c r="V6" i="43" s="1"/>
  <c r="C38" i="43"/>
  <c r="F69" i="15"/>
  <c r="C34" i="85"/>
  <c r="E34" i="85" s="1"/>
  <c r="C31" i="85" s="1"/>
  <c r="E7" i="70"/>
  <c r="D15" i="6"/>
  <c r="C14" i="74"/>
  <c r="AA34" i="34"/>
  <c r="R49" i="34" s="1"/>
  <c r="S34" i="34"/>
  <c r="AB34" i="34"/>
  <c r="T49" i="34" s="1"/>
  <c r="G49" i="34" s="1"/>
  <c r="U34" i="34"/>
  <c r="C118" i="85"/>
  <c r="D116" i="85" s="1"/>
  <c r="AC34" i="34"/>
  <c r="V49" i="34" s="1"/>
  <c r="I49" i="34" s="1"/>
  <c r="I53" i="34" s="1"/>
  <c r="J53" i="34" s="1"/>
  <c r="W34" i="34"/>
  <c r="C30" i="85"/>
  <c r="C60" i="67"/>
  <c r="N37" i="85"/>
  <c r="P37" i="85"/>
  <c r="M37" i="85"/>
  <c r="Q37" i="85"/>
  <c r="O37" i="85"/>
  <c r="N36" i="43"/>
  <c r="O37" i="43"/>
  <c r="Q37" i="43"/>
  <c r="Q36" i="43"/>
  <c r="M37" i="43"/>
  <c r="P36" i="43"/>
  <c r="O36" i="43"/>
  <c r="N37" i="43"/>
  <c r="M36" i="43"/>
  <c r="C24" i="82"/>
  <c r="C18" i="4"/>
  <c r="C4" i="52" s="1"/>
  <c r="B45" i="72" s="1"/>
  <c r="D10" i="6"/>
  <c r="H26" i="6"/>
  <c r="D8" i="6"/>
  <c r="D11" i="6"/>
  <c r="D24" i="6"/>
  <c r="D26" i="6"/>
  <c r="M19" i="9"/>
  <c r="C118" i="9" s="1"/>
  <c r="E61" i="40"/>
  <c r="D12" i="6"/>
  <c r="D19" i="6"/>
  <c r="D9" i="6"/>
  <c r="D21" i="6"/>
  <c r="D28" i="6"/>
  <c r="D5" i="6"/>
  <c r="D29" i="6"/>
  <c r="D6" i="6"/>
  <c r="D22" i="6"/>
  <c r="D13" i="6"/>
  <c r="D23" i="6"/>
  <c r="L19" i="9"/>
  <c r="D14" i="6"/>
  <c r="D20" i="6"/>
  <c r="C24" i="11"/>
  <c r="C23" i="11"/>
  <c r="H24" i="6"/>
  <c r="C44" i="11"/>
  <c r="D41" i="11" s="1"/>
  <c r="H21" i="6"/>
  <c r="H22" i="6"/>
  <c r="C25" i="11"/>
  <c r="H25" i="6"/>
  <c r="R25" i="6" s="1"/>
  <c r="R12" i="1" s="1"/>
  <c r="C44" i="68"/>
  <c r="D41" i="68" s="1"/>
  <c r="C26" i="68"/>
  <c r="D22" i="68" s="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7" i="76"/>
  <c r="C14" i="15"/>
  <c r="F41" i="82"/>
  <c r="C14" i="82"/>
  <c r="C18" i="71" l="1"/>
  <c r="D19" i="71"/>
  <c r="F69" i="82"/>
  <c r="E38" i="43"/>
  <c r="G38" i="43"/>
  <c r="I38" i="43" s="1"/>
  <c r="E39" i="43"/>
  <c r="G39" i="43"/>
  <c r="I39" i="43" s="1"/>
  <c r="E2" i="70"/>
  <c r="R24" i="6"/>
  <c r="R11" i="1" s="1"/>
  <c r="E41" i="43"/>
  <c r="G41" i="43"/>
  <c r="I41" i="43" s="1"/>
  <c r="G40" i="43"/>
  <c r="I40" i="43" s="1"/>
  <c r="E40" i="43"/>
  <c r="E42" i="43"/>
  <c r="G42" i="43"/>
  <c r="I42" i="43" s="1"/>
  <c r="R26" i="6"/>
  <c r="C34" i="43"/>
  <c r="E34" i="43" s="1"/>
  <c r="E37" i="43"/>
  <c r="G37" i="43"/>
  <c r="I37" i="43" s="1"/>
  <c r="R22" i="6"/>
  <c r="R9" i="1" s="1"/>
  <c r="R21" i="6"/>
  <c r="R8" i="1" s="1"/>
  <c r="D30" i="6"/>
  <c r="A10" i="51"/>
  <c r="B9" i="72" s="1"/>
  <c r="B2" i="74"/>
  <c r="C15" i="82"/>
  <c r="C18" i="82"/>
  <c r="R50" i="34"/>
  <c r="E49" i="34"/>
  <c r="G53" i="34"/>
  <c r="H53" i="34" s="1"/>
  <c r="G54" i="34"/>
  <c r="H54" i="34" s="1"/>
  <c r="B2" i="85"/>
  <c r="D7" i="74"/>
  <c r="C18" i="12"/>
  <c r="C22" i="11"/>
  <c r="C31" i="11" s="1"/>
  <c r="D16" i="6"/>
  <c r="D27" i="6"/>
  <c r="R23" i="6"/>
  <c r="R10" i="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B7" i="76"/>
  <c r="C30" i="43" l="1"/>
  <c r="B2" i="43" s="1"/>
  <c r="C31" i="43"/>
  <c r="C17" i="71"/>
  <c r="D18" i="71"/>
  <c r="D31" i="6"/>
  <c r="I5" i="6" s="1"/>
  <c r="C19" i="82"/>
  <c r="C20" i="82" s="1"/>
  <c r="C26" i="82" s="1"/>
  <c r="C50" i="34"/>
  <c r="C49" i="34"/>
  <c r="I54" i="34"/>
  <c r="J54" i="34" s="1"/>
  <c r="E53" i="34"/>
  <c r="F53" i="34" s="1"/>
  <c r="E54" i="34"/>
  <c r="F54" i="34" s="1"/>
  <c r="B3" i="85"/>
  <c r="C21" i="12"/>
  <c r="C22" i="12" s="1"/>
  <c r="C27" i="12" s="1"/>
  <c r="C25" i="12" s="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C16" i="71"/>
  <c r="D17" i="71"/>
  <c r="I6" i="6"/>
  <c r="C11" i="39" s="1"/>
  <c r="H11" i="39" s="1"/>
  <c r="B2" i="76"/>
  <c r="C6" i="68" s="1"/>
  <c r="B3" i="43"/>
  <c r="C23" i="82"/>
  <c r="C29" i="82" s="1"/>
  <c r="C36" i="82" s="1"/>
  <c r="C30" i="12"/>
  <c r="C28" i="12" s="1"/>
  <c r="C32" i="12" s="1"/>
  <c r="B2" i="12" s="1"/>
  <c r="B3" i="12" s="1"/>
  <c r="C39" i="68"/>
  <c r="C46" i="68" s="1"/>
  <c r="C45" i="68" s="1"/>
  <c r="C91" i="9"/>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F35" i="67"/>
  <c r="F35" i="15"/>
  <c r="M21" i="15"/>
  <c r="M21" i="67"/>
  <c r="M21" i="82"/>
  <c r="J11" i="39" l="1"/>
  <c r="F11" i="39"/>
  <c r="M23" i="43"/>
  <c r="C15" i="71"/>
  <c r="T16" i="71"/>
  <c r="D16" i="71"/>
  <c r="B3" i="76"/>
  <c r="J59" i="82"/>
  <c r="J60" i="82" s="1"/>
  <c r="Q48" i="82" s="1"/>
  <c r="C57" i="82"/>
  <c r="C64" i="82" s="1"/>
  <c r="J14" i="82"/>
  <c r="J13" i="82" s="1"/>
  <c r="J23" i="82" s="1"/>
  <c r="C13" i="82"/>
  <c r="Q70" i="82" s="1"/>
  <c r="Q49" i="82"/>
  <c r="W11" i="39"/>
  <c r="AC11" i="39"/>
  <c r="U11" i="39"/>
  <c r="AB11" i="39"/>
  <c r="S11" i="39"/>
  <c r="AA11" i="39"/>
  <c r="E48" i="21"/>
  <c r="E52" i="21" s="1"/>
  <c r="F52" i="21" s="1"/>
  <c r="J20" i="82"/>
  <c r="J17" i="82" s="1"/>
  <c r="F63" i="82"/>
  <c r="C62" i="82" s="1"/>
  <c r="C59" i="82" s="1"/>
  <c r="C34" i="82"/>
  <c r="C31" i="82" s="1"/>
  <c r="C43" i="68"/>
  <c r="C41" i="68" s="1"/>
  <c r="C49" i="68" s="1"/>
  <c r="C51" i="68" s="1"/>
  <c r="C94" i="9"/>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U16" i="71" l="1"/>
  <c r="M23" i="85"/>
  <c r="C14" i="71"/>
  <c r="D15" i="71"/>
  <c r="J22" i="82"/>
  <c r="J16" i="82" s="1"/>
  <c r="J25" i="82" s="1"/>
  <c r="J26" i="82" s="1"/>
  <c r="J29" i="82" s="1"/>
  <c r="L46" i="82"/>
  <c r="C56" i="82"/>
  <c r="C65" i="82" s="1"/>
  <c r="C58" i="82" s="1"/>
  <c r="C67" i="82" s="1"/>
  <c r="C68" i="82" s="1"/>
  <c r="C71" i="82" s="1"/>
  <c r="C37" i="82"/>
  <c r="C30" i="82" s="1"/>
  <c r="C39" i="82" s="1"/>
  <c r="C75" i="82"/>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D14" i="71" l="1"/>
  <c r="C13" i="71"/>
  <c r="C80" i="82"/>
  <c r="C79" i="82" s="1"/>
  <c r="C40" i="82"/>
  <c r="C46" i="82" s="1"/>
  <c r="Q69" i="82"/>
  <c r="Q68" i="82" s="1"/>
  <c r="Q67"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C83" i="82"/>
  <c r="C82" i="82" s="1"/>
  <c r="Q65" i="82"/>
  <c r="Q75" i="82" s="1"/>
  <c r="Q47" i="82"/>
  <c r="Q53" i="82" s="1"/>
  <c r="B2" i="82"/>
  <c r="B3" i="82" s="1"/>
  <c r="Q56" i="82"/>
  <c r="Q62" i="82" s="1"/>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8" i="1"/>
  <c r="AO12" i="1"/>
  <c r="AO7" i="1"/>
  <c r="AO11" i="1"/>
  <c r="D11" i="71" l="1"/>
  <c r="C10" i="71"/>
  <c r="R48" i="3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B6" i="70"/>
  <c r="B2"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F65" i="39"/>
  <c r="B2" i="39" s="1"/>
  <c r="D102" i="9"/>
  <c r="D21" i="9"/>
  <c r="B3" i="70"/>
  <c r="C42" i="40"/>
  <c r="C43" i="40"/>
  <c r="E47" i="40"/>
  <c r="F47" i="40" s="1"/>
  <c r="E46" i="40"/>
  <c r="F46" i="40" s="1"/>
  <c r="I47" i="40"/>
  <c r="J47" i="40" s="1"/>
  <c r="D20" i="9"/>
  <c r="D8" i="71" l="1"/>
  <c r="C7" i="71"/>
  <c r="B3"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H109" i="9"/>
  <c r="D124" i="9" s="1"/>
  <c r="C5" i="71" l="1"/>
  <c r="D6" i="71"/>
  <c r="C23" i="68"/>
  <c r="C20" i="68"/>
  <c r="D16" i="53"/>
  <c r="H110" i="9"/>
  <c r="D18" i="53" s="1"/>
  <c r="B35" i="72" s="1"/>
  <c r="D10" i="52"/>
  <c r="D125" i="9"/>
  <c r="D11" i="52" s="1"/>
  <c r="M24" i="85" l="1"/>
  <c r="D5" i="71"/>
  <c r="M24" i="43" s="1"/>
  <c r="C28" i="68"/>
  <c r="C27" i="68" s="1"/>
  <c r="C25" i="68"/>
  <c r="C22" i="68" s="1"/>
  <c r="C7" i="74"/>
  <c r="B34" i="72"/>
  <c r="D17" i="53"/>
  <c r="B36" i="72" s="1"/>
  <c r="C31" i="68" l="1"/>
  <c r="C52" i="68" s="1"/>
  <c r="C57" i="68" s="1"/>
  <c r="C56" i="68" s="1"/>
  <c r="B2" i="68" l="1"/>
  <c r="B3" i="68" s="1"/>
  <c r="D35" i="9"/>
  <c r="D34" i="9"/>
  <c r="C20" i="9"/>
  <c r="C19"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P59" i="9"/>
  <c r="P60" i="9" s="1"/>
  <c r="C81" i="9"/>
  <c r="C96" i="9"/>
  <c r="E96" i="9" s="1"/>
  <c r="E97" i="9" s="1"/>
  <c r="M69" i="9"/>
  <c r="N69" i="9" s="1"/>
  <c r="Q57" i="9" l="1"/>
  <c r="P58" i="9"/>
  <c r="J20" i="9"/>
  <c r="P61" i="9"/>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tc={CF6BECF6-660D-4BFA-BD5F-37C778247634}</author>
  </authors>
  <commentList>
    <comment ref="L5" authorId="0">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<sst xmlns="http://schemas.openxmlformats.org/spreadsheetml/2006/main" count="9508" uniqueCount="3838">
  <si>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</si>
  <si>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</si>
  <si>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</si>
  <si>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</si>
  <si>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</si>
  <si>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</si>
  <si>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</si>
  <si>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</si>
  <si>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</si>
  <si>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</si>
  <si>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</si>
  <si>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</si>
  <si>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</si>
  <si>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</si>
  <si>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</si>
  <si>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</si>
  <si>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</si>
  <si>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</si>
  <si>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</si>
  <si>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</si>
  <si>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</si>
  <si>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</si>
  <si>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</si>
  <si>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</si>
  <si>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</si>
  <si>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</si>
  <si>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</si>
  <si>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</si>
  <si>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</si>
  <si>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</si>
  <si>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</si>
  <si>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</si>
  <si>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</si>
  <si>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</si>
  <si>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</si>
  <si>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</si>
  <si>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</si>
  <si>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</si>
  <si>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</si>
  <si>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</si>
  <si>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</si>
  <si>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</si>
  <si>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</si>
  <si>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</si>
  <si>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</si>
  <si>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</si>
  <si>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</si>
  <si>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</si>
  <si>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</si>
  <si>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</si>
  <si>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</si>
  <si>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</si>
  <si>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</si>
  <si>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</si>
  <si>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</si>
  <si>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</si>
  <si>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</si>
  <si>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</si>
  <si>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</si>
  <si>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</si>
  <si>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</si>
  <si>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</si>
  <si>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</si>
  <si>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</si>
  <si>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</si>
  <si>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</si>
  <si>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</si>
  <si>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</si>
  <si>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</si>
  <si>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</si>
  <si>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</si>
  <si>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</si>
  <si>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</si>
  <si>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</si>
  <si>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</si>
  <si>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</si>
  <si>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</si>
  <si>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</si>
  <si>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</si>
  <si>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</si>
  <si>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</si>
  <si>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</si>
  <si>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</si>
  <si>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</si>
  <si>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</si>
  <si>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</si>
  <si>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</si>
  <si>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</si>
  <si>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</si>
  <si>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</si>
  <si>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</si>
  <si>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</si>
  <si>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</si>
  <si>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</si>
  <si>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</si>
  <si>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</si>
  <si>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</si>
  <si>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</si>
  <si>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</si>
  <si>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</si>
  <si>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</si>
  <si>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</si>
  <si>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</si>
  <si>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</si>
  <si>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</si>
  <si>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</si>
  <si>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</si>
  <si>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</si>
  <si>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</si>
  <si>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</si>
  <si>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</si>
  <si>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</si>
  <si>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</si>
  <si>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</si>
  <si>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</si>
  <si>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</si>
  <si>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</si>
  <si>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</si>
  <si>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</si>
  <si>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</si>
  <si>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</si>
  <si>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</si>
  <si>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</si>
  <si>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</si>
  <si>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</si>
  <si>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</si>
  <si>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</si>
  <si>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</si>
  <si>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</si>
  <si>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</si>
  <si>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</si>
  <si>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</si>
  <si>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</si>
  <si>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</si>
  <si>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</si>
  <si>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</si>
  <si>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</si>
  <si>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</si>
  <si>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</si>
  <si>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</si>
  <si>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</si>
  <si>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</si>
  <si>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</si>
  <si>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</si>
  <si>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</si>
  <si>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</si>
  <si>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</si>
  <si>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</si>
  <si>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</si>
  <si>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</si>
  <si>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</si>
  <si>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</si>
  <si>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</si>
  <si>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</si>
  <si>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</si>
  <si>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</si>
  <si>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</si>
  <si>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</si>
  <si>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</si>
  <si>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</si>
  <si>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</si>
  <si>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</si>
  <si>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</si>
  <si>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</si>
  <si>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</si>
  <si>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</si>
  <si>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</si>
  <si>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</si>
  <si>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</si>
  <si>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</si>
  <si>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</si>
  <si>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</si>
  <si>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</si>
  <si>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</si>
  <si>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</si>
  <si>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</si>
  <si>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</si>
  <si>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</si>
  <si>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</si>
  <si>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</si>
  <si>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</si>
  <si>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</si>
  <si>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</si>
  <si>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</si>
  <si>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</si>
  <si>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</si>
  <si>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</si>
  <si>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</si>
  <si>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</si>
  <si>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</si>
  <si>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</si>
  <si>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</si>
  <si>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</si>
  <si>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</si>
  <si>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</si>
  <si>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</si>
  <si>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</si>
  <si>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</si>
  <si>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</si>
  <si>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</si>
  <si>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</si>
  <si>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</si>
  <si>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</si>
  <si>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</si>
  <si>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</si>
  <si>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</si>
  <si>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</si>
  <si>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</si>
  <si>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</si>
  <si>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</si>
  <si>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</si>
  <si>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</si>
  <si>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</si>
  <si>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</si>
  <si>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</si>
  <si>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</si>
  <si>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</si>
  <si>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</si>
  <si>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</si>
  <si>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</si>
  <si>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</si>
  <si>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</si>
  <si>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</si>
  <si>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</si>
  <si>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</si>
  <si>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</si>
  <si>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</si>
  <si>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</si>
  <si>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</si>
  <si>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</si>
  <si>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</si>
  <si>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</si>
  <si>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</si>
  <si>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</si>
  <si>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</si>
  <si>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</si>
  <si>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</si>
  <si>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</si>
  <si>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</si>
  <si>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</si>
  <si>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</si>
  <si>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</si>
  <si>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</si>
  <si>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</si>
  <si>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</si>
  <si>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</si>
  <si>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</si>
  <si>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</si>
  <si>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</si>
  <si>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</si>
  <si>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</si>
  <si>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</si>
  <si>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</si>
  <si>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</si>
  <si>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</si>
  <si>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</si>
  <si>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</si>
  <si>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</si>
  <si>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</si>
  <si>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</si>
  <si>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</si>
  <si>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</si>
  <si>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</si>
  <si>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</si>
  <si>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</si>
  <si>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</si>
  <si>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</si>
  <si>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</si>
  <si>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</si>
  <si>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</si>
  <si>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</si>
  <si>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</si>
  <si>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</si>
  <si>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</si>
  <si>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</si>
  <si>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</si>
  <si>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</si>
  <si>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</si>
  <si>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</si>
  <si>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</si>
  <si>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</si>
  <si>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</si>
  <si>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</si>
  <si>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</si>
  <si>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</si>
  <si>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</si>
  <si>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</si>
  <si>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</si>
  <si>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</si>
  <si>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</si>
  <si>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</si>
  <si>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</si>
  <si>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</si>
  <si>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</si>
  <si>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</si>
  <si>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</si>
  <si>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</si>
  <si>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</si>
  <si>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</si>
  <si>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</si>
  <si>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</si>
  <si>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</si>
  <si>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</si>
  <si>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</si>
  <si>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</si>
  <si>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</si>
  <si>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</si>
  <si>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</si>
  <si>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</si>
  <si>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</si>
  <si>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</si>
  <si>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</si>
  <si>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</si>
  <si>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</si>
  <si>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</si>
  <si>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</si>
  <si>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</si>
  <si>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</si>
  <si>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</si>
  <si>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</si>
  <si>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</si>
  <si>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</si>
  <si>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</si>
  <si>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</si>
  <si>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</si>
  <si>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</si>
  <si>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</si>
  <si>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</si>
  <si>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</si>
  <si>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</si>
  <si>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</si>
  <si>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</si>
  <si>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</si>
  <si>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</si>
  <si>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</si>
  <si>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</si>
  <si>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</si>
  <si>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</si>
  <si>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</si>
  <si>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</si>
  <si>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</si>
  <si>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</si>
  <si>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</si>
  <si>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</si>
  <si>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</si>
  <si>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</si>
  <si>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</si>
  <si>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</si>
  <si>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</si>
  <si>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</si>
  <si>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</si>
  <si>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</si>
  <si>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</si>
  <si>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</si>
  <si>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</si>
  <si>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</si>
  <si>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</si>
  <si>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</si>
  <si>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</si>
  <si>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</si>
  <si>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</si>
  <si>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</si>
  <si>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</si>
  <si>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</si>
  <si>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</si>
  <si>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</si>
  <si>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</si>
  <si>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</si>
  <si>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</si>
  <si>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</si>
  <si>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</si>
  <si>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</si>
  <si>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</si>
  <si>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</si>
  <si>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</si>
  <si>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</si>
  <si>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</si>
  <si>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</si>
  <si>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</si>
  <si>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</si>
  <si>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</si>
  <si>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</si>
  <si>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</si>
  <si>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</si>
  <si>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</si>
  <si>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</si>
  <si>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</si>
  <si>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</si>
  <si>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</si>
  <si>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</si>
  <si>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</si>
  <si>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</si>
  <si>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</si>
  <si>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</si>
  <si>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</si>
  <si>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</si>
  <si>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</si>
  <si>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</si>
  <si>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</si>
  <si>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</si>
  <si>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</si>
  <si>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</si>
  <si>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</si>
  <si>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</si>
  <si>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</si>
  <si>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</si>
  <si>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</si>
  <si>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</si>
  <si>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</si>
  <si>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</si>
  <si>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</si>
  <si>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</si>
  <si>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</si>
  <si>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</si>
  <si>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</si>
  <si>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</si>
  <si>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</si>
  <si>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</si>
  <si>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</si>
  <si>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</si>
  <si>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</si>
  <si>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</si>
  <si>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</si>
  <si>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</si>
  <si>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</si>
  <si>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</si>
  <si>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</si>
  <si>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</si>
  <si>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</si>
  <si>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</si>
  <si>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</si>
  <si>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</si>
  <si>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</si>
  <si>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</si>
  <si>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</si>
  <si>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</si>
  <si>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</si>
  <si>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</si>
  <si>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</si>
  <si>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</si>
  <si>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</si>
  <si>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</si>
  <si>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</si>
  <si>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</si>
  <si>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</si>
  <si>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</si>
  <si>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</si>
  <si>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</si>
  <si>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</si>
  <si>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</si>
  <si>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</si>
  <si>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</si>
  <si>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</si>
  <si>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</si>
  <si>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</si>
  <si>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</si>
  <si>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</si>
  <si>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</si>
  <si>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</si>
  <si>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</si>
  <si>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</si>
  <si>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</si>
  <si>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</si>
  <si>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</si>
  <si>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</si>
  <si>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</si>
  <si>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</si>
  <si>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</si>
  <si>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</si>
  <si>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</si>
  <si>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</si>
  <si>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</si>
  <si>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</si>
  <si>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</si>
  <si>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</si>
  <si>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</si>
  <si>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</si>
  <si>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</si>
  <si>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</si>
  <si>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</si>
  <si>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</si>
  <si>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</si>
  <si>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</si>
  <si>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</si>
  <si>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</si>
  <si>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</si>
  <si>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</si>
  <si>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</si>
  <si>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</si>
  <si>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</si>
  <si>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</si>
  <si>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</si>
  <si>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</si>
  <si>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</si>
  <si>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</si>
  <si>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</si>
  <si>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</si>
  <si>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</si>
  <si>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</si>
  <si>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</si>
  <si>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</si>
  <si>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</si>
  <si>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</si>
  <si>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</si>
  <si>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</si>
  <si>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</si>
  <si>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</si>
  <si>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</si>
  <si>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</si>
  <si>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</si>
  <si>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</si>
  <si>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</si>
  <si>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</si>
  <si>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</si>
  <si>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</si>
  <si>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</si>
  <si>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</si>
  <si>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</si>
  <si>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</si>
  <si>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</si>
  <si>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</si>
  <si>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</si>
  <si>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</si>
  <si>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</si>
  <si>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</si>
  <si>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</si>
  <si>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</si>
  <si>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</si>
  <si>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</si>
  <si>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</si>
  <si>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</si>
  <si>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</si>
  <si>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</si>
  <si>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</si>
  <si>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</si>
  <si>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</si>
  <si>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</si>
  <si>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</si>
  <si>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</si>
  <si>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</si>
  <si>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</si>
  <si>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</si>
  <si>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</si>
  <si>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</si>
  <si>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</si>
  <si>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</si>
  <si>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</si>
  <si>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</si>
  <si>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</si>
  <si>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</si>
  <si>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</si>
  <si>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</si>
  <si>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</si>
  <si>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</si>
  <si>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</si>
  <si>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</si>
  <si>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</si>
  <si>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</si>
  <si>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</si>
  <si>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</si>
  <si>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</si>
  <si>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</si>
  <si>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</si>
  <si>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</si>
  <si>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</si>
  <si>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</si>
  <si>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</si>
  <si>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</si>
  <si>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</si>
  <si>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</si>
  <si>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</si>
  <si>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</si>
  <si>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</si>
  <si>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</si>
  <si>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</si>
  <si>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</si>
  <si>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</si>
  <si>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</si>
  <si>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</si>
  <si>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</si>
  <si>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</si>
  <si>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</si>
  <si>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</si>
  <si>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</si>
  <si>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</si>
  <si>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</si>
  <si>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</si>
  <si>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</si>
  <si>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</si>
  <si>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</si>
  <si>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</si>
  <si>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</si>
  <si>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</si>
  <si>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</si>
  <si>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</si>
  <si>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</si>
  <si>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</si>
  <si>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</si>
  <si>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</si>
  <si>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</si>
  <si>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</si>
  <si>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</si>
  <si>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</si>
  <si>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</si>
  <si>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</si>
  <si>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</si>
  <si>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</si>
  <si>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</si>
  <si>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</si>
  <si>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</si>
  <si>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</si>
  <si>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</si>
  <si>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</si>
  <si>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</si>
  <si>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</si>
  <si>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</si>
  <si>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</si>
  <si>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</si>
  <si>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</si>
  <si>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</si>
  <si>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</si>
  <si>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</si>
  <si>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</si>
  <si>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</si>
  <si>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</si>
  <si>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</si>
  <si>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</si>
  <si>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</si>
  <si>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</si>
  <si>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</si>
  <si>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</si>
  <si>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</si>
  <si>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</si>
  <si>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</si>
  <si>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</si>
  <si>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</si>
  <si>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</si>
  <si>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</si>
  <si>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</si>
  <si>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</si>
  <si>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</si>
  <si>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</si>
  <si>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</si>
  <si>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</si>
  <si>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</si>
  <si>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</si>
  <si>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</si>
  <si>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</si>
  <si>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</si>
  <si>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</si>
  <si>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</si>
  <si>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</si>
  <si>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</si>
  <si>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</si>
  <si>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</si>
  <si>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</si>
  <si>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</si>
  <si>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</si>
  <si>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</si>
  <si>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</si>
  <si>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</si>
  <si>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</si>
  <si>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</si>
  <si>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</si>
  <si>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</si>
  <si>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</si>
  <si>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</si>
  <si>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</si>
  <si>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</si>
  <si>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</si>
  <si>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</si>
  <si>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</si>
  <si>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</si>
  <si>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</si>
  <si>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</si>
  <si>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</si>
  <si>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</si>
  <si>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</si>
  <si>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</si>
  <si>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</si>
  <si>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</si>
  <si>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</si>
  <si>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</si>
  <si>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</si>
  <si>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</si>
  <si>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</si>
  <si>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</si>
  <si>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</si>
  <si>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</si>
  <si>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</si>
  <si>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</si>
  <si>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</si>
  <si>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</si>
  <si>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</si>
  <si>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</si>
  <si>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</si>
  <si>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</si>
  <si>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</si>
  <si>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</si>
  <si>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</si>
  <si>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</si>
  <si>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</si>
  <si>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</si>
  <si>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</si>
  <si>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</si>
  <si>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</si>
  <si>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</si>
  <si>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</si>
  <si>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</si>
  <si>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</si>
  <si>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</si>
  <si>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</si>
  <si>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</si>
  <si>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</si>
  <si>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</si>
  <si>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</si>
  <si>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</si>
  <si>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</si>
  <si>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</si>
  <si>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</si>
  <si>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</si>
  <si>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</si>
  <si>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</si>
  <si>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</si>
  <si>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</si>
  <si>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</si>
  <si>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</si>
  <si>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</si>
  <si>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</si>
  <si>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</si>
  <si>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</si>
  <si>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</si>
  <si>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</si>
  <si>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</si>
  <si>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</si>
  <si>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</si>
  <si>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</si>
  <si>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</si>
  <si>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</si>
  <si>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</si>
  <si>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</si>
  <si>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</si>
  <si>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</si>
  <si>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</si>
  <si>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</si>
  <si>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</si>
  <si>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</si>
  <si>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</si>
  <si>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</si>
  <si>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</si>
  <si>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</si>
  <si>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</si>
  <si>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</si>
  <si>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</si>
  <si>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</si>
  <si>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</si>
  <si>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</si>
  <si>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</si>
  <si>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</si>
  <si>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</si>
  <si>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</si>
  <si>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</si>
  <si>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</si>
  <si>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</si>
  <si>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</si>
  <si>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</si>
  <si>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</si>
  <si>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</si>
  <si>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</si>
  <si>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</si>
  <si>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</si>
  <si>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</si>
  <si>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</si>
  <si>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</si>
  <si>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</si>
  <si>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</si>
  <si>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</si>
  <si>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</si>
  <si>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</si>
  <si>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</si>
  <si>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</si>
  <si>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</si>
  <si>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</si>
  <si>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</si>
  <si>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</si>
  <si>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</si>
  <si>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</si>
  <si>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</si>
  <si>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</si>
  <si>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</si>
  <si>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</si>
  <si>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</si>
  <si>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</si>
  <si>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</si>
  <si>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</si>
  <si>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</si>
  <si>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</si>
  <si>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</si>
  <si>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</si>
  <si>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</si>
  <si>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</si>
  <si>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</si>
  <si>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</si>
  <si>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</si>
  <si>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</si>
  <si>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</si>
  <si>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</si>
  <si>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</si>
  <si>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</si>
  <si>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</si>
  <si>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</si>
  <si>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</si>
  <si>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</si>
  <si>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</si>
  <si>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</si>
  <si>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</si>
  <si>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</si>
  <si>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</si>
  <si>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</si>
  <si>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</si>
  <si>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</si>
  <si>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</si>
  <si>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</si>
  <si>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</si>
  <si>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</si>
  <si>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</si>
  <si>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</si>
  <si>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</si>
  <si>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</si>
  <si>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</si>
  <si>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</si>
  <si>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</si>
  <si>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</si>
  <si>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</si>
  <si>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</si>
  <si>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</si>
  <si>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</si>
  <si>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</si>
  <si>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</si>
  <si>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</si>
  <si>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</si>
  <si>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</si>
  <si>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</si>
  <si>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</si>
  <si>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</si>
  <si>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</si>
  <si>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</si>
  <si>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</si>
  <si>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</si>
  <si>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</si>
  <si>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</si>
  <si>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</si>
  <si>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</si>
  <si>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</si>
  <si>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</si>
  <si>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</si>
  <si>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</si>
  <si>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</si>
  <si>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</si>
  <si>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</si>
  <si>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</si>
  <si>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</si>
  <si>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</si>
  <si>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</si>
  <si>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</si>
  <si>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</si>
  <si>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</si>
  <si>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</si>
  <si>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</si>
  <si>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</si>
  <si>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</si>
  <si>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</si>
  <si>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</si>
  <si>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</si>
  <si>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</si>
  <si>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</si>
  <si>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</si>
  <si>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</si>
  <si>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</si>
  <si>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</si>
  <si>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</si>
  <si>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</si>
  <si>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</si>
  <si>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</si>
  <si>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</si>
  <si>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</si>
  <si>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</si>
  <si>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</si>
  <si>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</si>
  <si>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</si>
  <si>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</si>
  <si>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</si>
  <si>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</si>
  <si>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</si>
  <si>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</si>
  <si>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</si>
  <si>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</si>
  <si>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</si>
  <si>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</si>
  <si>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</si>
  <si>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</si>
  <si>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</si>
  <si>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</si>
  <si>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</si>
  <si>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</si>
  <si>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</si>
  <si>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</si>
  <si>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</si>
  <si>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</si>
  <si>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</si>
  <si>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</si>
  <si>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</si>
  <si>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</si>
  <si>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</si>
  <si>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</si>
  <si>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</si>
  <si>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</si>
  <si>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</si>
  <si>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</si>
  <si>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</si>
  <si>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</si>
  <si>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</si>
  <si>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</si>
  <si>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</si>
  <si>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</si>
  <si>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</si>
  <si>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</si>
  <si>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</si>
  <si>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</si>
  <si>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</si>
  <si>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</si>
  <si>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</si>
  <si>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</si>
  <si>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</si>
  <si>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</si>
  <si>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</si>
  <si>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</si>
  <si>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</si>
  <si>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</si>
  <si>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</si>
  <si>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</si>
  <si>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</si>
  <si>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</si>
  <si>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</si>
  <si>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</si>
  <si>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</si>
  <si>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</si>
  <si>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</si>
  <si>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</si>
  <si>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</si>
  <si>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</si>
  <si>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</si>
  <si>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</si>
  <si>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</si>
  <si>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</si>
  <si>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</si>
  <si>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</si>
  <si>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</si>
  <si>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</si>
  <si>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</si>
  <si>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</si>
  <si>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</si>
  <si>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</si>
  <si>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</si>
  <si>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</si>
  <si>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</si>
  <si>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</si>
  <si>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</si>
  <si>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</si>
  <si>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</si>
  <si>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</si>
  <si>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</si>
  <si>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</si>
  <si>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</si>
  <si>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</si>
  <si>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</si>
  <si>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</si>
  <si>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</si>
  <si>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</si>
  <si>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</si>
  <si>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</si>
  <si>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</si>
  <si>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</si>
  <si>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</si>
  <si>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</si>
  <si>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</si>
  <si>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</si>
  <si>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</si>
  <si>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</si>
  <si>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</si>
  <si>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</si>
  <si>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</si>
  <si>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</si>
  <si>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</si>
  <si>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</si>
  <si>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</si>
  <si>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</si>
  <si>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</si>
  <si>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</si>
  <si>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</si>
  <si>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</si>
  <si>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</si>
  <si>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</si>
  <si>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</si>
  <si>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</si>
  <si>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</si>
  <si>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</si>
  <si>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</si>
  <si>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</si>
  <si>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</si>
  <si>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</si>
  <si>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</si>
  <si>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</si>
  <si>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</si>
  <si>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</si>
  <si>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</si>
  <si>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</si>
  <si>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</si>
  <si>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</si>
  <si>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</si>
  <si>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</si>
  <si>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</si>
  <si>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</si>
  <si>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</si>
  <si>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</si>
  <si>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</si>
  <si>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</si>
  <si>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</si>
  <si>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</si>
  <si>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</si>
  <si>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</si>
  <si>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</si>
  <si>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</si>
  <si>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</si>
  <si>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</si>
  <si>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</si>
  <si>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</si>
  <si>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</si>
  <si>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</si>
  <si>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</si>
  <si>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</si>
  <si>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</si>
  <si>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</si>
  <si>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</si>
  <si>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</si>
  <si>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</si>
  <si>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</si>
  <si>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</si>
  <si>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</si>
  <si>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</si>
  <si>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</si>
  <si>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</si>
  <si>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</si>
  <si>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</si>
  <si>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</si>
  <si>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</si>
  <si>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</si>
  <si>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</si>
  <si>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</si>
  <si>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</si>
  <si>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</si>
  <si>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</si>
  <si>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</si>
  <si>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</si>
  <si>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</si>
  <si>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</si>
  <si>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</si>
  <si>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</si>
  <si>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</si>
  <si>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</si>
  <si>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</si>
  <si>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</si>
  <si>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</si>
  <si>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</si>
  <si>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</si>
  <si>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</si>
  <si>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</si>
  <si>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</si>
  <si>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</si>
  <si>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</si>
  <si>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</si>
  <si>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</si>
  <si>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</si>
  <si>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</si>
  <si>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</si>
  <si>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</si>
  <si>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</si>
  <si>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</si>
  <si>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</si>
  <si>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</si>
  <si>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</si>
  <si>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</si>
  <si>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</si>
  <si>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</si>
  <si>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</si>
  <si>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</si>
  <si>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</si>
  <si>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</si>
  <si>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</si>
  <si>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</si>
  <si>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</si>
  <si>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</si>
  <si>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</si>
  <si>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</si>
  <si>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</si>
  <si>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</si>
  <si>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</si>
  <si>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</si>
  <si>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</si>
  <si>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</si>
  <si>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</si>
  <si>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</si>
  <si>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</si>
  <si>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</si>
  <si>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</si>
  <si>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</si>
  <si>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</si>
  <si>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</si>
  <si>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</si>
  <si>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</si>
  <si>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</si>
  <si>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</si>
  <si>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</si>
  <si>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</si>
  <si>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</si>
  <si>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</si>
  <si>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</si>
  <si>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</si>
  <si>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</si>
  <si>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</si>
  <si>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</si>
  <si>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</si>
  <si>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</si>
  <si>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</si>
  <si>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</si>
  <si>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</si>
  <si>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</si>
  <si>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</si>
  <si>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</si>
  <si>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</si>
  <si>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</si>
  <si>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</si>
  <si>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</si>
  <si>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</si>
  <si>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</si>
  <si>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</si>
  <si>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</si>
  <si>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</si>
  <si>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</si>
  <si>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</si>
  <si>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</si>
  <si>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</si>
  <si>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</si>
  <si>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</si>
  <si>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</si>
  <si>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</si>
  <si>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</si>
  <si>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</si>
  <si>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</si>
  <si>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</si>
  <si>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</si>
  <si>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</si>
  <si>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</si>
  <si>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</si>
  <si>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</si>
  <si>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</si>
  <si>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</si>
  <si>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</si>
  <si>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</si>
  <si>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</si>
  <si>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</si>
  <si>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</si>
  <si>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</si>
  <si>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</si>
  <si>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</si>
  <si>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</si>
  <si>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</si>
  <si>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</si>
  <si>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</si>
  <si>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</si>
  <si>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</si>
  <si>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</si>
  <si>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</si>
  <si>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</si>
  <si>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</si>
  <si>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</si>
  <si>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</si>
  <si>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</si>
  <si>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</si>
  <si>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</si>
  <si>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</si>
  <si>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</si>
  <si>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</si>
  <si>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</si>
  <si>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</si>
  <si>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</si>
  <si>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</si>
  <si>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</si>
  <si>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</si>
  <si>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</si>
  <si>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</si>
  <si>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</si>
  <si>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</si>
  <si>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</si>
  <si>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</si>
  <si>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</si>
  <si>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</si>
  <si>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</si>
  <si>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</si>
  <si>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</si>
  <si>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</si>
  <si>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</si>
  <si>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</si>
  <si>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</si>
  <si>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</si>
  <si>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</si>
  <si>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</si>
  <si>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</si>
  <si>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</si>
  <si>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</si>
  <si>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</si>
  <si>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</si>
  <si>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</si>
  <si>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</si>
  <si>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</si>
  <si>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</si>
  <si>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</si>
  <si>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</si>
  <si>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</si>
  <si>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</si>
  <si>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</si>
  <si>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</si>
  <si>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</si>
  <si>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</si>
  <si>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</si>
  <si>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</si>
  <si>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</si>
  <si>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</si>
  <si>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</si>
  <si>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</si>
  <si>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</si>
  <si>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</si>
  <si>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</si>
  <si>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</si>
  <si>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</si>
  <si>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</si>
  <si>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</si>
  <si>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</si>
  <si>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</si>
  <si>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</si>
  <si>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</si>
  <si>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</si>
  <si>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</si>
  <si>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</si>
  <si>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</si>
  <si>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</si>
  <si>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</si>
  <si>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</si>
  <si>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</si>
  <si>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</si>
  <si>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</si>
  <si>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</si>
  <si>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</si>
  <si>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</si>
  <si>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</si>
  <si>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</si>
  <si>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</si>
  <si>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</si>
  <si>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</si>
  <si>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</si>
  <si>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</si>
  <si>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</si>
  <si>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</si>
  <si>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</si>
  <si>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</si>
  <si>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</si>
  <si>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</si>
  <si>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</si>
  <si>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</si>
  <si>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</si>
  <si>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</si>
  <si>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</si>
  <si>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</si>
  <si>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</si>
  <si>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</si>
  <si>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</si>
  <si>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</si>
  <si>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</si>
  <si>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</si>
  <si>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</si>
  <si>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</si>
  <si>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</si>
  <si>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</si>
  <si>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</si>
  <si>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</si>
  <si>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</si>
  <si>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</si>
  <si>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</si>
  <si>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</si>
  <si>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</si>
  <si>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</si>
  <si>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</si>
  <si>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</si>
  <si>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</si>
  <si>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</si>
  <si>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</si>
  <si>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</si>
  <si>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</si>
  <si>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</si>
  <si>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</si>
  <si>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</si>
  <si>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</si>
  <si>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</si>
  <si>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</si>
  <si>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</si>
  <si>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</si>
  <si>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</si>
  <si>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</si>
  <si>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</si>
  <si>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</si>
  <si>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</si>
  <si>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</si>
  <si>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</si>
  <si>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</si>
  <si>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</si>
  <si>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</si>
  <si>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</si>
  <si>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</si>
  <si>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</si>
  <si>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</si>
  <si>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</si>
  <si>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</si>
  <si>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</si>
  <si>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</si>
  <si>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</si>
  <si>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</si>
  <si>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</si>
  <si>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</si>
  <si>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</si>
  <si>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</si>
  <si>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</si>
  <si>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</si>
  <si>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</si>
  <si>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</si>
  <si>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</si>
  <si>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</si>
  <si>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</si>
  <si>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</si>
  <si>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</si>
  <si>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</si>
  <si>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</si>
  <si>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</si>
  <si>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</si>
  <si>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</si>
  <si>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</si>
  <si>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</si>
  <si>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</si>
  <si>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</si>
  <si>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</si>
  <si>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</si>
  <si>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</si>
  <si>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</si>
  <si>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</si>
  <si>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</si>
  <si>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</si>
  <si>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</si>
  <si>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</si>
  <si>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</si>
  <si>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</si>
  <si>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</si>
  <si>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</si>
  <si>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</si>
  <si>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</si>
  <si>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</si>
  <si>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</si>
  <si>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</si>
  <si>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</si>
  <si>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</si>
  <si>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</si>
  <si>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</si>
  <si>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</si>
  <si>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</si>
  <si>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</si>
  <si>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</si>
  <si>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</si>
  <si>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</si>
  <si>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</si>
  <si>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</si>
  <si>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</si>
  <si>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</si>
  <si>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</si>
  <si>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</si>
  <si>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</si>
  <si>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</si>
  <si>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</si>
  <si>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</si>
  <si>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</si>
  <si>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</si>
  <si>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</si>
  <si>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</si>
  <si>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</si>
  <si>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</si>
  <si>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</si>
  <si>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</si>
  <si>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</si>
  <si>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</si>
  <si>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</si>
  <si>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</si>
  <si>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</si>
  <si>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</si>
  <si>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</si>
  <si>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</si>
  <si>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</si>
  <si>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</si>
  <si>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</si>
  <si>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</si>
  <si>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</si>
  <si>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</si>
  <si>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</si>
  <si>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</si>
  <si>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</si>
  <si>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</si>
  <si>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</si>
  <si>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</si>
  <si>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</si>
  <si>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</si>
  <si>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</si>
  <si>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</si>
  <si>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</si>
  <si>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</si>
  <si>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</si>
  <si>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</si>
  <si>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</si>
  <si>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</si>
  <si>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</si>
  <si>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</si>
  <si>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</si>
  <si>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</si>
  <si>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</si>
  <si>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</si>
  <si>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</si>
  <si>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</si>
  <si>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</si>
  <si>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</si>
  <si>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</si>
  <si>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</si>
  <si>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</si>
  <si>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</si>
  <si>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</si>
  <si>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</si>
  <si>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</si>
  <si>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</si>
  <si>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</si>
  <si>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</si>
  <si>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</si>
  <si>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</si>
  <si>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</si>
  <si>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</si>
  <si>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</si>
  <si>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</si>
  <si>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</si>
  <si>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</si>
  <si>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</si>
  <si>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</si>
  <si>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</si>
  <si>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</si>
  <si>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</si>
  <si>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</si>
  <si>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</si>
  <si>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</si>
  <si>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</si>
  <si>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</si>
  <si>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</si>
  <si>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</si>
  <si>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</si>
  <si>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</si>
  <si>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</si>
  <si>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</si>
  <si>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</si>
  <si>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</si>
  <si>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</si>
  <si>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</si>
  <si>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</si>
  <si>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</si>
  <si>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</si>
  <si>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</si>
  <si>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</si>
  <si>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</si>
  <si>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</si>
  <si>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</si>
  <si>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</si>
  <si>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</si>
  <si>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</si>
  <si>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</si>
  <si>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</si>
  <si>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</si>
  <si>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</si>
  <si>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</si>
  <si>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</si>
  <si>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</si>
  <si>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</si>
  <si>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</si>
  <si>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</si>
  <si>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</si>
  <si>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</si>
  <si>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</si>
  <si>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</si>
  <si>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</si>
  <si>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</si>
  <si>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</si>
  <si>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</si>
  <si>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</si>
  <si>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</si>
  <si>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</si>
  <si>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</si>
  <si>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</si>
  <si>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</si>
  <si>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</si>
  <si>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</si>
  <si>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</si>
  <si>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</si>
  <si>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</si>
  <si>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</si>
  <si>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</si>
  <si>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</si>
  <si>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</si>
  <si>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</si>
  <si>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</si>
  <si>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</si>
  <si>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</si>
  <si>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</si>
  <si>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</si>
  <si>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</si>
  <si>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</si>
  <si>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</si>
  <si>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</si>
  <si>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</si>
  <si>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</si>
  <si>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</si>
  <si>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</si>
  <si>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</si>
  <si>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</si>
  <si>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</si>
  <si>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</si>
  <si>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</si>
  <si>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</si>
  <si>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</si>
  <si>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</si>
  <si>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</si>
  <si>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</si>
  <si>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</si>
  <si>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</si>
  <si>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</si>
  <si>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</si>
  <si>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</si>
  <si>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</si>
  <si>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</si>
  <si>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</si>
  <si>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</si>
  <si>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</si>
  <si>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</si>
  <si>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</si>
  <si>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</si>
  <si>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</si>
  <si>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</si>
  <si>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</si>
  <si>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</si>
  <si>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</si>
  <si>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</si>
  <si>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</si>
  <si>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</si>
  <si>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</si>
  <si>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</si>
  <si>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</si>
  <si>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</si>
  <si>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</si>
  <si>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</si>
  <si>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</si>
  <si>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</si>
  <si>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</si>
  <si>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</si>
  <si>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</si>
  <si>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</si>
  <si>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</si>
  <si>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</si>
  <si>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</si>
  <si>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</si>
  <si>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</si>
  <si>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</si>
  <si>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</si>
  <si>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</si>
  <si>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</si>
  <si>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</si>
  <si>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</si>
  <si>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</si>
  <si>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</si>
  <si>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</si>
  <si>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</si>
  <si>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</si>
  <si>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</si>
  <si>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</si>
  <si>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</si>
  <si>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</si>
  <si>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</si>
  <si>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</si>
  <si>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</si>
  <si>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</si>
  <si>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</si>
  <si>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</si>
  <si>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</si>
  <si>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</si>
  <si>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</si>
  <si>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</si>
  <si>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</si>
  <si>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</si>
  <si>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</si>
  <si>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</si>
  <si>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</si>
  <si>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</si>
  <si>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</si>
  <si>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</si>
  <si>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</si>
  <si>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</si>
  <si>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</si>
  <si>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</si>
  <si>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</si>
  <si>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</si>
  <si>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</si>
  <si>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</si>
  <si>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</si>
  <si>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</si>
  <si>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</si>
  <si>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</si>
  <si>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</si>
  <si>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</si>
  <si>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</si>
  <si>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</si>
  <si>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</si>
  <si>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</si>
  <si>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</si>
  <si>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</si>
  <si>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</si>
  <si>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</si>
  <si>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</si>
  <si>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</si>
  <si>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</si>
  <si>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</si>
  <si>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</si>
  <si>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</si>
  <si>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</si>
  <si>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</si>
  <si>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</si>
  <si>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</si>
  <si>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</si>
  <si>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</si>
  <si>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</si>
  <si>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</si>
  <si>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</si>
  <si>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</si>
  <si>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</si>
  <si>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</si>
  <si>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</si>
  <si>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</si>
  <si>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</si>
  <si>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</si>
  <si>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</si>
  <si>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</si>
  <si>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</si>
  <si>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</si>
  <si>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</si>
  <si>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</si>
  <si>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</si>
  <si>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</si>
  <si>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</si>
  <si>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</si>
  <si>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</si>
  <si>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</si>
  <si>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</si>
  <si>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</si>
  <si>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</si>
  <si>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</si>
  <si>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</si>
  <si>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</si>
  <si>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</si>
  <si>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</si>
  <si>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</si>
  <si>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</si>
  <si>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</si>
  <si>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</si>
  <si>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</si>
  <si>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</si>
  <si>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</si>
  <si>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</si>
  <si>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</si>
  <si>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</si>
  <si>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</si>
  <si>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</si>
  <si>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</si>
  <si>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</si>
  <si>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</si>
  <si>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</si>
  <si>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</si>
  <si>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</si>
  <si>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</si>
  <si>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</si>
  <si>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</si>
  <si>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</si>
  <si>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</si>
  <si>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</si>
  <si>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</si>
  <si>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</si>
  <si>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</si>
  <si>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</si>
  <si>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</si>
  <si>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</si>
  <si>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</si>
  <si>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</si>
  <si>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</si>
  <si>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</si>
  <si>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</si>
  <si>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</si>
  <si>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</si>
  <si>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</si>
  <si>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</si>
  <si>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</si>
  <si>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</si>
  <si>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</si>
  <si>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</si>
  <si>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</si>
  <si>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</si>
  <si>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</si>
  <si>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</si>
  <si>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</si>
  <si>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</si>
  <si>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</si>
  <si>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</si>
  <si>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</si>
  <si>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</si>
  <si>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</si>
  <si>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</si>
  <si>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</si>
  <si>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</si>
  <si>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</si>
  <si>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</si>
  <si>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</si>
  <si>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</si>
  <si>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</si>
  <si>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</si>
  <si>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</si>
  <si>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</si>
  <si>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</si>
  <si>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</si>
  <si>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</si>
  <si>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</si>
  <si>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</si>
  <si>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</si>
  <si>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</si>
  <si>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</si>
  <si>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</si>
  <si>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</si>
  <si>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</si>
  <si>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</si>
  <si>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</si>
  <si>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</si>
  <si>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</si>
  <si>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</si>
  <si>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</si>
  <si>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</si>
  <si>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</si>
  <si>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</si>
  <si>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</si>
  <si>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</si>
  <si>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</si>
  <si>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</si>
  <si>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</si>
  <si>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</si>
  <si>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</si>
  <si>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</si>
  <si>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</si>
  <si>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</si>
  <si>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</si>
  <si>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</si>
  <si>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</si>
  <si>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</si>
  <si>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</si>
  <si>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</si>
  <si>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</si>
  <si>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</si>
  <si>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</si>
  <si>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</si>
  <si>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</si>
  <si>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</si>
  <si>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</si>
  <si>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</si>
  <si>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</si>
  <si>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</si>
  <si>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</si>
  <si>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</si>
  <si>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</si>
  <si>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</si>
  <si>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</si>
  <si>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</si>
  <si>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</si>
  <si>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</si>
  <si>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</si>
  <si>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</si>
  <si>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</si>
  <si>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</si>
  <si>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</si>
  <si>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</si>
  <si>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</si>
  <si>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</si>
  <si>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</si>
  <si>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</si>
  <si>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</si>
  <si>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</si>
  <si>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</si>
  <si>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</si>
  <si>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</si>
  <si>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</si>
  <si>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</si>
  <si>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</si>
  <si>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</si>
  <si>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</si>
  <si>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</si>
  <si>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</si>
  <si>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</si>
  <si>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</si>
  <si>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</si>
  <si>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</si>
  <si>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</si>
  <si>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</si>
  <si>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</si>
  <si>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</si>
  <si>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</si>
  <si>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</si>
  <si>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</si>
  <si>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</si>
  <si>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</si>
  <si>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</si>
  <si>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</si>
  <si>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</si>
  <si>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</si>
  <si>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</si>
  <si>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</si>
  <si>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</si>
  <si>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</si>
  <si>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</si>
  <si>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</si>
  <si>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</si>
  <si>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</si>
  <si>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</si>
  <si>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</si>
  <si>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</si>
  <si>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</si>
  <si>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</si>
  <si>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</si>
  <si>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</si>
  <si>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</si>
  <si>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</si>
  <si>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</si>
  <si>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</si>
  <si>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</si>
  <si>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</si>
  <si>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</si>
  <si>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</si>
  <si>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</si>
  <si>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</si>
  <si>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</si>
  <si>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</si>
  <si>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</si>
  <si>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</si>
  <si>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</si>
  <si>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</si>
  <si>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</si>
  <si>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</si>
  <si>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</si>
  <si>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</si>
  <si>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</si>
  <si>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</si>
  <si>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</si>
  <si>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</si>
  <si>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</si>
  <si>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</si>
  <si>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</si>
  <si>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</si>
  <si>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</si>
  <si>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</si>
  <si>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</si>
  <si>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</si>
  <si>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</si>
  <si>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</si>
  <si>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</si>
  <si>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</si>
  <si>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</si>
  <si>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</si>
  <si>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</si>
  <si>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</si>
  <si>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</si>
  <si>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</si>
  <si>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</si>
  <si>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</si>
  <si>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</si>
  <si>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</si>
  <si>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</si>
  <si>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</si>
  <si>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</si>
  <si>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</si>
  <si>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</si>
  <si>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</si>
  <si>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</si>
  <si>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</si>
  <si>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</si>
  <si>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</si>
  <si>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</si>
  <si>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</si>
  <si>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</si>
  <si>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</si>
  <si>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</si>
  <si>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</si>
  <si>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</si>
  <si>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</si>
  <si>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</si>
  <si>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</si>
  <si>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</si>
  <si>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</si>
  <si>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</si>
  <si>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</si>
  <si>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</si>
  <si>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</si>
  <si>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</si>
  <si>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</si>
  <si>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</si>
  <si>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</si>
  <si>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</si>
  <si>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</si>
  <si>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</si>
  <si>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</si>
  <si>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</si>
  <si>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</si>
  <si>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</si>
  <si>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</si>
  <si>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</si>
  <si>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</si>
  <si>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</si>
  <si>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</si>
  <si>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</si>
  <si>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</si>
  <si>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</si>
  <si>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</si>
  <si>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</si>
  <si>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</si>
  <si>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</si>
  <si>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</si>
  <si>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</si>
  <si>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</si>
  <si>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</si>
  <si>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</si>
  <si>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</si>
  <si>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</si>
  <si>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</si>
  <si>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</si>
  <si>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</si>
  <si>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</si>
  <si>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</si>
  <si>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</si>
  <si>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</si>
  <si>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</si>
  <si>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</si>
  <si>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</si>
  <si>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</si>
  <si>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</si>
  <si>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</si>
  <si>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</si>
  <si>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</si>
  <si>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</si>
  <si>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</si>
  <si>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</si>
  <si>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</si>
  <si>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</si>
  <si>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</si>
  <si>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</si>
  <si>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</si>
  <si>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</si>
  <si>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</si>
  <si>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</si>
  <si>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</si>
  <si>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</si>
  <si>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</si>
  <si>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</si>
  <si>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</si>
  <si>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</si>
  <si>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</si>
  <si>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</si>
  <si>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</si>
  <si>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</si>
  <si>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</si>
  <si>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</si>
  <si>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</si>
  <si>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</si>
  <si>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</si>
  <si>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</si>
  <si>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</si>
  <si>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</si>
  <si>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</si>
  <si>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</si>
  <si>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</si>
  <si>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</si>
  <si>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</si>
  <si>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</si>
  <si>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</si>
  <si>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</si>
  <si>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</si>
  <si>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</si>
  <si>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</si>
  <si>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</si>
  <si>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</si>
  <si>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</si>
  <si>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</si>
  <si>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</si>
  <si>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</si>
  <si>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</si>
  <si>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</si>
  <si>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</si>
  <si>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</si>
  <si>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</si>
  <si>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</si>
  <si>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</si>
  <si>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</si>
  <si>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</si>
  <si>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</si>
  <si>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</si>
  <si>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</si>
  <si>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</si>
  <si>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</si>
  <si>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</si>
  <si>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</si>
  <si>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</si>
  <si>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</si>
  <si>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</si>
  <si>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</si>
  <si>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</si>
  <si>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</si>
  <si>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</si>
  <si>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</si>
  <si>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</si>
  <si>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</si>
  <si>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</si>
  <si>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</si>
  <si>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</si>
  <si>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</si>
  <si>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</si>
  <si>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</si>
  <si>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</si>
  <si>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</si>
  <si>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</si>
  <si>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</si>
  <si>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</si>
  <si>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</si>
  <si>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</si>
  <si>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</si>
  <si>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</si>
  <si>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</si>
  <si>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</si>
  <si>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</si>
  <si>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</si>
  <si>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</si>
  <si>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</si>
  <si>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</si>
  <si>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</si>
  <si>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</si>
  <si>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</si>
  <si>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</si>
  <si>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</si>
  <si>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</si>
  <si>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</si>
  <si>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</si>
  <si>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</si>
  <si>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</si>
  <si>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</si>
  <si>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</si>
  <si>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</si>
  <si>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</si>
  <si>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</si>
  <si>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</si>
  <si>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</si>
  <si>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</si>
  <si>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</si>
  <si>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</si>
  <si>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</si>
  <si>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</si>
  <si>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</si>
  <si>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</si>
  <si>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</si>
  <si>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</si>
  <si>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</si>
  <si>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</si>
  <si>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</si>
  <si>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</si>
  <si>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</si>
  <si>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</si>
  <si>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</si>
  <si>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</si>
  <si>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</si>
  <si>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</si>
  <si>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</si>
  <si>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</si>
  <si>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</si>
  <si>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</si>
  <si>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</si>
  <si>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</si>
  <si>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</si>
  <si>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</si>
  <si>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</si>
  <si>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</si>
  <si>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</si>
  <si>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</si>
  <si>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</si>
  <si>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</si>
  <si>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</si>
  <si>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</si>
  <si>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</si>
  <si>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</si>
  <si>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</si>
  <si>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</si>
  <si>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</si>
  <si>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</si>
  <si>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</si>
  <si>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</si>
  <si>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</si>
  <si>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</si>
  <si>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</si>
  <si>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</si>
  <si>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</si>
  <si>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</si>
  <si>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</si>
  <si>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</si>
  <si>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</si>
  <si>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</si>
  <si>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</si>
  <si>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</si>
  <si>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</si>
  <si>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</si>
  <si>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</si>
  <si>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</si>
  <si>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</si>
  <si>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</si>
  <si>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</si>
  <si>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</si>
  <si>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</si>
  <si>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</si>
  <si>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</si>
  <si>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</si>
  <si>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</si>
  <si>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</si>
  <si>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</si>
  <si>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</si>
  <si>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</si>
  <si>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</si>
  <si>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</si>
  <si>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</si>
  <si>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</si>
  <si>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</si>
  <si>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</si>
  <si>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</si>
  <si>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</si>
  <si>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</si>
  <si>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</si>
  <si>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</si>
  <si>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</si>
  <si>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</si>
  <si>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</si>
  <si>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</si>
  <si>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</si>
  <si>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</si>
  <si>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</si>
  <si>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</si>
  <si>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</si>
  <si>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</si>
  <si>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</si>
  <si>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</si>
  <si>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</si>
  <si>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</si>
  <si>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</si>
  <si>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</si>
  <si>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</si>
  <si>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</si>
  <si>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</si>
  <si>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</si>
  <si>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</si>
  <si>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</si>
  <si>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</si>
  <si>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</si>
  <si>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</si>
  <si>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</si>
  <si>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</si>
  <si>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</si>
  <si>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</si>
  <si>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</si>
  <si>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</si>
  <si>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</si>
  <si>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</si>
  <si>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</si>
  <si>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</si>
  <si>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</si>
  <si>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</si>
  <si>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</si>
  <si>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</si>
  <si>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</si>
  <si>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</si>
  <si>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</si>
  <si>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</si>
  <si>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</si>
  <si>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</si>
  <si>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</si>
  <si>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</si>
  <si>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</si>
  <si>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</si>
  <si>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</si>
  <si>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</si>
  <si>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</si>
  <si>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</si>
  <si>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</si>
  <si>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</si>
  <si>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</si>
  <si>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</si>
  <si>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</si>
  <si>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</si>
  <si>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</si>
  <si>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</si>
  <si>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</si>
  <si>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</si>
  <si>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</si>
  <si>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</si>
  <si>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</si>
  <si>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</si>
  <si>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</si>
  <si>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</si>
  <si>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</si>
  <si>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</si>
  <si>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</si>
  <si>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</si>
  <si>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</si>
  <si>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</si>
  <si>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</si>
  <si>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</si>
  <si>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</si>
  <si>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</si>
  <si>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</si>
  <si>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</si>
  <si>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</si>
  <si>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</si>
  <si>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</si>
  <si>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</si>
  <si>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</si>
  <si>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</si>
  <si>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</si>
  <si>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</si>
  <si>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</si>
  <si>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</si>
  <si>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</si>
  <si>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</si>
  <si>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</si>
  <si>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</si>
  <si>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</si>
  <si>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</si>
  <si>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</si>
  <si>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</si>
  <si>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</si>
  <si>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</si>
  <si>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</si>
  <si>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</si>
  <si>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</si>
  <si>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</si>
  <si>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</si>
  <si>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</si>
  <si>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</si>
  <si>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</si>
  <si>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</si>
  <si>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</si>
  <si>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</si>
  <si>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</si>
  <si>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</si>
  <si>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</si>
  <si>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</si>
  <si>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</si>
  <si>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</si>
  <si>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</si>
  <si>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</si>
  <si>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</si>
  <si>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</si>
  <si>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</si>
  <si>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</si>
  <si>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</si>
  <si>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</si>
  <si>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</si>
  <si>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</si>
  <si>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</si>
  <si>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</si>
  <si>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</si>
  <si>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</si>
  <si>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</si>
  <si>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</si>
  <si>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</si>
  <si>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</si>
  <si>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</si>
  <si>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</si>
  <si>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</si>
  <si>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</si>
  <si>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</si>
  <si>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</si>
  <si>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</si>
  <si>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</si>
  <si>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</si>
  <si>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</si>
  <si>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</si>
  <si>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</si>
  <si>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</si>
  <si>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</si>
  <si>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</si>
  <si>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</si>
  <si>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</si>
  <si>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</si>
  <si>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</si>
  <si>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</si>
  <si>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</si>
  <si>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</si>
  <si>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</si>
  <si>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</si>
  <si>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</si>
  <si>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</si>
  <si>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</si>
  <si>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</si>
  <si>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</si>
  <si>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</si>
  <si>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</si>
  <si>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</si>
  <si>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</si>
  <si>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</si>
  <si>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</si>
  <si>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</si>
  <si>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</si>
  <si>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</si>
  <si>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</si>
  <si>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</si>
  <si>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</si>
  <si>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</si>
  <si>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</si>
  <si>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</si>
  <si>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</si>
  <si>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</si>
  <si>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</si>
  <si>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</si>
  <si>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</si>
  <si>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</si>
  <si>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</si>
  <si>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</si>
  <si>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</si>
  <si>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</si>
  <si>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</si>
  <si>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</si>
  <si>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</si>
  <si>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</si>
  <si>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</si>
  <si>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</si>
  <si>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</si>
  <si>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</si>
  <si>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</si>
  <si>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</si>
  <si>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</si>
  <si>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</si>
  <si>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</si>
  <si>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</si>
  <si>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</si>
  <si>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</si>
  <si>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</si>
  <si>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</si>
  <si>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</si>
  <si>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</si>
  <si>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</si>
  <si>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</si>
  <si>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</si>
  <si>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</si>
  <si>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</si>
  <si>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</si>
  <si>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</si>
  <si>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</si>
  <si>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</si>
  <si>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</si>
  <si>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</si>
  <si>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</si>
  <si>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</si>
  <si>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</si>
  <si>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</si>
  <si>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</si>
  <si>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</si>
  <si>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</si>
  <si>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</si>
  <si>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</si>
  <si>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</si>
  <si>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</si>
  <si>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</si>
  <si>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</si>
  <si>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</si>
  <si>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</si>
  <si>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</si>
  <si>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</si>
  <si>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</si>
  <si>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</si>
  <si>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</si>
  <si>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</si>
  <si>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</si>
  <si>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</si>
  <si>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</si>
  <si>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</si>
  <si>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</si>
  <si>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</si>
  <si>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</si>
  <si>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</si>
  <si>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</si>
  <si>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</si>
  <si>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</si>
  <si>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</si>
  <si>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</si>
  <si>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</si>
  <si>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</si>
  <si>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</si>
  <si>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</si>
  <si>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</si>
  <si>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</si>
  <si>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</si>
  <si>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</si>
  <si>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</si>
  <si>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</si>
  <si>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</si>
  <si>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</si>
  <si>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</si>
  <si>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</si>
  <si>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</si>
  <si>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</si>
  <si>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</si>
  <si>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</si>
  <si>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</si>
  <si>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</si>
  <si>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</si>
  <si>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</si>
  <si>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</si>
  <si>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</si>
  <si>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</si>
  <si>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</si>
  <si>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</si>
  <si>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</si>
  <si>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</si>
  <si>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</si>
  <si>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</si>
  <si>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</si>
  <si>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</si>
  <si>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</si>
  <si>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</si>
  <si>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</si>
  <si>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</si>
  <si>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</si>
  <si>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</si>
  <si>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</si>
  <si>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</si>
  <si>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</si>
  <si>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</si>
  <si>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</si>
  <si>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</si>
  <si>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</si>
  <si>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</si>
  <si>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</si>
  <si>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</si>
  <si>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</si>
  <si>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</si>
  <si>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</si>
  <si>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</si>
  <si>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</si>
  <si>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</si>
  <si>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</si>
  <si>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</si>
  <si>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</si>
  <si>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</si>
  <si>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</si>
  <si>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</si>
  <si>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</si>
  <si>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</si>
  <si>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</si>
  <si>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</si>
  <si>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</si>
  <si>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</si>
  <si>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</si>
  <si>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</si>
  <si>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</si>
  <si>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</si>
  <si>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</si>
  <si>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</si>
  <si>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</si>
  <si>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</si>
  <si>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</si>
  <si>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</si>
  <si>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</si>
  <si>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</si>
  <si>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</si>
  <si>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</si>
  <si>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</si>
  <si>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</si>
  <si>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</si>
  <si>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</si>
  <si>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</si>
  <si>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</si>
  <si>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</si>
  <si>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</si>
  <si>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</si>
  <si>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</si>
  <si>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</si>
  <si>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</si>
  <si>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</si>
  <si>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</si>
  <si>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</si>
  <si>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</si>
  <si>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</si>
  <si>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</si>
  <si>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</si>
  <si>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</si>
  <si>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</si>
  <si>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</si>
  <si>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</si>
  <si>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</si>
  <si>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</si>
  <si>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</si>
  <si>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</si>
  <si>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</si>
  <si>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</si>
  <si>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</si>
  <si>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</si>
  <si>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</si>
  <si>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</si>
  <si>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</si>
  <si>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</si>
  <si>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</si>
  <si>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</si>
  <si>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</si>
  <si>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</si>
  <si>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</si>
  <si>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</si>
  <si>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</si>
  <si>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</si>
  <si>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</si>
  <si>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</si>
  <si>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</si>
  <si>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</si>
  <si>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</si>
  <si>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</si>
  <si>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</si>
  <si>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</si>
  <si>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</si>
  <si>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</si>
  <si>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</si>
  <si>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</si>
  <si>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</si>
  <si>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</si>
  <si>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</si>
  <si>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</si>
  <si>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</si>
  <si>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</si>
  <si>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</si>
  <si>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</si>
  <si>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</si>
  <si>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</si>
  <si>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</si>
  <si>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</si>
  <si>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</si>
  <si>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</si>
  <si>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</si>
  <si>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</si>
  <si>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</si>
  <si>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</si>
  <si>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</si>
  <si>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</si>
  <si>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</si>
  <si>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</si>
  <si>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</si>
  <si>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</si>
  <si>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</si>
  <si>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</si>
  <si>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</si>
  <si>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</si>
  <si>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</si>
  <si>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</si>
  <si>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</si>
  <si>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</si>
  <si>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</si>
  <si>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</si>
  <si>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</si>
  <si>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</si>
  <si>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</si>
  <si>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</si>
  <si>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</si>
  <si>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</si>
  <si>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</si>
  <si>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</si>
  <si>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</si>
  <si>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</si>
  <si>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</si>
  <si>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</si>
  <si>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</si>
  <si>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</si>
  <si>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</si>
  <si>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</si>
  <si>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</si>
  <si>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</si>
  <si>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</si>
  <si>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</si>
  <si>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</si>
  <si>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</si>
  <si>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</si>
  <si>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</si>
  <si>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</si>
  <si>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</si>
  <si>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</si>
  <si>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</si>
  <si>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</si>
  <si>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</si>
  <si>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</si>
  <si>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</si>
  <si>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</si>
  <si>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</si>
  <si>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</si>
  <si>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</si>
  <si>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</si>
  <si>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</si>
  <si>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</si>
  <si>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</si>
  <si>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</si>
  <si>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</si>
  <si>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</si>
  <si>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</si>
  <si>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</si>
  <si>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</si>
  <si>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</si>
  <si>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</si>
  <si>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</si>
  <si>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</si>
  <si>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</si>
  <si>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</si>
  <si>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</si>
  <si>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</si>
  <si>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</si>
  <si>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</si>
  <si>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</si>
  <si>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</si>
  <si>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</si>
  <si>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</si>
  <si>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</si>
  <si>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</si>
  <si>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</si>
  <si>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</si>
  <si>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</si>
  <si>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</si>
  <si>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</si>
  <si>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</si>
  <si>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</si>
  <si>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</si>
  <si>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</si>
  <si>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</si>
  <si>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</si>
  <si>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</si>
  <si>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</si>
  <si>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</si>
  <si>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</si>
  <si>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</si>
  <si>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</si>
  <si>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</si>
  <si>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</si>
  <si>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</si>
  <si>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</si>
  <si>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</si>
  <si>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</si>
  <si>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</si>
  <si>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</si>
  <si>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</si>
  <si>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</si>
  <si>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</si>
  <si>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</si>
  <si>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</si>
  <si>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</si>
  <si>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</si>
  <si>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</si>
  <si>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</si>
  <si>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</si>
  <si>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</si>
  <si>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</si>
  <si>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</si>
  <si>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</si>
  <si>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</si>
  <si>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</si>
  <si>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</si>
  <si>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</si>
  <si>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</si>
  <si>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</si>
  <si>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</si>
  <si>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</si>
  <si>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</si>
  <si>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</si>
  <si>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</si>
  <si>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</si>
  <si>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</si>
  <si>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</si>
  <si>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</si>
  <si>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</si>
  <si>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</si>
  <si>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</si>
  <si>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</si>
  <si>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</si>
  <si>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</si>
  <si>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</si>
  <si>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</si>
  <si>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</si>
  <si>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</si>
  <si>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</si>
  <si>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</si>
  <si>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</si>
  <si>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</si>
  <si>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</si>
  <si>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</si>
  <si>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</si>
  <si>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</si>
  <si>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</si>
  <si>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</si>
  <si>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</si>
  <si>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</si>
  <si>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</si>
  <si>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</si>
  <si>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</si>
  <si>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</si>
  <si>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</si>
  <si>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</si>
  <si>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</si>
  <si>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</si>
  <si>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</si>
  <si>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</si>
  <si>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</si>
  <si>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</si>
  <si>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</si>
  <si>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</si>
  <si>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</si>
  <si>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</si>
  <si>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</si>
  <si>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</si>
  <si>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</si>
  <si>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</si>
  <si>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</si>
  <si>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</si>
  <si>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</si>
  <si>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</si>
  <si>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</si>
  <si>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</si>
  <si>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</si>
  <si>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</si>
  <si>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</si>
  <si>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</si>
  <si>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</si>
  <si>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</si>
  <si>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</si>
  <si>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</si>
  <si>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</si>
  <si>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</si>
  <si>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</si>
  <si>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</si>
  <si>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</si>
  <si>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</si>
  <si>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</si>
  <si>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</si>
  <si>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</si>
  <si>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</si>
  <si>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</si>
  <si>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</si>
  <si>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</si>
  <si>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</si>
  <si>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</si>
  <si>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</si>
  <si>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</si>
  <si>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</si>
  <si>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</si>
  <si>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</si>
  <si>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</si>
  <si>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</si>
  <si>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</si>
  <si>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</si>
  <si>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</si>
  <si>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</si>
  <si>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</si>
  <si>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</si>
  <si>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</si>
  <si>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</si>
  <si>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</si>
  <si>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</si>
  <si>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</si>
  <si>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</si>
  <si>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</si>
  <si>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</si>
  <si>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</si>
  <si>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</si>
  <si>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</si>
  <si>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</si>
  <si>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</si>
  <si>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</si>
  <si>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</si>
  <si>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</si>
  <si>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</si>
  <si>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</si>
  <si>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</si>
  <si>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</si>
  <si>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</si>
  <si>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</si>
  <si>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</si>
  <si>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</si>
  <si>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</si>
  <si>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</si>
  <si>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</si>
  <si>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</si>
  <si>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</si>
  <si>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</si>
  <si>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</si>
  <si>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</si>
  <si>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</si>
  <si>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</si>
  <si>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</si>
  <si>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</si>
  <si>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</si>
  <si>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</si>
  <si>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</si>
  <si>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</si>
  <si>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</si>
  <si>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</si>
  <si>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</si>
  <si>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</si>
  <si>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</si>
  <si>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</si>
  <si>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</si>
  <si>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</si>
  <si>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</si>
  <si>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</si>
  <si>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</si>
  <si>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</si>
  <si>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</si>
  <si>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</si>
  <si>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</si>
  <si>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</si>
  <si>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</si>
  <si>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</si>
  <si>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</si>
  <si>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</si>
  <si>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</si>
  <si>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</si>
  <si>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</si>
  <si>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</si>
  <si>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</si>
  <si>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</si>
  <si>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</si>
  <si>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</si>
  <si>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</si>
  <si>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</si>
  <si>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</si>
  <si>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</si>
  <si>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</si>
  <si>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</si>
  <si>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</si>
  <si>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</si>
  <si>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</si>
  <si>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</si>
  <si>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</si>
  <si>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</si>
  <si>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</si>
  <si>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</si>
  <si>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</si>
  <si>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</si>
  <si>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</si>
  <si>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</si>
  <si>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</si>
  <si>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</si>
  <si>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</si>
  <si>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</si>
  <si>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</si>
  <si>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</si>
  <si>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</si>
  <si>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</si>
  <si>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</si>
  <si>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</si>
  <si>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</si>
  <si>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</si>
  <si>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</si>
  <si>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</si>
  <si>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</si>
  <si>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</si>
  <si>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</si>
  <si>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</si>
  <si>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</si>
  <si>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</si>
  <si>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</si>
  <si>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</si>
  <si>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</si>
  <si>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</si>
  <si>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</si>
  <si>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</si>
  <si>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</si>
  <si>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</si>
  <si>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</si>
  <si>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</si>
  <si>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</si>
  <si>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</si>
  <si>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</si>
  <si>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</si>
  <si>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</si>
  <si>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</si>
  <si>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</si>
  <si>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</si>
  <si>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</si>
  <si>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</si>
  <si>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</si>
  <si>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</si>
  <si>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</si>
  <si>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</si>
  <si>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</si>
  <si>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</si>
  <si>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</si>
  <si>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</si>
  <si>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</si>
  <si>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</si>
  <si>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</si>
  <si>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</si>
  <si>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</si>
  <si>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</si>
  <si>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</si>
  <si>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</si>
  <si>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</si>
  <si>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</si>
  <si>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</si>
  <si>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</si>
  <si>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</si>
  <si>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</si>
  <si>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</si>
  <si>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</si>
  <si>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</si>
  <si>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</si>
  <si>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</si>
  <si>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</si>
  <si>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</si>
  <si>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</si>
  <si>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</si>
  <si>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</si>
  <si>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</si>
  <si>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</si>
  <si>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</si>
  <si>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</si>
  <si>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</si>
  <si>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</si>
  <si>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</si>
  <si>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</si>
  <si>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</si>
  <si>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</si>
  <si>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</si>
  <si>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</si>
  <si>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</si>
  <si>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</si>
  <si>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</si>
  <si>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</si>
  <si>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</si>
  <si>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</si>
  <si>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</si>
  <si>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</si>
  <si>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</si>
  <si>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</si>
  <si>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</si>
  <si>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</si>
  <si>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</si>
  <si>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</si>
  <si>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</si>
  <si>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</si>
  <si>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</si>
  <si>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</si>
  <si>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</si>
  <si>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</si>
  <si>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</si>
  <si>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</si>
  <si>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</si>
  <si>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</si>
  <si>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</si>
  <si>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</si>
  <si>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</si>
  <si>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</si>
  <si>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</si>
  <si>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</si>
  <si>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</si>
  <si>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</si>
  <si>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</si>
  <si>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</si>
  <si>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</si>
  <si>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</si>
  <si>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</si>
  <si>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</si>
  <si>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</si>
  <si>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</si>
  <si>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</si>
  <si>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</si>
  <si>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</si>
  <si>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</si>
  <si>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</si>
  <si>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</si>
  <si>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</si>
  <si>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</si>
  <si>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</si>
  <si>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</si>
  <si>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</si>
  <si>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</si>
  <si>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</si>
  <si>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</si>
  <si>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</si>
  <si>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</si>
  <si>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</si>
  <si>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</si>
  <si>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</si>
  <si>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</si>
  <si>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</si>
  <si>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</si>
  <si>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</si>
  <si>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</si>
  <si>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</si>
  <si>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</si>
  <si>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</si>
  <si>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</si>
  <si>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</si>
  <si>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</si>
  <si>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</si>
  <si>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</si>
  <si>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</si>
  <si>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</si>
  <si>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</si>
  <si>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</si>
  <si>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</si>
  <si>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</si>
  <si>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</si>
  <si>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</si>
  <si>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</si>
  <si>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</si>
  <si>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</si>
  <si>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</si>
  <si>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</si>
  <si>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</si>
  <si>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</si>
  <si>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</si>
  <si>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</si>
  <si>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</si>
  <si>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</si>
  <si>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</si>
  <si>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</si>
  <si>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</si>
  <si>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</si>
  <si>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</si>
  <si>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</si>
  <si>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</si>
  <si>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</si>
  <si>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</si>
  <si>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</si>
  <si>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</si>
  <si>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</si>
  <si>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</si>
  <si>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</si>
  <si>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</si>
  <si>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</si>
  <si>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</si>
  <si>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</si>
  <si>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</si>
  <si>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</si>
  <si>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</si>
  <si>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</si>
  <si>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</si>
  <si>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</si>
  <si>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</si>
  <si>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</si>
  <si>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</si>
  <si>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</si>
  <si>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</si>
  <si>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</si>
  <si>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</si>
  <si>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</si>
  <si>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</si>
  <si>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</si>
  <si>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</si>
  <si>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</si>
  <si>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</si>
  <si>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</si>
  <si>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</si>
  <si>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</si>
  <si>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</si>
  <si>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</si>
  <si>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</si>
  <si>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</si>
  <si>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</si>
  <si>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</si>
  <si>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</si>
  <si>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</si>
  <si>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</si>
  <si>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</si>
  <si>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</si>
  <si>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</si>
  <si>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</si>
  <si>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</si>
  <si>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</si>
  <si>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</si>
  <si>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</si>
  <si>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</si>
  <si>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</si>
  <si>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</si>
  <si>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</si>
  <si>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</si>
  <si>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</si>
  <si>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</si>
  <si>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</si>
  <si>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</si>
  <si>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</si>
  <si>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</si>
  <si>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</si>
  <si>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</si>
  <si>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</si>
  <si>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</si>
  <si>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</si>
  <si>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</si>
  <si>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</si>
  <si>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</si>
  <si>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</si>
  <si>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</si>
  <si>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</si>
  <si>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</si>
  <si>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</si>
  <si>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</si>
  <si>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</si>
  <si>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</si>
  <si>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</si>
  <si>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</si>
  <si>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</si>
  <si>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</si>
  <si>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</si>
  <si>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</si>
  <si>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</si>
  <si>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</si>
  <si>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</si>
  <si>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</si>
  <si>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</si>
  <si>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</si>
  <si>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</si>
  <si>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</si>
  <si>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</si>
  <si>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</si>
  <si>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</si>
  <si>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</si>
  <si>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</si>
  <si>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</si>
  <si>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</si>
  <si>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</si>
  <si>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</si>
  <si>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</si>
  <si>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</si>
  <si>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</si>
  <si>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</si>
  <si>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</si>
  <si>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</si>
  <si>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</si>
  <si>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</si>
  <si>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</si>
  <si>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</si>
  <si>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</si>
  <si>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</si>
  <si>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</si>
  <si>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</si>
  <si>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</si>
  <si>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</si>
  <si>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</si>
  <si>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</si>
  <si>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</si>
  <si>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</si>
  <si>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</si>
  <si>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</si>
  <si>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</si>
  <si>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</si>
  <si>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</si>
  <si>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</si>
  <si>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</si>
  <si>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</si>
  <si>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</si>
  <si>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</si>
  <si>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</si>
  <si>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</si>
  <si>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</si>
  <si>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</si>
  <si>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</si>
  <si>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</si>
  <si>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</si>
  <si>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</si>
  <si>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</si>
  <si>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</si>
  <si>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</si>
  <si>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</si>
  <si>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</si>
  <si>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</si>
  <si>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</si>
  <si>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</si>
  <si>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</si>
  <si>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</si>
  <si>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</si>
  <si>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</si>
  <si>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</si>
  <si>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</si>
  <si>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</si>
  <si>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</si>
  <si>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</si>
  <si>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</si>
  <si>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</si>
  <si>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</si>
  <si>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</si>
  <si>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</si>
  <si>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</si>
  <si>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</si>
  <si>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</si>
  <si>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</si>
  <si>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</si>
  <si>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</si>
  <si>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</si>
  <si>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</si>
  <si>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</si>
  <si>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</si>
  <si>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</si>
  <si>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</si>
  <si>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</si>
  <si>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</si>
  <si>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</si>
  <si>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</si>
  <si>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</si>
  <si>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</si>
  <si>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</si>
  <si>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</si>
  <si>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</si>
  <si>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</si>
  <si>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</si>
  <si>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</si>
  <si>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</si>
  <si>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</si>
  <si>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</si>
  <si>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</si>
  <si>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</si>
  <si>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</si>
  <si>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</si>
  <si>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</si>
  <si>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</si>
  <si>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</si>
  <si>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</si>
  <si>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</si>
  <si>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</si>
  <si>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</si>
  <si>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</si>
  <si>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</si>
  <si>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</si>
  <si>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</si>
  <si>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</si>
  <si>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</si>
  <si>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</si>
  <si>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</si>
  <si>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</si>
  <si>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</si>
  <si>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</si>
  <si>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</si>
  <si>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</si>
  <si>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</si>
  <si>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</si>
  <si>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</si>
  <si>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</si>
  <si>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</si>
  <si>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</si>
  <si>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</si>
  <si>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</si>
  <si>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</si>
  <si>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</si>
  <si>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</si>
  <si>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</si>
  <si>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</si>
  <si>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</si>
  <si>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</si>
  <si>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</si>
  <si>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</si>
  <si>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</si>
  <si>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</si>
  <si>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</si>
  <si>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</si>
  <si>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</si>
  <si>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</si>
  <si>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</si>
  <si>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</si>
  <si>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</si>
  <si>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</si>
  <si>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</si>
  <si>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</si>
  <si>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</si>
  <si>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</si>
  <si>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</si>
  <si>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</si>
  <si>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</si>
  <si>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</si>
  <si>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</si>
  <si>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</si>
  <si>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</si>
  <si>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</si>
  <si>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</si>
  <si>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</si>
  <si>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</si>
  <si>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</si>
  <si>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</si>
  <si>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</si>
  <si>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</si>
  <si>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</si>
  <si>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</si>
  <si>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</si>
  <si>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</si>
  <si>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</si>
  <si>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</si>
  <si>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</si>
  <si>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</si>
  <si>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</si>
  <si>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</si>
  <si>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</si>
  <si>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</si>
  <si>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</si>
  <si>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</si>
  <si>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</si>
  <si>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</si>
  <si>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</si>
  <si>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</si>
  <si>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</si>
  <si>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</si>
  <si>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</si>
  <si>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</si>
  <si>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</si>
  <si>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</si>
  <si>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</si>
  <si>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</si>
  <si>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</si>
  <si>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</si>
  <si>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</si>
  <si>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</si>
  <si>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</si>
  <si>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</si>
  <si>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</si>
  <si>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</si>
  <si>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</si>
  <si>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</si>
  <si>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</si>
  <si>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</si>
  <si>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</si>
  <si>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</si>
  <si>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</si>
  <si>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</si>
  <si>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</si>
  <si>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</si>
  <si>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</si>
  <si>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</si>
  <si>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</si>
  <si>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</si>
  <si>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</si>
  <si>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</si>
  <si>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</si>
  <si>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</si>
  <si>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</si>
  <si>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</si>
  <si>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</si>
  <si>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</si>
  <si>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</si>
  <si>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</si>
  <si>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</si>
  <si>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出让金+开发费</t>
  </si>
  <si>
    <t>1层</t>
    <phoneticPr fontId="135" type="noConversion"/>
  </si>
  <si>
    <t>建筑面积</t>
    <phoneticPr fontId="135" type="noConversion"/>
  </si>
  <si>
    <t>楼层</t>
    <phoneticPr fontId="135" type="noConversion"/>
  </si>
  <si>
    <t>2层</t>
    <phoneticPr fontId="135" type="noConversion"/>
  </si>
  <si>
    <t>3层</t>
  </si>
  <si>
    <t>4层</t>
  </si>
  <si>
    <t>5层</t>
  </si>
  <si>
    <t>6层</t>
  </si>
  <si>
    <t>7层</t>
  </si>
  <si>
    <t>8层</t>
  </si>
  <si>
    <t>9层</t>
  </si>
  <si>
    <t>10层</t>
  </si>
  <si>
    <t>11层</t>
  </si>
  <si>
    <t>12层</t>
  </si>
  <si>
    <t>13层</t>
  </si>
  <si>
    <t>14层</t>
  </si>
  <si>
    <t>屋面附属用房面积</t>
  </si>
  <si>
    <t>楼层/单元</t>
    <phoneticPr fontId="135" type="noConversion"/>
  </si>
  <si>
    <t>A5</t>
    <phoneticPr fontId="135" type="noConversion"/>
  </si>
  <si>
    <r>
      <t>A</t>
    </r>
    <r>
      <rPr>
        <sz val="11"/>
        <color theme="1"/>
        <rFont val="宋体"/>
        <family val="3"/>
        <charset val="134"/>
        <scheme val="minor"/>
      </rPr>
      <t>6</t>
    </r>
    <phoneticPr fontId="135" type="noConversion"/>
  </si>
  <si>
    <t>A7</t>
    <phoneticPr fontId="135" type="noConversion"/>
  </si>
  <si>
    <t>空置</t>
  </si>
  <si>
    <t>客户名称</t>
    <phoneticPr fontId="135" type="noConversion"/>
  </si>
  <si>
    <t>租赁面积（使用面积折算建筑面积）</t>
    <phoneticPr fontId="135" type="noConversion"/>
  </si>
  <si>
    <t>租赁面积（合同）</t>
    <phoneticPr fontId="135" type="noConversion"/>
  </si>
  <si>
    <t>可出租面积</t>
    <phoneticPr fontId="135" type="noConversion"/>
  </si>
  <si>
    <t>租赁面积（测绘）</t>
    <phoneticPr fontId="135" type="noConversion"/>
  </si>
  <si>
    <t>月租金</t>
    <phoneticPr fontId="135" type="noConversion"/>
  </si>
  <si>
    <t>年租金</t>
    <phoneticPr fontId="135" type="noConversion"/>
  </si>
  <si>
    <t>起租日</t>
    <phoneticPr fontId="135" type="noConversion"/>
  </si>
  <si>
    <t>到期日</t>
    <phoneticPr fontId="135" type="noConversion"/>
  </si>
  <si>
    <t>中电建新能源集团股份有限公司</t>
  </si>
  <si>
    <t>A0826-31</t>
  </si>
  <si>
    <t>A0818-25</t>
  </si>
  <si>
    <r>
      <t>A0832-36/850/</t>
    </r>
    <r>
      <rPr>
        <sz val="11"/>
        <color theme="1"/>
        <rFont val="宋体"/>
        <family val="3"/>
        <charset val="134"/>
        <scheme val="minor"/>
      </rPr>
      <t>85</t>
    </r>
    <phoneticPr fontId="135"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</si>
  <si>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</si>
  <si>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</si>
  <si>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</si>
  <si>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</si>
  <si>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</si>
  <si>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</si>
  <si>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</si>
  <si>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</si>
  <si>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</si>
  <si>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5"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</si>
  <si>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</si>
  <si>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</si>
  <si>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</si>
  <si>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</si>
  <si>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</si>
  <si>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</si>
  <si>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</si>
  <si>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</si>
  <si>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</si>
  <si>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</si>
  <si>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</si>
  <si>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5"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</si>
  <si>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</si>
  <si>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</si>
  <si>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</si>
  <si>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</si>
  <si>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</si>
  <si>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5"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</si>
  <si>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</si>
  <si>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</si>
  <si>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</si>
  <si>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</si>
  <si>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</si>
  <si>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</si>
  <si>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</si>
  <si>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</si>
  <si>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</si>
  <si>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</si>
  <si>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</si>
  <si>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</si>
  <si>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</si>
  <si>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</si>
  <si>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</si>
  <si>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</si>
  <si>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</si>
  <si>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</si>
  <si>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</si>
  <si>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</si>
  <si>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5"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</si>
  <si>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</si>
  <si>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</si>
  <si>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</si>
  <si>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</si>
  <si>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</si>
  <si>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</si>
  <si>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</si>
  <si>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</si>
  <si>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</si>
  <si>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</si>
  <si>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</si>
  <si>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</si>
  <si>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</si>
  <si>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</si>
  <si>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</si>
  <si>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</si>
  <si>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5" type="noConversion"/>
  </si>
  <si>
    <t>A1215</t>
  </si>
  <si>
    <t>A1216-19</t>
  </si>
  <si>
    <r>
      <t>A1220/21/2</t>
    </r>
    <r>
      <rPr>
        <sz val="11"/>
        <color theme="1"/>
        <rFont val="宋体"/>
        <family val="3"/>
        <charset val="134"/>
        <scheme val="minor"/>
      </rPr>
      <t>2/23/25</t>
    </r>
    <phoneticPr fontId="135"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</si>
  <si>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</si>
  <si>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</si>
  <si>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</si>
  <si>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</si>
  <si>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</si>
  <si>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</si>
  <si>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</si>
  <si>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</si>
  <si>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</si>
  <si>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</si>
  <si>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</si>
  <si>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</si>
  <si>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</si>
  <si>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</si>
  <si>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</si>
  <si>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</si>
  <si>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</si>
  <si>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</si>
  <si>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</si>
  <si>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</si>
  <si>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</si>
  <si>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</si>
  <si>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</si>
  <si>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</si>
  <si>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</si>
  <si>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</si>
  <si>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</si>
  <si>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</si>
  <si>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</si>
  <si>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</si>
  <si>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</si>
  <si>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</si>
  <si>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</si>
  <si>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</si>
  <si>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</si>
  <si>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</si>
  <si>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</si>
  <si>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</si>
  <si>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</si>
  <si>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</si>
  <si>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</si>
  <si>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</si>
  <si>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</si>
  <si>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</si>
  <si>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</si>
  <si>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</si>
  <si>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</si>
  <si>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</si>
  <si>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</si>
  <si>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</si>
  <si>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</si>
  <si>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</si>
  <si>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</si>
  <si>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</si>
  <si>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</si>
  <si>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</si>
  <si>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</si>
  <si>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</si>
  <si>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</si>
  <si>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</si>
  <si>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</si>
  <si>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</si>
  <si>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</si>
  <si>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</si>
  <si>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</si>
  <si>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</si>
  <si>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</si>
  <si>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</si>
  <si>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</si>
  <si>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</si>
  <si>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</si>
  <si>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5"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</si>
  <si>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</si>
  <si>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</si>
  <si>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</si>
  <si>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</si>
  <si>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</si>
  <si>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</si>
  <si>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</si>
  <si>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</si>
  <si>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</si>
  <si>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</si>
  <si>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</si>
  <si>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</si>
  <si>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</si>
  <si>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</si>
  <si>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</si>
  <si>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</si>
  <si>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</si>
  <si>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</si>
  <si>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</si>
  <si>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</si>
  <si>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</si>
  <si>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</si>
  <si>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</si>
  <si>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</si>
  <si>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</si>
  <si>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</si>
  <si>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</si>
  <si>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</si>
  <si>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</si>
  <si>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</si>
  <si>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</si>
  <si>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</si>
  <si>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</si>
  <si>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</si>
  <si>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</si>
  <si>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5" type="noConversion"/>
  </si>
  <si>
    <t>办公</t>
    <phoneticPr fontId="135" type="noConversion"/>
  </si>
  <si>
    <t>楼层</t>
    <phoneticPr fontId="135" type="noConversion"/>
  </si>
  <si>
    <t>日租金</t>
    <phoneticPr fontId="135" type="noConversion"/>
  </si>
  <si>
    <t>商业</t>
    <phoneticPr fontId="135" type="noConversion"/>
  </si>
  <si>
    <t>1-2</t>
    <phoneticPr fontId="135" type="noConversion"/>
  </si>
  <si>
    <t>抵押</t>
  </si>
  <si>
    <t>房地产抵押价值</t>
  </si>
  <si>
    <t>北京市</t>
  </si>
  <si>
    <t>企业</t>
  </si>
  <si>
    <t>办公</t>
    <phoneticPr fontId="135" type="noConversion"/>
  </si>
  <si>
    <t>商业</t>
    <phoneticPr fontId="4" type="noConversion"/>
  </si>
  <si>
    <t>办公</t>
    <phoneticPr fontId="4" type="noConversion"/>
  </si>
  <si>
    <t>地上</t>
  </si>
  <si>
    <t>是</t>
  </si>
  <si>
    <t>成新度</t>
  </si>
  <si>
    <t>押一</t>
  </si>
  <si>
    <t>钢混</t>
  </si>
  <si>
    <t>非生产用房</t>
  </si>
  <si>
    <t>否</t>
  </si>
  <si>
    <t>收益法-商业</t>
  </si>
  <si>
    <t>收益法-办公</t>
  </si>
  <si>
    <t>收益法-办公</t>
    <phoneticPr fontId="17" type="noConversion"/>
  </si>
  <si>
    <t>收益法（汇总）</t>
  </si>
  <si>
    <t>总价</t>
  </si>
  <si>
    <t>成本比率</t>
  </si>
  <si>
    <t>成本法</t>
  </si>
  <si>
    <t>北京市朝阳区大屯地区0205-659地块及周边储备用地B4综合性商业金融服务业用地</t>
  </si>
  <si>
    <t>商业、办公</t>
    <phoneticPr fontId="31" type="noConversion"/>
  </si>
  <si>
    <r>
      <t>21</t>
    </r>
    <r>
      <rPr>
        <sz val="11"/>
        <color indexed="8"/>
        <rFont val="宋体"/>
        <family val="3"/>
        <charset val="134"/>
      </rPr>
      <t>、</t>
    </r>
    <r>
      <rPr>
        <sz val="11"/>
        <color indexed="8"/>
        <rFont val="Arial"/>
        <family val="2"/>
      </rPr>
      <t>31</t>
    </r>
    <phoneticPr fontId="31" type="noConversion"/>
  </si>
  <si>
    <r>
      <t>40</t>
    </r>
    <r>
      <rPr>
        <sz val="11"/>
        <color indexed="8"/>
        <rFont val="宋体"/>
        <family val="3"/>
        <charset val="134"/>
      </rPr>
      <t>、</t>
    </r>
    <r>
      <rPr>
        <sz val="11"/>
        <color indexed="8"/>
        <rFont val="Arial"/>
        <family val="2"/>
      </rPr>
      <t>50</t>
    </r>
    <phoneticPr fontId="31" type="noConversion"/>
  </si>
  <si>
    <t>正常</t>
  </si>
  <si>
    <r>
      <t>B4</t>
    </r>
    <r>
      <rPr>
        <sz val="11"/>
        <color indexed="8"/>
        <rFont val="宋体"/>
        <family val="3"/>
        <charset val="134"/>
      </rPr>
      <t>综合性商业金融服务业用地</t>
    </r>
    <phoneticPr fontId="31" type="noConversion"/>
  </si>
  <si>
    <t>临时三通一平</t>
    <phoneticPr fontId="31"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</si>
  <si>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</si>
  <si>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</si>
  <si>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</si>
  <si>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</si>
  <si>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</si>
  <si>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</si>
  <si>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</si>
  <si>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</si>
  <si>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</si>
  <si>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</si>
  <si>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</si>
  <si>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</si>
  <si>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</si>
  <si>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</si>
  <si>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</si>
  <si>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</si>
  <si>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</si>
  <si>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</si>
  <si>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</si>
  <si>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</si>
  <si>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</si>
  <si>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</si>
  <si>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</si>
  <si>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</si>
  <si>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</si>
  <si>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</si>
  <si>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</si>
  <si>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</si>
  <si>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</si>
  <si>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</si>
  <si>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</si>
  <si>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</si>
  <si>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</si>
  <si>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</si>
  <si>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</si>
  <si>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</si>
  <si>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</si>
  <si>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</si>
  <si>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</si>
  <si>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4" type="noConversion"/>
  </si>
  <si>
    <t>北京市朝阳区太阳宫乡0301-613地块</t>
    <phoneticPr fontId="4" type="noConversion"/>
  </si>
  <si>
    <t>北京市朝阳区大屯地区0205-659地块及周边储备用地</t>
    <phoneticPr fontId="4" type="noConversion"/>
  </si>
  <si>
    <t>一般</t>
  </si>
  <si>
    <t>较好</t>
  </si>
  <si>
    <t>好</t>
  </si>
  <si>
    <t>七通</t>
  </si>
  <si>
    <t>较规则</t>
    <phoneticPr fontId="31" type="noConversion"/>
  </si>
  <si>
    <t>较好</t>
    <phoneticPr fontId="31" type="noConversion"/>
  </si>
  <si>
    <t>六通一平</t>
  </si>
  <si>
    <t>六通一平</t>
    <phoneticPr fontId="31" type="noConversion"/>
  </si>
  <si>
    <t>五通一平</t>
    <phoneticPr fontId="31" type="noConversion"/>
  </si>
  <si>
    <t>四通一平</t>
    <phoneticPr fontId="31" type="noConversion"/>
  </si>
  <si>
    <t>未包含在土地购买价格中</t>
  </si>
  <si>
    <t>全部缴纳</t>
  </si>
  <si>
    <t>已包含在土地取得成本中</t>
  </si>
  <si>
    <t>情况3</t>
  </si>
  <si>
    <t>自行开发建设</t>
  </si>
  <si>
    <t>非个人房产</t>
  </si>
  <si>
    <t>出让合同总建面</t>
    <phoneticPr fontId="9" type="noConversion"/>
  </si>
  <si>
    <t>建筑面积</t>
    <phoneticPr fontId="9" type="noConversion"/>
  </si>
  <si>
    <t>出让金</t>
    <phoneticPr fontId="9"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</si>
  <si>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</si>
  <si>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</si>
  <si>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</si>
  <si>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</si>
  <si>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</si>
  <si>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</si>
  <si>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</si>
  <si>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</si>
  <si>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</si>
  <si>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7" type="noConversion"/>
  </si>
  <si>
    <t>地价指数</t>
  </si>
  <si>
    <t>项目模式</t>
  </si>
  <si>
    <t>售价</t>
  </si>
  <si>
    <t>北辰世纪中心</t>
    <phoneticPr fontId="4" type="noConversion"/>
  </si>
  <si>
    <t>商业繁华程度</t>
    <phoneticPr fontId="32" type="noConversion"/>
  </si>
  <si>
    <t>地下占比</t>
    <phoneticPr fontId="32" type="noConversion"/>
  </si>
  <si>
    <t>商业、办公</t>
    <phoneticPr fontId="32" type="noConversion"/>
  </si>
  <si>
    <t>办公</t>
    <phoneticPr fontId="32" type="noConversion"/>
  </si>
  <si>
    <t>标准写字楼</t>
  </si>
  <si>
    <t>精装修</t>
  </si>
  <si>
    <t>专业物业管理</t>
  </si>
  <si>
    <t>六通</t>
  </si>
  <si>
    <t>毛坯</t>
  </si>
  <si>
    <t>普通装修</t>
  </si>
  <si>
    <t>普通装修</t>
    <phoneticPr fontId="32" type="noConversion"/>
  </si>
  <si>
    <t>较好</t>
    <phoneticPr fontId="32" type="noConversion"/>
  </si>
  <si>
    <t>一般</t>
    <phoneticPr fontId="32" type="noConversion"/>
  </si>
  <si>
    <t>30-40</t>
  </si>
  <si>
    <t>40-50</t>
    <phoneticPr fontId="4" type="noConversion"/>
  </si>
  <si>
    <t>30-40</t>
    <phoneticPr fontId="4" type="noConversion"/>
  </si>
  <si>
    <t>20-30</t>
    <phoneticPr fontId="4" type="noConversion"/>
  </si>
  <si>
    <t>高速</t>
    <phoneticPr fontId="4" type="noConversion"/>
  </si>
  <si>
    <t>快速</t>
    <phoneticPr fontId="4" type="noConversion"/>
  </si>
  <si>
    <t>主干道</t>
    <phoneticPr fontId="4" type="noConversion"/>
  </si>
  <si>
    <t>次干道</t>
    <phoneticPr fontId="4" type="noConversion"/>
  </si>
  <si>
    <t>支路</t>
    <phoneticPr fontId="4" type="noConversion"/>
  </si>
  <si>
    <t>简单装修</t>
  </si>
  <si>
    <t>比较法-办公</t>
  </si>
  <si>
    <t>北京</t>
  </si>
  <si>
    <t>写字楼</t>
  </si>
  <si>
    <t>成交</t>
  </si>
  <si>
    <t>资产交易</t>
  </si>
  <si>
    <t>甲级</t>
  </si>
  <si>
    <t>北京朝阳区创远路28号院1号楼</t>
    <phoneticPr fontId="135" type="noConversion"/>
  </si>
  <si>
    <t>望京·华樾中心</t>
  </si>
  <si>
    <t>朝阳</t>
  </si>
  <si>
    <t>来广营</t>
  </si>
  <si>
    <t>乐华娱乐(内资)</t>
  </si>
  <si>
    <t>北京金开连泰</t>
  </si>
  <si>
    <t>商业占比</t>
    <phoneticPr fontId="135" type="noConversion"/>
  </si>
  <si>
    <t>冠华大厦</t>
    <phoneticPr fontId="32" type="noConversion"/>
  </si>
  <si>
    <t>20-30</t>
    <phoneticPr fontId="32" type="noConversion"/>
  </si>
  <si>
    <t>较差</t>
  </si>
  <si>
    <t>差</t>
  </si>
  <si>
    <t>核定</t>
    <phoneticPr fontId="9" type="noConversion"/>
  </si>
  <si>
    <t>保利佲悦大都汇2号楼</t>
    <phoneticPr fontId="135" type="noConversion"/>
  </si>
  <si>
    <t>丰台</t>
  </si>
  <si>
    <t>科技园区</t>
  </si>
  <si>
    <t>乙级</t>
  </si>
  <si>
    <t>保利发展控股集团股份有限公司</t>
  </si>
  <si>
    <t>价值时点</t>
    <phoneticPr fontId="135" type="noConversion"/>
  </si>
  <si>
    <t>办公最长租赁期</t>
    <phoneticPr fontId="135" type="noConversion"/>
  </si>
  <si>
    <t>办公剩余租赁期</t>
    <phoneticPr fontId="135" type="noConversion"/>
  </si>
  <si>
    <t>年增长率</t>
    <phoneticPr fontId="135" type="noConversion"/>
  </si>
  <si>
    <t>空置率</t>
    <phoneticPr fontId="135" type="noConversion"/>
  </si>
  <si>
    <t>市场租金</t>
    <phoneticPr fontId="135" type="noConversion"/>
  </si>
  <si>
    <t>第一期</t>
    <phoneticPr fontId="135" type="noConversion"/>
  </si>
  <si>
    <t>第二期</t>
    <phoneticPr fontId="135" type="noConversion"/>
  </si>
  <si>
    <t>第三期</t>
    <phoneticPr fontId="135" type="noConversion"/>
  </si>
  <si>
    <t>第四期</t>
    <phoneticPr fontId="135" type="noConversion"/>
  </si>
  <si>
    <t>第五期</t>
    <phoneticPr fontId="135" type="noConversion"/>
  </si>
  <si>
    <t>第六期</t>
    <phoneticPr fontId="135" type="noConversion"/>
  </si>
  <si>
    <t>第七期</t>
    <phoneticPr fontId="135" type="noConversion"/>
  </si>
  <si>
    <t>办公租期内总租金</t>
    <phoneticPr fontId="135" type="noConversion"/>
  </si>
  <si>
    <t>办公租期内平均日租金</t>
    <phoneticPr fontId="135" type="noConversion"/>
  </si>
  <si>
    <t>办公租期外首年租金</t>
    <phoneticPr fontId="135" type="noConversion"/>
  </si>
  <si>
    <t>商业最长租赁期</t>
    <phoneticPr fontId="135" type="noConversion"/>
  </si>
  <si>
    <t>商业剩余租赁期</t>
    <phoneticPr fontId="135" type="noConversion"/>
  </si>
  <si>
    <t>建筑面积</t>
  </si>
  <si>
    <t>1层</t>
    <phoneticPr fontId="135" type="noConversion"/>
  </si>
  <si>
    <t>2层</t>
    <phoneticPr fontId="135" type="noConversion"/>
  </si>
  <si>
    <t>系数</t>
    <phoneticPr fontId="135" type="noConversion"/>
  </si>
  <si>
    <t>商业租期内总租金</t>
    <phoneticPr fontId="135" type="noConversion"/>
  </si>
  <si>
    <t>商业租期内平均日租金</t>
    <phoneticPr fontId="135" type="noConversion"/>
  </si>
  <si>
    <t>商业租期外首年租金</t>
    <phoneticPr fontId="135" type="noConversion"/>
  </si>
  <si>
    <t>已与相邻房合并</t>
    <phoneticPr fontId="135" type="noConversion"/>
  </si>
  <si>
    <t>1层外铺租金</t>
    <phoneticPr fontId="135" type="noConversion"/>
  </si>
  <si>
    <t>1层内铺租金</t>
    <phoneticPr fontId="135" type="noConversion"/>
  </si>
  <si>
    <t>2层租金</t>
    <phoneticPr fontId="135" type="noConversion"/>
  </si>
  <si>
    <t>商业可出租面积</t>
    <phoneticPr fontId="135" type="noConversion"/>
  </si>
  <si>
    <t>办公可出租面积</t>
    <phoneticPr fontId="135" type="noConversion"/>
  </si>
  <si>
    <t>商业、办公</t>
  </si>
  <si>
    <t>地上</t>
    <phoneticPr fontId="32" type="noConversion"/>
  </si>
  <si>
    <t>地下</t>
    <phoneticPr fontId="32" type="noConversion"/>
  </si>
  <si>
    <t>面积比例</t>
    <phoneticPr fontId="32" type="noConversion"/>
  </si>
  <si>
    <t>望京华樾中心B座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</si>
  <si>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</si>
  <si>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</si>
  <si>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</si>
  <si>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</si>
  <si>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</si>
  <si>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</si>
  <si>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</si>
  <si>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</si>
  <si>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</si>
  <si>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</si>
  <si>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</si>
  <si>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</si>
  <si>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</si>
  <si>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</si>
  <si>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</si>
  <si>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</si>
  <si>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</si>
  <si>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</si>
  <si>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</si>
  <si>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</si>
  <si>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</si>
  <si>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</si>
  <si>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</si>
  <si>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</si>
  <si>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</si>
  <si>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</si>
  <si>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</si>
  <si>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</si>
  <si>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</si>
  <si>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</si>
  <si>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净值</t>
    <phoneticPr fontId="9" type="noConversion"/>
  </si>
  <si>
    <t>冠华大厦12-14层、2层部分（118-5）及地下53个车位</t>
  </si>
  <si>
    <t>西城区西直门内大街118号</t>
  </si>
  <si>
    <t>西城区</t>
  </si>
  <si>
    <t>西城</t>
  </si>
  <si>
    <t>华润置地</t>
  </si>
  <si>
    <t>办公、车库</t>
  </si>
  <si>
    <t>冠华大厦总建筑面积约3.98万㎡，共17层，其中地下三层，地上十四层；本次销售含地下53个车位，每个车位30万</t>
  </si>
  <si>
    <t>2000年</t>
  </si>
  <si>
    <t>网签数据</t>
  </si>
  <si>
    <t>保利佲悦大都汇2号楼</t>
    <phoneticPr fontId="32" type="noConversion"/>
  </si>
  <si>
    <t>望京·华樾中心</t>
    <phoneticPr fontId="32" type="noConversion"/>
  </si>
  <si>
    <t>保利佲悦大都汇</t>
    <phoneticPr fontId="135" type="noConversion"/>
  </si>
  <si>
    <t>2号楼</t>
  </si>
  <si>
    <t>现：京(2020)丰不动产权第0007288号</t>
  </si>
  <si>
    <t>其他</t>
  </si>
  <si>
    <t>3号楼</t>
  </si>
  <si>
    <t>现：京(2020)丰不动产权第0007264号</t>
  </si>
  <si>
    <t>1号楼</t>
  </si>
  <si>
    <t>现：京(2022)朝不动产权第0073209号</t>
  </si>
  <si>
    <t>产权单一</t>
    <phoneticPr fontId="32" type="noConversion"/>
  </si>
  <si>
    <t>是</t>
    <phoneticPr fontId="32" type="noConversion"/>
  </si>
  <si>
    <t>否</t>
    <phoneticPr fontId="32" type="noConversion"/>
  </si>
  <si>
    <t>0-10%</t>
    <phoneticPr fontId="32" type="noConversion"/>
  </si>
  <si>
    <t>单价</t>
    <phoneticPr fontId="32" type="noConversion"/>
  </si>
  <si>
    <t>20-30%</t>
    <phoneticPr fontId="32" type="noConversion"/>
  </si>
  <si>
    <t>10-20%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</si>
</sst>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
      <sz val="10"/>
      <color rgb="FF333333"/>
      <name val="Verdan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xf numFmtId="192" fontId="274" fillId="0" borderId="0"/>
    <xf numFmtId="43" fontId="274" fillId="0" borderId="0" applyFont="0" applyFill="0" applyBorder="0" applyAlignment="0" applyProtection="0">
      <alignment vertical="center"/>
    </xf>
  </cellStyleXfs>
  <cellXfs count="35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6" fillId="22" borderId="0" xfId="0" applyFont="1" applyFill="1">
      <alignment vertical="center"/>
    </xf>
    <xf numFmtId="0" fontId="272" fillId="15" borderId="0" xfId="0" applyFont="1" applyFill="1">
      <alignment vertical="center"/>
    </xf>
    <xf numFmtId="4" fontId="272" fillId="15" borderId="0" xfId="0" applyNumberFormat="1" applyFont="1" applyFill="1">
      <alignment vertical="center"/>
    </xf>
    <xf numFmtId="0" fontId="96" fillId="0" borderId="0" xfId="0" quotePrefix="1" applyFont="1">
      <alignment vertical="center"/>
    </xf>
    <xf numFmtId="0" fontId="78" fillId="0" borderId="1" xfId="0" applyFont="1" applyBorder="1" applyAlignment="1" applyProtection="1">
      <alignment horizontal="center" vertical="center" wrapText="1"/>
      <protection locked="0"/>
    </xf>
    <xf numFmtId="2" fontId="48"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2" borderId="51" xfId="0" applyFont="1" applyFill="1" applyBorder="1" applyAlignment="1" applyProtection="1">
      <alignment horizontal="center" vertical="center" wrapText="1"/>
      <protection locked="0"/>
    </xf>
    <xf numFmtId="9" fontId="129" fillId="2" borderId="37"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15" fillId="7" borderId="0" xfId="0" applyFont="1" applyFill="1" applyProtection="1">
      <alignment vertical="center"/>
      <protection locked="0"/>
    </xf>
    <xf numFmtId="2" fontId="0" fillId="0" borderId="0" xfId="0" applyNumberFormat="1">
      <alignment vertical="center"/>
    </xf>
    <xf numFmtId="2" fontId="271" fillId="0" borderId="0" xfId="0" applyNumberFormat="1" applyFont="1">
      <alignment vertical="center"/>
    </xf>
    <xf numFmtId="0" fontId="129" fillId="0" borderId="2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129" fillId="2" borderId="6" xfId="0" applyNumberFormat="1" applyFont="1" applyFill="1" applyBorder="1" applyAlignment="1" applyProtection="1">
      <alignment horizontal="center" vertical="center" wrapText="1"/>
      <protection locked="0"/>
    </xf>
    <xf numFmtId="0" fontId="95" fillId="2" borderId="54" xfId="0"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9" fontId="45" fillId="0" borderId="44" xfId="0" applyNumberFormat="1" applyFont="1" applyBorder="1" applyAlignment="1" applyProtection="1">
      <alignment horizontal="center" vertical="center" wrapText="1"/>
      <protection locked="0"/>
    </xf>
    <xf numFmtId="0" fontId="273" fillId="5" borderId="1" xfId="19" applyFill="1" applyBorder="1" applyAlignment="1">
      <alignment vertical="center" wrapText="1"/>
    </xf>
    <xf numFmtId="14" fontId="273" fillId="5" borderId="1" xfId="19" applyNumberFormat="1" applyFill="1" applyBorder="1" applyAlignment="1">
      <alignment vertical="center" wrapText="1"/>
    </xf>
    <xf numFmtId="4" fontId="273" fillId="5" borderId="1" xfId="19" applyNumberFormat="1" applyFill="1" applyBorder="1" applyAlignment="1">
      <alignment horizontal="center" vertical="center" wrapText="1"/>
    </xf>
    <xf numFmtId="3" fontId="273"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8" fillId="7" borderId="0" xfId="0" applyFont="1" applyFill="1" applyProtection="1">
      <alignment vertical="center"/>
      <protection locked="0"/>
    </xf>
    <xf numFmtId="0" fontId="275"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6" fillId="14" borderId="0" xfId="0" applyNumberFormat="1" applyFont="1" applyFill="1">
      <alignment vertical="center"/>
    </xf>
    <xf numFmtId="4" fontId="0" fillId="0" borderId="0" xfId="0" applyNumberFormat="1">
      <alignment vertical="center"/>
    </xf>
    <xf numFmtId="0" fontId="100" fillId="0" borderId="1" xfId="0" applyFont="1" applyBorder="1" applyAlignment="1">
      <alignment horizontal="left" vertical="center" wrapText="1"/>
    </xf>
    <xf numFmtId="10" fontId="48" fillId="7" borderId="0" xfId="17" applyNumberFormat="1" applyFont="1" applyFill="1" applyProtection="1">
      <alignment vertical="center"/>
      <protection locked="0"/>
    </xf>
    <xf numFmtId="10" fontId="48" fillId="7" borderId="0" xfId="0" applyNumberFormat="1" applyFont="1" applyFill="1" applyProtection="1">
      <alignment vertical="center"/>
      <protection locked="0"/>
    </xf>
    <xf numFmtId="196" fontId="0" fillId="0" borderId="0" xfId="0" applyNumberFormat="1">
      <alignment vertical="center"/>
    </xf>
    <xf numFmtId="0" fontId="96" fillId="8" borderId="0" xfId="0" applyFont="1" applyFill="1">
      <alignment vertical="center"/>
    </xf>
    <xf numFmtId="179" fontId="54" fillId="8" borderId="1" xfId="0" applyNumberFormat="1" applyFont="1" applyFill="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52" fillId="0" borderId="0" xfId="0" applyNumberFormat="1" applyFont="1" applyAlignment="1" applyProtection="1">
      <alignment horizontal="center" vertical="center"/>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3"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1" fontId="71" fillId="3" borderId="20" xfId="0" applyNumberFormat="1" applyFont="1" applyFill="1" applyBorder="1" applyAlignment="1" applyProtection="1">
      <alignment vertical="center" wrapText="1"/>
      <protection locked="0"/>
    </xf>
    <xf numFmtId="0" fontId="78" fillId="7" borderId="0" xfId="0" applyFont="1" applyFill="1" applyAlignment="1" applyProtection="1">
      <alignment horizontal="left" vertical="center"/>
      <protection locked="0"/>
    </xf>
    <xf numFmtId="189" fontId="20" fillId="0" borderId="1" xfId="0" applyNumberFormat="1" applyFont="1" applyBorder="1" applyAlignment="1">
      <alignment horizontal="center" vertical="center"/>
    </xf>
    <xf numFmtId="0" fontId="1" fillId="5" borderId="1" xfId="19" applyFont="1" applyFill="1" applyBorder="1" applyAlignment="1">
      <alignment vertical="center" wrapText="1"/>
    </xf>
    <xf numFmtId="14" fontId="276" fillId="12" borderId="176" xfId="0" applyNumberFormat="1" applyFont="1" applyFill="1" applyBorder="1" applyAlignment="1">
      <alignment horizontal="left" vertical="center"/>
    </xf>
    <xf numFmtId="0" fontId="276" fillId="12" borderId="176" xfId="0" applyFont="1" applyFill="1" applyBorder="1" applyAlignment="1">
      <alignment horizontal="left" vertical="center"/>
    </xf>
    <xf numFmtId="0" fontId="276" fillId="12" borderId="176" xfId="0" applyFont="1" applyFill="1" applyBorder="1" applyAlignment="1">
      <alignment horizontal="right" vertical="center"/>
    </xf>
    <xf numFmtId="9" fontId="95" fillId="0" borderId="37" xfId="17"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181" fontId="0" fillId="0" borderId="0" xfId="17" applyNumberFormat="1"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1" fillId="18" borderId="1"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273" fillId="0" borderId="0" xfId="19"/>
    <xf numFmtId="14" fontId="273" fillId="0" borderId="0" xfId="19" applyNumberFormat="1"/>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2">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xmlns=""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xmlns=""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xmlns=""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xmlns=""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xmlns=""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xmlns=""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xmlns=""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xmlns=""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xmlns=""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xmlns=""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xmlns=""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xmlns=""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xmlns=""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xmlns=""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xmlns=""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11</xdr:col>
      <xdr:colOff>579971</xdr:colOff>
      <xdr:row>74</xdr:row>
      <xdr:rowOff>113425</xdr:rowOff>
    </xdr:to>
    <xdr:pic>
      <xdr:nvPicPr>
        <xdr:cNvPr id="2" name="图片 1">
          <a:extLst>
            <a:ext uri="{FF2B5EF4-FFF2-40B4-BE49-F238E27FC236}">
              <a16:creationId xmlns:a16="http://schemas.microsoft.com/office/drawing/2014/main" xmlns="" id="{E587117A-D029-30D1-A19B-E30C4E518F20}"/>
            </a:ext>
          </a:extLst>
        </xdr:cNvPr>
        <xdr:cNvPicPr>
          <a:picLocks noChangeAspect="1"/>
        </xdr:cNvPicPr>
      </xdr:nvPicPr>
      <xdr:blipFill>
        <a:blip xmlns:r="http://schemas.openxmlformats.org/officeDocument/2006/relationships" r:embed="rId1"/>
        <a:stretch>
          <a:fillRect/>
        </a:stretch>
      </xdr:blipFill>
      <xdr:spPr>
        <a:xfrm>
          <a:off x="0" y="6877050"/>
          <a:ext cx="8428571" cy="7000000"/>
        </a:xfrm>
        <a:prstGeom prst="rect">
          <a:avLst/>
        </a:prstGeom>
      </xdr:spPr>
    </xdr:pic>
    <xdr:clientData/>
  </xdr:twoCellAnchor>
  <xdr:twoCellAnchor editAs="oneCell">
    <xdr:from>
      <xdr:col>0</xdr:col>
      <xdr:colOff>0</xdr:colOff>
      <xdr:row>11</xdr:row>
      <xdr:rowOff>142875</xdr:rowOff>
    </xdr:from>
    <xdr:to>
      <xdr:col>15</xdr:col>
      <xdr:colOff>180775</xdr:colOff>
      <xdr:row>35</xdr:row>
      <xdr:rowOff>133350</xdr:rowOff>
    </xdr:to>
    <xdr:pic>
      <xdr:nvPicPr>
        <xdr:cNvPr id="3" name="图片 2">
          <a:extLst>
            <a:ext uri="{FF2B5EF4-FFF2-40B4-BE49-F238E27FC236}">
              <a16:creationId xmlns:a16="http://schemas.microsoft.com/office/drawing/2014/main" xmlns="" id="{8E9BF9AF-612C-4F68-9B2F-C96453085ECC}"/>
            </a:ext>
          </a:extLst>
        </xdr:cNvPr>
        <xdr:cNvPicPr>
          <a:picLocks noChangeAspect="1"/>
        </xdr:cNvPicPr>
      </xdr:nvPicPr>
      <xdr:blipFill>
        <a:blip xmlns:r="http://schemas.openxmlformats.org/officeDocument/2006/relationships" r:embed="rId2"/>
        <a:stretch>
          <a:fillRect/>
        </a:stretch>
      </xdr:blipFill>
      <xdr:spPr>
        <a:xfrm>
          <a:off x="0" y="3105150"/>
          <a:ext cx="10886875" cy="4105275"/>
        </a:xfrm>
        <a:prstGeom prst="rect">
          <a:avLst/>
        </a:prstGeom>
      </xdr:spPr>
    </xdr:pic>
    <xdr:clientData/>
  </xdr:twoCellAnchor>
  <xdr:twoCellAnchor editAs="oneCell">
    <xdr:from>
      <xdr:col>11</xdr:col>
      <xdr:colOff>742950</xdr:colOff>
      <xdr:row>13</xdr:row>
      <xdr:rowOff>9525</xdr:rowOff>
    </xdr:from>
    <xdr:to>
      <xdr:col>14</xdr:col>
      <xdr:colOff>285536</xdr:colOff>
      <xdr:row>47</xdr:row>
      <xdr:rowOff>170701</xdr:rowOff>
    </xdr:to>
    <xdr:pic>
      <xdr:nvPicPr>
        <xdr:cNvPr id="4" name="图片 3">
          <a:extLst>
            <a:ext uri="{FF2B5EF4-FFF2-40B4-BE49-F238E27FC236}">
              <a16:creationId xmlns:a16="http://schemas.microsoft.com/office/drawing/2014/main" xmlns="" id="{70DF6FA9-95B9-F089-3F64-E74C7F6A0F58}"/>
            </a:ext>
          </a:extLst>
        </xdr:cNvPr>
        <xdr:cNvPicPr>
          <a:picLocks noChangeAspect="1"/>
        </xdr:cNvPicPr>
      </xdr:nvPicPr>
      <xdr:blipFill>
        <a:blip xmlns:r="http://schemas.openxmlformats.org/officeDocument/2006/relationships" r:embed="rId3"/>
        <a:stretch>
          <a:fillRect/>
        </a:stretch>
      </xdr:blipFill>
      <xdr:spPr>
        <a:xfrm>
          <a:off x="8591550" y="6105525"/>
          <a:ext cx="1714286" cy="5990476"/>
        </a:xfrm>
        <a:prstGeom prst="rect">
          <a:avLst/>
        </a:prstGeom>
      </xdr:spPr>
    </xdr:pic>
    <xdr:clientData/>
  </xdr:twoCellAnchor>
  <xdr:twoCellAnchor editAs="oneCell">
    <xdr:from>
      <xdr:col>14</xdr:col>
      <xdr:colOff>209550</xdr:colOff>
      <xdr:row>11</xdr:row>
      <xdr:rowOff>161925</xdr:rowOff>
    </xdr:from>
    <xdr:to>
      <xdr:col>16</xdr:col>
      <xdr:colOff>590331</xdr:colOff>
      <xdr:row>50</xdr:row>
      <xdr:rowOff>8708</xdr:rowOff>
    </xdr:to>
    <xdr:pic>
      <xdr:nvPicPr>
        <xdr:cNvPr id="5" name="图片 4">
          <a:extLst>
            <a:ext uri="{FF2B5EF4-FFF2-40B4-BE49-F238E27FC236}">
              <a16:creationId xmlns:a16="http://schemas.microsoft.com/office/drawing/2014/main" xmlns="" id="{12D66F3E-91C1-76C4-76E6-BCB71B8BAFF9}"/>
            </a:ext>
          </a:extLst>
        </xdr:cNvPr>
        <xdr:cNvPicPr>
          <a:picLocks noChangeAspect="1"/>
        </xdr:cNvPicPr>
      </xdr:nvPicPr>
      <xdr:blipFill>
        <a:blip xmlns:r="http://schemas.openxmlformats.org/officeDocument/2006/relationships" r:embed="rId4"/>
        <a:stretch>
          <a:fillRect/>
        </a:stretch>
      </xdr:blipFill>
      <xdr:spPr>
        <a:xfrm>
          <a:off x="10229850" y="5915025"/>
          <a:ext cx="1752381" cy="65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11</xdr:col>
      <xdr:colOff>1171575</xdr:colOff>
      <xdr:row>7</xdr:row>
      <xdr:rowOff>92248</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1"/>
        <a:stretch>
          <a:fillRect/>
        </a:stretch>
      </xdr:blipFill>
      <xdr:spPr>
        <a:xfrm>
          <a:off x="0" y="885825"/>
          <a:ext cx="14163675" cy="4065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12</xdr:col>
      <xdr:colOff>270681</xdr:colOff>
      <xdr:row>4</xdr:row>
      <xdr:rowOff>133350</xdr:rowOff>
    </xdr:to>
    <xdr:pic>
      <xdr:nvPicPr>
        <xdr:cNvPr id="2" name="图片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a:stretch>
          <a:fillRect/>
        </a:stretch>
      </xdr:blipFill>
      <xdr:spPr>
        <a:xfrm>
          <a:off x="0" y="523875"/>
          <a:ext cx="11653056" cy="29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457058</v>
      </c>
    </row>
    <row r="21" spans="1:2">
      <c r="A21" s="1118" t="s">
        <v>537</v>
      </c>
      <c r="B21" s="1119">
        <f ca="1">'预评函-2'!D7</f>
        <v>46201</v>
      </c>
    </row>
    <row r="22" spans="1:2">
      <c r="A22" s="1118" t="s">
        <v>538</v>
      </c>
      <c r="B22" s="1119" t="str">
        <f ca="1">'预评函-2'!D6</f>
        <v>肆拾伍亿柒仟零伍拾捌万元整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457058</v>
      </c>
    </row>
    <row r="31" spans="1:2">
      <c r="A31" s="1118" t="s">
        <v>576</v>
      </c>
      <c r="B31" s="1119">
        <f ca="1">'预评函-2'!D15</f>
        <v>46201</v>
      </c>
    </row>
    <row r="32" spans="1:2">
      <c r="A32" s="1118" t="s">
        <v>543</v>
      </c>
      <c r="B32" s="1119" t="str">
        <f ca="1">'预评函-2'!D14</f>
        <v>肆拾伍亿柒仟零伍拾捌万元整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273409</v>
      </c>
    </row>
    <row r="39" spans="1:2">
      <c r="A39" s="1118" t="s">
        <v>545</v>
      </c>
      <c r="B39" s="1119">
        <f ca="1">'预评函-2'!D21</f>
        <v>27637</v>
      </c>
    </row>
    <row r="40" spans="1:2">
      <c r="A40" s="1118" t="s">
        <v>546</v>
      </c>
      <c r="B40" s="1119" t="str">
        <f ca="1">'预评函-2'!D20</f>
        <v>贰拾柒亿叁仟肆佰零玖万元整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#DIV/0!</v>
      </c>
    </row>
    <row r="48" spans="1:2">
      <c r="A48" s="1118" t="s">
        <v>549</v>
      </c>
      <c r="B48" s="1119" t="e">
        <f ca="1">'预评函-3'!E4</f>
        <v>#DIV/0!</v>
      </c>
    </row>
    <row r="49" spans="1:2">
      <c r="A49" s="1118" t="s">
        <v>550</v>
      </c>
      <c r="B49" s="1119" t="e">
        <f ca="1">'预评函-3'!D5</f>
        <v>#DIV/0!</v>
      </c>
    </row>
    <row r="50" spans="1:2">
      <c r="A50" s="1118" t="s">
        <v>574</v>
      </c>
      <c r="B50" s="1119" t="str">
        <f>'预评函-3'!F2</f>
        <v>在建建筑物价值</v>
      </c>
    </row>
    <row r="51" spans="1:2">
      <c r="A51" s="1118" t="s">
        <v>551</v>
      </c>
      <c r="B51" s="1119" t="e">
        <f ca="1">'预评函-3'!F4</f>
        <v>#DIV/0!</v>
      </c>
    </row>
    <row r="52" spans="1:2">
      <c r="A52" s="1118" t="s">
        <v>552</v>
      </c>
      <c r="B52" s="1119" t="e">
        <f ca="1">'预评函-3'!G4</f>
        <v>#DIV/0!</v>
      </c>
    </row>
    <row r="53" spans="1:2">
      <c r="A53" s="1118" t="s">
        <v>580</v>
      </c>
      <c r="B53" s="1119" t="e">
        <f ca="1">'预评函-3'!F5</f>
        <v>#DIV/0!</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6" t="s">
        <v>385</v>
      </c>
      <c r="C54" s="1444" t="s">
        <v>583</v>
      </c>
    </row>
    <row r="55" spans="1:4">
      <c r="A55" s="3259"/>
      <c r="B55" s="1446" t="s">
        <v>386</v>
      </c>
      <c r="C55" s="1444" t="s">
        <v>584</v>
      </c>
    </row>
    <row r="56" spans="1:4">
      <c r="A56" s="3259"/>
      <c r="B56" s="1446" t="s">
        <v>387</v>
      </c>
      <c r="C56" s="1444" t="s">
        <v>588</v>
      </c>
    </row>
    <row r="57" spans="1:4">
      <c r="A57" s="325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60" t="s">
        <v>2571</v>
      </c>
      <c r="J2" s="3260"/>
      <c r="K2" s="3260"/>
      <c r="L2" s="3260"/>
      <c r="M2" s="3260"/>
      <c r="N2" s="3260"/>
      <c r="O2" s="3260"/>
      <c r="P2" s="3260"/>
      <c r="Q2" s="3260"/>
      <c r="R2" s="3260"/>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71"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72"/>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78"/>
      <c r="C16" s="3279"/>
      <c r="D16" s="3280"/>
      <c r="E16" s="2221" t="s">
        <v>2192</v>
      </c>
      <c r="F16" s="3281"/>
      <c r="G16" s="3282"/>
      <c r="H16" s="3282"/>
      <c r="I16" s="3283"/>
      <c r="J16" s="2244"/>
      <c r="K16" s="2402"/>
      <c r="L16" s="1669"/>
      <c r="M16" s="1669"/>
      <c r="N16" s="2244"/>
      <c r="O16" s="1669"/>
      <c r="P16" s="2244"/>
      <c r="Q16" s="2244"/>
      <c r="R16" s="2244"/>
    </row>
    <row r="17" spans="1:28">
      <c r="A17" s="304" t="s">
        <v>2193</v>
      </c>
      <c r="B17" s="293" t="s">
        <v>2194</v>
      </c>
      <c r="C17" s="8">
        <f>'数据-汇总表'!E3</f>
        <v>98928.560000000012</v>
      </c>
      <c r="D17" s="1255" t="s">
        <v>2195</v>
      </c>
      <c r="E17" s="3284" t="s">
        <v>2196</v>
      </c>
      <c r="F17" s="3285"/>
      <c r="G17" s="3285"/>
      <c r="H17" s="3285"/>
      <c r="I17" s="3286"/>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87" t="s">
        <v>2200</v>
      </c>
      <c r="F18" s="3288"/>
      <c r="G18" s="3288"/>
      <c r="H18" s="3288"/>
      <c r="I18" s="3289"/>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74" t="s">
        <v>2204</v>
      </c>
      <c r="C20" s="3275"/>
      <c r="D20" s="3276" t="s">
        <v>2205</v>
      </c>
      <c r="E20" s="3277"/>
      <c r="F20" s="2429" t="s">
        <v>1056</v>
      </c>
      <c r="G20" s="2441"/>
      <c r="H20" s="2441"/>
      <c r="I20" s="2441"/>
      <c r="J20" s="2244"/>
      <c r="K20" s="3273"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7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7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62"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62"/>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62"/>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63"/>
      <c r="B30" s="293" t="s">
        <v>2216</v>
      </c>
      <c r="C30" s="3264"/>
      <c r="D30" s="3265"/>
      <c r="E30" s="2441"/>
      <c r="F30" s="2441"/>
      <c r="G30" s="2441"/>
      <c r="H30" s="2441"/>
      <c r="I30" s="2441"/>
      <c r="J30" s="2244"/>
      <c r="K30" s="2401"/>
      <c r="L30" s="2398"/>
      <c r="M30" s="2398"/>
      <c r="N30" s="2244"/>
      <c r="O30" s="1669"/>
      <c r="P30" s="2244"/>
      <c r="Q30" s="2244"/>
      <c r="R30" s="2244"/>
      <c r="S30" s="2244"/>
      <c r="T30" s="2244"/>
      <c r="U30" s="2244"/>
      <c r="V30" s="2244"/>
    </row>
    <row r="31" spans="1:28">
      <c r="A31" s="3266"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67"/>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6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61" t="s">
        <v>2226</v>
      </c>
      <c r="T34" s="314" t="str">
        <f>NUMBERSTRING(7-K34,1)&amp;"通"</f>
        <v>七通</v>
      </c>
      <c r="U34" s="2244"/>
      <c r="V34" s="2244"/>
    </row>
    <row r="35" spans="1:30">
      <c r="A35" s="2235"/>
      <c r="B35" s="3261" t="s">
        <v>2227</v>
      </c>
      <c r="C35" s="3261"/>
      <c r="D35" s="3261"/>
      <c r="E35" s="3261"/>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1"/>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4"/>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0</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0</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0</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0</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49"/>
  <sheetViews>
    <sheetView workbookViewId="0">
      <selection activeCell="A20" sqref="A20"/>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193" t="s">
        <v>3734</v>
      </c>
      <c r="C23" s="3150">
        <f>(B6+B7)/B21</f>
        <v>0.27118781472205805</v>
      </c>
    </row>
    <row r="41" spans="2:2">
      <c r="B41" s="1404" t="s">
        <v>3600</v>
      </c>
    </row>
    <row r="49" spans="1:1">
      <c r="A49" s="1404"/>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99" t="s">
        <v>1131</v>
      </c>
      <c r="B2" s="3299"/>
      <c r="C2" s="3299"/>
      <c r="D2" s="747" t="s">
        <v>1107</v>
      </c>
      <c r="E2" s="1522" t="s">
        <v>1108</v>
      </c>
      <c r="F2" s="2438"/>
      <c r="G2" s="2431"/>
      <c r="H2" s="2432"/>
      <c r="I2" s="2145" t="s">
        <v>1132</v>
      </c>
      <c r="J2" s="2438"/>
      <c r="K2" s="2438"/>
      <c r="L2" s="2438"/>
      <c r="M2" s="2438"/>
      <c r="N2" s="2439"/>
      <c r="O2" s="2438"/>
      <c r="P2" s="2438"/>
    </row>
    <row r="3" spans="1:16" ht="15.75" thickBot="1">
      <c r="A3" s="3300" t="s">
        <v>1105</v>
      </c>
      <c r="B3" s="3300"/>
      <c r="C3" s="3300"/>
      <c r="D3" s="40">
        <f>'数据-基础表'!AY6</f>
        <v>0</v>
      </c>
      <c r="E3" s="40">
        <f>'数据-基础表'!AZ5</f>
        <v>98928.560000000012</v>
      </c>
      <c r="F3" s="2438"/>
      <c r="G3" s="41"/>
      <c r="H3" s="42" t="s">
        <v>1106</v>
      </c>
      <c r="I3" s="801" t="e">
        <f>ROUND('数据-基础表'!B3/'数据-基础表'!A3,2)</f>
        <v>#DIV/0!</v>
      </c>
      <c r="J3" s="2438"/>
      <c r="K3" s="2438"/>
      <c r="L3" s="2438"/>
      <c r="M3" s="2438"/>
      <c r="N3" s="2439"/>
      <c r="O3" s="2438"/>
      <c r="P3" s="2438"/>
    </row>
    <row r="4" spans="1:16" ht="15">
      <c r="A4" s="3301"/>
      <c r="B4" s="3302"/>
      <c r="C4" s="3303"/>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304" t="s">
        <v>1110</v>
      </c>
      <c r="C5" s="3304"/>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5" thickBot="1">
      <c r="A6" s="1526"/>
      <c r="B6" s="3304" t="s">
        <v>1111</v>
      </c>
      <c r="C6" s="3304"/>
      <c r="D6" s="42">
        <f>ROUND($D$3*E6/$E$3,2)</f>
        <v>0</v>
      </c>
      <c r="E6" s="43">
        <f>E3-E5</f>
        <v>98928.560000000012</v>
      </c>
      <c r="F6" s="2438"/>
      <c r="G6" s="1528" t="s">
        <v>1112</v>
      </c>
      <c r="H6" s="44" t="s">
        <v>1113</v>
      </c>
      <c r="I6" s="2434" t="e">
        <f>ROUND(F31/D31,2)</f>
        <v>#DIV/0!</v>
      </c>
      <c r="J6" s="2438"/>
      <c r="K6" s="2438"/>
      <c r="L6" s="2438"/>
      <c r="M6" s="2438"/>
      <c r="N6" s="2438"/>
      <c r="O6" s="2438"/>
      <c r="P6" s="2438"/>
    </row>
    <row r="7" spans="1:16" ht="15.75" thickBot="1">
      <c r="A7" s="3296"/>
      <c r="B7" s="3297"/>
      <c r="C7" s="3298"/>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0</v>
      </c>
      <c r="E16" s="47">
        <f>SUM(E8:E15)</f>
        <v>98928.560000000012</v>
      </c>
      <c r="F16" s="2438"/>
      <c r="G16" s="2438"/>
      <c r="H16" s="1530" t="s">
        <v>1135</v>
      </c>
      <c r="I16" s="1531"/>
      <c r="J16" s="1070"/>
      <c r="K16" s="3293" t="s">
        <v>1135</v>
      </c>
      <c r="L16" s="3294"/>
      <c r="M16" s="3294"/>
      <c r="N16" s="3294"/>
      <c r="O16" s="3294"/>
      <c r="P16" s="3295"/>
    </row>
    <row r="17" spans="1:19" ht="15">
      <c r="A17" s="1532" t="s">
        <v>1136</v>
      </c>
      <c r="B17" s="1533" t="s">
        <v>1137</v>
      </c>
      <c r="C17" s="1534" t="s">
        <v>1138</v>
      </c>
      <c r="D17" s="1535" t="s">
        <v>1126</v>
      </c>
      <c r="E17" s="1536" t="s">
        <v>1127</v>
      </c>
      <c r="F17" s="1537"/>
      <c r="G17" s="1538"/>
      <c r="H17" s="1539" t="s">
        <v>1139</v>
      </c>
      <c r="I17" s="1540" t="s">
        <v>1124</v>
      </c>
      <c r="J17" s="1070"/>
      <c r="K17" s="3290" t="s">
        <v>1140</v>
      </c>
      <c r="L17" s="3291"/>
      <c r="M17" s="3292"/>
      <c r="N17" s="3290" t="s">
        <v>1141</v>
      </c>
      <c r="O17" s="3291"/>
      <c r="P17" s="3292"/>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0</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26828.22</v>
      </c>
    </row>
    <row r="20" spans="1:19">
      <c r="A20" s="1548"/>
      <c r="B20" s="44" t="s">
        <v>1153</v>
      </c>
      <c r="C20" s="3114" t="str">
        <f>'数据-基础表'!C14</f>
        <v>办公</v>
      </c>
      <c r="D20" s="42">
        <f t="shared" ref="D20:D26" si="6">ROUND($D$3*E20/$E$3,2)</f>
        <v>0</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0</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0</v>
      </c>
      <c r="S6" s="48">
        <f>IF('数据-汇总表'!$I$17="按面积比例",SUMIF('数据-汇总表'!C$19:C$33,A6,'数据-汇总表'!K$19:K$33),SUMIF('数据-汇总表'!C$19:C$33,A6,'数据-汇总表'!N$19:N$33))</f>
        <v>0</v>
      </c>
      <c r="T6" s="1091">
        <f>ROUND($L$14*S6/10000,0)</f>
        <v>0</v>
      </c>
      <c r="U6" s="3125">
        <v>6.9</v>
      </c>
      <c r="V6" s="66">
        <v>0.02</v>
      </c>
      <c r="W6" s="66">
        <v>0.1</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2E-3</v>
      </c>
      <c r="AM6" s="76">
        <v>0.02</v>
      </c>
      <c r="AN6" s="1588" t="s">
        <v>3610</v>
      </c>
      <c r="AO6" s="49">
        <f ca="1">SUMIF(INDIRECT("'"&amp;AN6&amp;"'"&amp;"!A:A"),"总价",INDIRECT("'"&amp;AN6&amp;"'"&amp;"!B:B"))</f>
        <v>68495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2E-3</v>
      </c>
      <c r="AM7" s="76">
        <v>0.02</v>
      </c>
      <c r="AN7" s="1588" t="s">
        <v>3611</v>
      </c>
      <c r="AO7" s="49">
        <f t="shared" ref="AO7:AO13" ca="1" si="8">SUMIF(INDIRECT("'"&amp;AN7&amp;"'"&amp;"!A:A"),"总价",INDIRECT("'"&amp;AN7&amp;"'"&amp;"!B:B"))</f>
        <v>263746</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05" t="s">
        <v>2275</v>
      </c>
      <c r="B1" s="3306"/>
      <c r="C1" s="3306"/>
      <c r="D1" s="3306"/>
      <c r="E1" s="3306"/>
      <c r="F1" s="3306"/>
      <c r="G1" s="330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457058</v>
      </c>
      <c r="C5" s="2299">
        <f ca="1">IF(B5=D14,结果表!H102,ROUND(B5*10000/$B$1,0))</f>
        <v>46201</v>
      </c>
      <c r="D5" s="2299" t="e">
        <f ca="1">ROUND(B5*10000/$B$2,0)</f>
        <v>#DIV/0!</v>
      </c>
      <c r="E5" s="2461"/>
      <c r="F5" s="2462"/>
      <c r="G5" s="2462"/>
      <c r="H5" s="2462"/>
      <c r="I5" s="2462"/>
      <c r="J5" s="2462"/>
      <c r="K5" s="2462"/>
    </row>
    <row r="6" spans="1:11" ht="16.5">
      <c r="A6" s="2299" t="s">
        <v>656</v>
      </c>
      <c r="B6" s="2299">
        <f ca="1">SUM(G14:G23)</f>
        <v>457058</v>
      </c>
      <c r="C6" s="2299">
        <f ca="1">IF(B6=G14,结果表!H108,ROUND(B6*10000/$B$1,0))</f>
        <v>46201</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410688</v>
      </c>
      <c r="C8" s="2299">
        <f ca="1">IF(B8=I14,结果表!H112,ROUND(B8*10000/$B$1,0))</f>
        <v>27637</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0</v>
      </c>
      <c r="D14" s="2305">
        <f ca="1">结果表!H101</f>
        <v>457058</v>
      </c>
      <c r="E14" s="2305">
        <f ca="1">ROUND(D14*10000/B14,0)</f>
        <v>46201</v>
      </c>
      <c r="F14" s="2305" t="e">
        <f ca="1">ROUND(D14*10000/C14,0)</f>
        <v>#DIV/0!</v>
      </c>
      <c r="G14" s="2305">
        <f ca="1">结果表!H107</f>
        <v>457058</v>
      </c>
      <c r="H14" s="2305"/>
      <c r="I14" s="2305">
        <f ca="1">结果表!P59</f>
        <v>410688</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Normal="100" zoomScaleSheetLayoutView="100" zoomScalePageLayoutView="80" workbookViewId="0">
      <selection activeCell="P59" sqref="P59"/>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3" t="s">
        <v>1265</v>
      </c>
      <c r="B4" s="1624" t="s">
        <v>1266</v>
      </c>
      <c r="C4" s="1625" t="s">
        <v>3722</v>
      </c>
      <c r="D4" s="1625" t="s">
        <v>3613</v>
      </c>
      <c r="E4" s="3347" t="s">
        <v>1267</v>
      </c>
      <c r="F4" s="3348"/>
      <c r="G4" s="3348"/>
      <c r="H4" s="3348"/>
      <c r="I4" s="334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21" t="s">
        <v>1268</v>
      </c>
      <c r="B5" s="3308">
        <v>25</v>
      </c>
      <c r="C5" s="3324"/>
      <c r="D5" s="3344"/>
      <c r="E5" s="122" t="s">
        <v>1269</v>
      </c>
      <c r="F5" s="1626"/>
      <c r="G5" s="1626"/>
      <c r="H5" s="1626"/>
      <c r="I5" s="1280"/>
    </row>
    <row r="6" spans="1:12" ht="12.75">
      <c r="A6" s="3321"/>
      <c r="B6" s="3308"/>
      <c r="C6" s="3325"/>
      <c r="D6" s="3344"/>
      <c r="E6" s="122" t="s">
        <v>1270</v>
      </c>
      <c r="F6" s="1626"/>
      <c r="G6" s="1626"/>
      <c r="H6" s="1626"/>
      <c r="I6" s="1280"/>
    </row>
    <row r="7" spans="1:12" ht="12.75">
      <c r="A7" s="3321"/>
      <c r="B7" s="3308"/>
      <c r="C7" s="3326"/>
      <c r="D7" s="3344"/>
      <c r="E7" s="122" t="s">
        <v>1271</v>
      </c>
      <c r="F7" s="1626"/>
      <c r="G7" s="1626"/>
      <c r="H7" s="1626"/>
      <c r="I7" s="1280"/>
    </row>
    <row r="8" spans="1:12" ht="12.75">
      <c r="A8" s="3321" t="s">
        <v>1272</v>
      </c>
      <c r="B8" s="3308">
        <v>15</v>
      </c>
      <c r="C8" s="3324"/>
      <c r="D8" s="3344"/>
      <c r="E8" s="122" t="s">
        <v>1273</v>
      </c>
      <c r="F8" s="1626"/>
      <c r="G8" s="1626"/>
      <c r="H8" s="1626"/>
      <c r="I8" s="1280"/>
    </row>
    <row r="9" spans="1:12" ht="12.75">
      <c r="A9" s="3321"/>
      <c r="B9" s="3308"/>
      <c r="C9" s="3326"/>
      <c r="D9" s="3344"/>
      <c r="E9" s="122" t="s">
        <v>1274</v>
      </c>
      <c r="F9" s="1626"/>
      <c r="G9" s="1626"/>
      <c r="H9" s="1626"/>
      <c r="I9" s="1280"/>
    </row>
    <row r="10" spans="1:12" ht="12.75">
      <c r="A10" s="3321" t="s">
        <v>1275</v>
      </c>
      <c r="B10" s="3308">
        <v>15</v>
      </c>
      <c r="C10" s="3324"/>
      <c r="D10" s="3344"/>
      <c r="E10" s="122" t="s">
        <v>1276</v>
      </c>
      <c r="F10" s="1626"/>
      <c r="G10" s="1626"/>
      <c r="H10" s="1626"/>
      <c r="I10" s="1280"/>
    </row>
    <row r="11" spans="1:12" ht="12.75">
      <c r="A11" s="3321"/>
      <c r="B11" s="3308"/>
      <c r="C11" s="3326"/>
      <c r="D11" s="3344"/>
      <c r="E11" s="122" t="s">
        <v>1277</v>
      </c>
      <c r="F11" s="1626"/>
      <c r="G11" s="1626"/>
      <c r="H11" s="1626"/>
      <c r="I11" s="1280"/>
    </row>
    <row r="12" spans="1:12" ht="12.75">
      <c r="A12" s="3321" t="s">
        <v>1278</v>
      </c>
      <c r="B12" s="3308">
        <v>15</v>
      </c>
      <c r="C12" s="3324"/>
      <c r="D12" s="3344"/>
      <c r="E12" s="122" t="s">
        <v>1279</v>
      </c>
      <c r="F12" s="1626"/>
      <c r="G12" s="1626"/>
      <c r="H12" s="1626"/>
      <c r="I12" s="1280"/>
    </row>
    <row r="13" spans="1:12" ht="12.75">
      <c r="A13" s="3321"/>
      <c r="B13" s="3308"/>
      <c r="C13" s="3326"/>
      <c r="D13" s="3344"/>
      <c r="E13" s="122" t="s">
        <v>1280</v>
      </c>
      <c r="F13" s="1626"/>
      <c r="G13" s="1626"/>
      <c r="H13" s="1626"/>
      <c r="I13" s="1280"/>
    </row>
    <row r="14" spans="1:12" ht="12.75">
      <c r="A14" s="3321" t="s">
        <v>1281</v>
      </c>
      <c r="B14" s="3308">
        <v>30</v>
      </c>
      <c r="C14" s="3324">
        <v>6</v>
      </c>
      <c r="D14" s="3344">
        <v>4</v>
      </c>
      <c r="E14" s="122" t="s">
        <v>1282</v>
      </c>
      <c r="F14" s="1626"/>
      <c r="G14" s="1626"/>
      <c r="H14" s="1626"/>
      <c r="I14" s="1280"/>
    </row>
    <row r="15" spans="1:12" ht="12.75">
      <c r="A15" s="3321"/>
      <c r="B15" s="3308"/>
      <c r="C15" s="3325"/>
      <c r="D15" s="3344"/>
      <c r="E15" s="122" t="s">
        <v>1283</v>
      </c>
      <c r="F15" s="1626"/>
      <c r="G15" s="1626"/>
      <c r="H15" s="1626"/>
      <c r="I15" s="1280"/>
    </row>
    <row r="16" spans="1:12" ht="12.75">
      <c r="A16" s="3321"/>
      <c r="B16" s="3308"/>
      <c r="C16" s="3326"/>
      <c r="D16" s="3344"/>
      <c r="E16" s="122" t="s">
        <v>1284</v>
      </c>
      <c r="F16" s="1626"/>
      <c r="G16" s="1626"/>
      <c r="H16" s="1626"/>
      <c r="I16" s="1280"/>
    </row>
    <row r="17" spans="1:36" ht="15">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31" t="s">
        <v>2129</v>
      </c>
      <c r="F18" s="3332"/>
      <c r="G18" s="3332"/>
      <c r="H18" s="3332"/>
      <c r="I18" s="3332"/>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540269</v>
      </c>
      <c r="D19" s="126">
        <f ca="1">SUMIF(INDIRECT("'"&amp;D4&amp;"'"&amp;"!A:A"),结果表!B19,INDIRECT("'"&amp;D4&amp;"'"&amp;"!B:B"))</f>
        <v>332241</v>
      </c>
      <c r="E19" s="1629" t="s">
        <v>1292</v>
      </c>
      <c r="F19" s="1630" t="s">
        <v>1291</v>
      </c>
      <c r="G19" s="127">
        <f ca="1">ROUND(C19*$C$18+D19*$D$18,0)</f>
        <v>457058</v>
      </c>
      <c r="H19" s="1631" t="s">
        <v>1293</v>
      </c>
      <c r="I19" s="120"/>
      <c r="J19" s="3210" t="s">
        <v>3811</v>
      </c>
      <c r="K19" s="293" t="s">
        <v>1294</v>
      </c>
      <c r="L19" s="293">
        <f>IF(C1="",'数据-汇总表'!D3,SUMIF(项目类型,C1,'数据-汇总表'!D17:D26)+SUMIF(项目类型,C1,'数据-汇总表'!H17:H27))</f>
        <v>0</v>
      </c>
      <c r="M19" s="293">
        <f>IF(C1="",'数据-汇总表'!D3,SUMIF(项目类型,C1,'数据-汇总表'!D17:D26))</f>
        <v>0</v>
      </c>
    </row>
    <row r="20" spans="1:36" ht="15">
      <c r="A20" s="1632"/>
      <c r="B20" s="42" t="s">
        <v>1295</v>
      </c>
      <c r="C20" s="128">
        <f ca="1">SUMIF(INDIRECT("'"&amp;C4&amp;"'"&amp;"!A:A"),结果表!B20,INDIRECT("'"&amp;C4&amp;"'"&amp;"!B:B"))</f>
        <v>54612</v>
      </c>
      <c r="D20" s="129">
        <f ca="1">SUMIF(INDIRECT("'"&amp;D4&amp;"'"&amp;"!A:A"),结果表!B20,INDIRECT("'"&amp;D4&amp;"'"&amp;"!B:B"))</f>
        <v>33584</v>
      </c>
      <c r="E20" s="1632"/>
      <c r="F20" s="42" t="s">
        <v>1295</v>
      </c>
      <c r="G20" s="130">
        <f ca="1">ROUND(C20*$C$18+D20*$D$18,0)</f>
        <v>46201</v>
      </c>
      <c r="H20" s="759" t="s">
        <v>1296</v>
      </c>
      <c r="I20" s="120"/>
      <c r="J20" s="2329">
        <f ca="1">P59</f>
        <v>410688</v>
      </c>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0.62613584717117998</v>
      </c>
      <c r="E22" s="120"/>
      <c r="F22" s="120"/>
      <c r="G22" s="120"/>
      <c r="H22" s="120"/>
      <c r="I22" s="120"/>
    </row>
    <row r="23" spans="1:36" ht="13.5" thickBot="1">
      <c r="A23" s="645"/>
      <c r="B23" s="645"/>
      <c r="C23" s="645"/>
      <c r="D23" s="645"/>
      <c r="E23" s="120"/>
      <c r="F23" s="120"/>
      <c r="G23" s="120"/>
      <c r="H23" s="120"/>
      <c r="I23" s="120"/>
    </row>
    <row r="24" spans="1:36" ht="14.25">
      <c r="A24" s="3315" t="s">
        <v>1299</v>
      </c>
      <c r="B24" s="1630" t="s">
        <v>1291</v>
      </c>
      <c r="C24" s="127">
        <f>IF(B30=0,0,D30)</f>
        <v>0</v>
      </c>
      <c r="D24" s="1636"/>
      <c r="E24" s="120"/>
      <c r="F24" s="120"/>
      <c r="G24" s="120"/>
      <c r="H24" s="120"/>
      <c r="I24" s="120"/>
    </row>
    <row r="25" spans="1:36" ht="14.25">
      <c r="A25" s="3316"/>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457058</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t="e">
        <f ca="1">IF(C33="自定义",F34,C32-C35)</f>
        <v>#DIV/0!</v>
      </c>
      <c r="D34" s="807" t="e">
        <f ca="1">IF(C33="自定义",ROUND(C34/C32,3),IF(C33="收益比率",SUMIF(INDIRECT("'"&amp;D33&amp;"'"&amp;"!b:b"),"土地收益比率",INDIRECT("'"&amp;D33&amp;"'"&amp;"!c:c")),SUMIF(INDIRECT("'"&amp;D33&amp;"'"&amp;"!b:b"),"土地成本比率",INDIRECT("'"&amp;D33&amp;"'"&amp;"!c:c"))))</f>
        <v>#DIV/0!</v>
      </c>
      <c r="E34" s="1647" t="s">
        <v>1309</v>
      </c>
      <c r="F34" s="1242"/>
      <c r="G34" s="120"/>
      <c r="H34" s="120"/>
      <c r="I34" s="120"/>
    </row>
    <row r="35" spans="1:16" ht="15.75" thickBot="1">
      <c r="A35" s="1648"/>
      <c r="B35" s="1649" t="s">
        <v>1310</v>
      </c>
      <c r="C35" s="1089" t="e">
        <f ca="1">IF(C33="自定义",F35,ROUND(C32*D35,0))</f>
        <v>#DIV/0!</v>
      </c>
      <c r="D35" s="1090" t="e">
        <f ca="1">IF(C33="自定义",ROUND(C35/C32,3),IF(C33="收益比率",SUMIF(INDIRECT("'"&amp;D33&amp;"'"&amp;"!b:b"),"建筑物收益比率",INDIRECT("'"&amp;D33&amp;"'"&amp;"!c:c")),SUMIF(INDIRECT("'"&amp;D33&amp;"'"&amp;"!b:b"),"建筑物成本比率",INDIRECT("'"&amp;D33&amp;"'"&amp;"!c:c"))))</f>
        <v>#DIV/0!</v>
      </c>
      <c r="E35" s="1650" t="s">
        <v>1311</v>
      </c>
      <c r="F35" s="145"/>
      <c r="G35" s="120"/>
      <c r="H35" s="120"/>
      <c r="I35" s="120"/>
    </row>
    <row r="36" spans="1:16" ht="15.75" thickBot="1">
      <c r="A36" s="3335" t="s">
        <v>1312</v>
      </c>
      <c r="B36" s="1651" t="s">
        <v>1313</v>
      </c>
      <c r="C36" s="136"/>
      <c r="D36" s="1652"/>
      <c r="E36" s="1566"/>
      <c r="F36" s="1653"/>
      <c r="G36" s="120"/>
      <c r="H36" s="120"/>
      <c r="I36" s="120"/>
    </row>
    <row r="37" spans="1:16" ht="15.75" thickBot="1">
      <c r="A37" s="3336"/>
      <c r="B37" s="1554" t="s">
        <v>1314</v>
      </c>
      <c r="C37" s="138"/>
      <c r="D37" s="1070"/>
      <c r="E37" s="1070"/>
      <c r="F37" s="1653"/>
      <c r="G37" s="120"/>
      <c r="H37" s="120"/>
      <c r="I37" s="120"/>
    </row>
    <row r="38" spans="1:16" ht="15.75" thickBot="1">
      <c r="A38" s="3337"/>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312" t="s">
        <v>1326</v>
      </c>
      <c r="B45" s="3313"/>
      <c r="C45" s="3314"/>
      <c r="D45" s="146">
        <f ca="1">ROUND(H101*F45,0)</f>
        <v>457058</v>
      </c>
      <c r="E45" s="147" t="s">
        <v>1327</v>
      </c>
      <c r="F45" s="148">
        <v>1</v>
      </c>
      <c r="G45" s="149" t="s">
        <v>1328</v>
      </c>
      <c r="H45" s="120"/>
      <c r="I45" s="120"/>
      <c r="J45" s="3390" t="s">
        <v>1329</v>
      </c>
      <c r="K45" s="3390"/>
      <c r="L45" s="3390"/>
      <c r="M45" s="3390"/>
      <c r="N45" s="3390"/>
      <c r="O45" s="3390"/>
    </row>
    <row r="46" spans="1:16" ht="14.25" customHeight="1">
      <c r="A46" s="3309" t="s">
        <v>1330</v>
      </c>
      <c r="B46" s="3310"/>
      <c r="C46" s="3310"/>
      <c r="D46" s="3310"/>
      <c r="E46" s="3310"/>
      <c r="F46" s="3310"/>
      <c r="G46" s="3311"/>
      <c r="H46" s="1667"/>
      <c r="I46" s="150"/>
      <c r="J46" s="2309">
        <v>1</v>
      </c>
      <c r="K46" s="3371" t="s">
        <v>1331</v>
      </c>
      <c r="L46" s="3371"/>
      <c r="M46" s="3391"/>
      <c r="N46" s="3391"/>
      <c r="O46" s="3391"/>
    </row>
    <row r="47" spans="1:16" ht="12" customHeight="1">
      <c r="A47" s="151" t="s">
        <v>1332</v>
      </c>
      <c r="B47" s="152"/>
      <c r="C47" s="153"/>
      <c r="D47" s="1023" t="s">
        <v>1333</v>
      </c>
      <c r="E47" s="293" t="s">
        <v>1334</v>
      </c>
      <c r="F47" s="154" t="s">
        <v>1335</v>
      </c>
      <c r="G47" s="2332" t="s">
        <v>1336</v>
      </c>
      <c r="H47" s="2333"/>
      <c r="I47" s="150"/>
      <c r="J47" s="2309">
        <v>2</v>
      </c>
      <c r="K47" s="3371" t="s">
        <v>1337</v>
      </c>
      <c r="L47" s="3371"/>
      <c r="M47" s="3392">
        <f>'数据-取费表'!B2</f>
        <v>45600</v>
      </c>
      <c r="N47" s="3392"/>
      <c r="O47" s="3392"/>
      <c r="P47" s="3183" t="s">
        <v>3739</v>
      </c>
    </row>
    <row r="48" spans="1:16" ht="25.5">
      <c r="A48" s="3340" t="s">
        <v>1338</v>
      </c>
      <c r="B48" s="3323"/>
      <c r="C48" s="3323"/>
      <c r="D48" s="11">
        <f ca="1">IF(H48="情况1",0,IF(H48="情况2",D52,IF(H48="情况3",D53,IF(H48="情况4",D54))))</f>
        <v>24376</v>
      </c>
      <c r="E48" s="1255" t="str">
        <f>IF(H48="情况4","(销售额-原购置价)×税（费）率","销售额×税（费）率")</f>
        <v>销售额×税（费）率</v>
      </c>
      <c r="F48" s="2334">
        <f>IF(H48="情况1","免征",'数据-取费表'!B41)</f>
        <v>5.6000000000000001E-2</v>
      </c>
      <c r="G48" s="2335" t="s">
        <v>1339</v>
      </c>
      <c r="H48" s="2336" t="s">
        <v>3679</v>
      </c>
      <c r="I48" s="1667"/>
      <c r="J48" s="2309">
        <v>3</v>
      </c>
      <c r="K48" s="3371" t="s">
        <v>1340</v>
      </c>
      <c r="L48" s="3371"/>
      <c r="M48" s="3393">
        <f ca="1">H101</f>
        <v>457058</v>
      </c>
      <c r="N48" s="3393"/>
      <c r="O48" s="3393"/>
      <c r="P48" s="3189">
        <f ca="1">M48</f>
        <v>457058</v>
      </c>
    </row>
    <row r="49" spans="1:35" ht="25.5" customHeight="1">
      <c r="A49" s="2151" t="s">
        <v>1341</v>
      </c>
      <c r="B49" s="3307" t="s">
        <v>1342</v>
      </c>
      <c r="C49" s="3307"/>
      <c r="D49" s="1477">
        <v>0</v>
      </c>
      <c r="E49" s="315" t="s">
        <v>1343</v>
      </c>
      <c r="F49" s="2232" t="s">
        <v>28</v>
      </c>
      <c r="G49" s="3377"/>
      <c r="H49" s="2133" t="s">
        <v>2132</v>
      </c>
      <c r="I49" s="2134"/>
      <c r="J49" s="2309">
        <v>4</v>
      </c>
      <c r="K49" s="3371" t="str">
        <f>IF(项目基本情况!E8="房地产抵押价值","房地产抵押价值","抵押担保权已注销时的房地产抵押价值")</f>
        <v>房地产抵押价值</v>
      </c>
      <c r="L49" s="3371"/>
      <c r="M49" s="3393">
        <f ca="1">IF(项目基本情况!E8="房地产抵押价值",H107,H109)</f>
        <v>457058</v>
      </c>
      <c r="N49" s="3393"/>
      <c r="O49" s="3393"/>
      <c r="P49" s="3189"/>
    </row>
    <row r="50" spans="1:35" ht="25.5" customHeight="1">
      <c r="A50" s="2337"/>
      <c r="B50" s="3307" t="s">
        <v>1344</v>
      </c>
      <c r="C50" s="3307"/>
      <c r="D50" s="2188"/>
      <c r="E50" s="322"/>
      <c r="F50" s="2232"/>
      <c r="G50" s="3378"/>
      <c r="H50" s="2135" t="s">
        <v>2133</v>
      </c>
      <c r="I50" s="2134"/>
      <c r="J50" s="3390" t="s">
        <v>1345</v>
      </c>
      <c r="K50" s="3390"/>
      <c r="L50" s="3390"/>
      <c r="M50" s="3390"/>
      <c r="N50" s="3390"/>
      <c r="O50" s="3390"/>
      <c r="P50" s="3189"/>
    </row>
    <row r="51" spans="1:35" ht="20.45" customHeight="1">
      <c r="A51" s="2338"/>
      <c r="B51" s="3307" t="s">
        <v>1346</v>
      </c>
      <c r="C51" s="3307"/>
      <c r="D51" s="1023"/>
      <c r="E51" s="318"/>
      <c r="F51" s="2232"/>
      <c r="G51" s="3379"/>
      <c r="H51" s="2135" t="s">
        <v>2134</v>
      </c>
      <c r="I51" s="2134"/>
      <c r="J51" s="2310" t="s">
        <v>1347</v>
      </c>
      <c r="K51" s="3371" t="s">
        <v>1348</v>
      </c>
      <c r="L51" s="3371"/>
      <c r="M51" s="2310" t="s">
        <v>1349</v>
      </c>
      <c r="N51" s="2310" t="s">
        <v>1350</v>
      </c>
      <c r="O51" s="2310" t="s">
        <v>1351</v>
      </c>
      <c r="P51" s="3189"/>
    </row>
    <row r="52" spans="1:35" ht="24" customHeight="1">
      <c r="A52" s="2152" t="s">
        <v>1352</v>
      </c>
      <c r="B52" s="3307" t="s">
        <v>1353</v>
      </c>
      <c r="C52" s="3307"/>
      <c r="D52" s="1023">
        <f ca="1">ROUND(D45*'数据-取费表'!B41/(1+'数据-取费表'!C42),0)</f>
        <v>24376</v>
      </c>
      <c r="E52" s="1255" t="s">
        <v>1354</v>
      </c>
      <c r="F52" s="2339">
        <f>'数据-取费表'!B41</f>
        <v>5.6000000000000001E-2</v>
      </c>
      <c r="G52" s="2340"/>
      <c r="H52" s="2330"/>
      <c r="I52" s="1668"/>
      <c r="J52" s="2309">
        <v>1</v>
      </c>
      <c r="K52" s="3372" t="s">
        <v>1355</v>
      </c>
      <c r="L52" s="3372"/>
      <c r="M52" s="2311">
        <f ca="1">D48</f>
        <v>24376</v>
      </c>
      <c r="N52" s="2309" t="str">
        <f>E48</f>
        <v>销售额×税（费）率</v>
      </c>
      <c r="O52" s="2312">
        <f>F48</f>
        <v>5.6000000000000001E-2</v>
      </c>
      <c r="P52" s="3189">
        <f ca="1">ROUND(P48*'数据-取费表'!B41/(1+'数据-取费表'!C42),0)</f>
        <v>24376</v>
      </c>
    </row>
    <row r="53" spans="1:35" ht="12" customHeight="1">
      <c r="A53" s="2152" t="s">
        <v>1356</v>
      </c>
      <c r="B53" s="3333" t="s">
        <v>2280</v>
      </c>
      <c r="C53" s="3334"/>
      <c r="D53" s="1023">
        <f ca="1">ROUND(D45*'数据-取费表'!B41/(1+'数据-取费表'!C42),0)</f>
        <v>24376</v>
      </c>
      <c r="E53" s="1255" t="s">
        <v>1354</v>
      </c>
      <c r="F53" s="2339">
        <f>'数据-取费表'!B41</f>
        <v>5.6000000000000001E-2</v>
      </c>
      <c r="G53" s="2340"/>
      <c r="H53" s="2330"/>
      <c r="I53" s="1668"/>
      <c r="J53" s="2309">
        <v>2</v>
      </c>
      <c r="K53" s="3372" t="s">
        <v>1357</v>
      </c>
      <c r="L53" s="3372"/>
      <c r="M53" s="2311">
        <f t="shared" ref="M53:O54" ca="1" si="0">D55</f>
        <v>229</v>
      </c>
      <c r="N53" s="2309" t="str">
        <f t="shared" si="0"/>
        <v>销售额×税（费）率</v>
      </c>
      <c r="O53" s="2312">
        <f t="shared" si="0"/>
        <v>5.0000000000000001E-4</v>
      </c>
      <c r="P53" s="3189">
        <f ca="1">ROUND(P48*O53,0)</f>
        <v>229</v>
      </c>
    </row>
    <row r="54" spans="1:35" ht="12" customHeight="1">
      <c r="A54" s="2152" t="s">
        <v>1358</v>
      </c>
      <c r="B54" s="3333" t="s">
        <v>2281</v>
      </c>
      <c r="C54" s="3334"/>
      <c r="D54" s="1023">
        <f ca="1">C68</f>
        <v>24376</v>
      </c>
      <c r="E54" s="318" t="s">
        <v>1359</v>
      </c>
      <c r="F54" s="2339">
        <f>'数据-取费表'!B41</f>
        <v>5.6000000000000001E-2</v>
      </c>
      <c r="G54" s="2340"/>
      <c r="H54" s="2341"/>
      <c r="I54" s="1668"/>
      <c r="J54" s="2309">
        <v>3</v>
      </c>
      <c r="K54" s="3372" t="s">
        <v>1360</v>
      </c>
      <c r="L54" s="3372"/>
      <c r="M54" s="2311">
        <f t="shared" ca="1" si="0"/>
        <v>159044</v>
      </c>
      <c r="N54" s="2309" t="str">
        <f t="shared" si="0"/>
        <v>增值额×税（费）率</v>
      </c>
      <c r="O54" s="2313" t="str">
        <f t="shared" si="0"/>
        <v>——</v>
      </c>
      <c r="P54" s="3189">
        <f ca="1">ROUND(P48/1.05*0.05,0)</f>
        <v>21765</v>
      </c>
    </row>
    <row r="55" spans="1:35" ht="24" customHeight="1">
      <c r="A55" s="3322" t="s">
        <v>1361</v>
      </c>
      <c r="B55" s="3323"/>
      <c r="C55" s="3323"/>
      <c r="D55" s="11">
        <f ca="1">IF(H55="个人住宅",0,ROUND(D45*I55,0))</f>
        <v>229</v>
      </c>
      <c r="E55" s="1255" t="s">
        <v>1362</v>
      </c>
      <c r="F55" s="2339">
        <f>IF(H55="正常",I55,"免征")</f>
        <v>5.0000000000000001E-4</v>
      </c>
      <c r="G55" s="2340"/>
      <c r="H55" s="2336" t="s">
        <v>3621</v>
      </c>
      <c r="I55" s="156">
        <f>'数据-取费表'!B49</f>
        <v>5.0000000000000001E-4</v>
      </c>
      <c r="J55" s="2309" t="str">
        <f>IF(H59="非个人房产","",4)</f>
        <v/>
      </c>
      <c r="K55" s="3372" t="str">
        <f>IF(H59="非个人房产","——","个人所得税")</f>
        <v>——</v>
      </c>
      <c r="L55" s="3372"/>
      <c r="M55" s="2314" t="str">
        <f>D59</f>
        <v>——</v>
      </c>
      <c r="N55" s="1882" t="str">
        <f>E59</f>
        <v>——</v>
      </c>
      <c r="O55" s="2315" t="str">
        <f>F59</f>
        <v>——</v>
      </c>
      <c r="P55" s="3189"/>
    </row>
    <row r="56" spans="1:35" ht="24.75">
      <c r="A56" s="3322" t="s">
        <v>1363</v>
      </c>
      <c r="B56" s="3323"/>
      <c r="C56" s="3323"/>
      <c r="D56" s="11">
        <f ca="1">IF(H56="个人住宅",D57,D58)</f>
        <v>159044</v>
      </c>
      <c r="E56" s="1255" t="s">
        <v>1364</v>
      </c>
      <c r="F56" s="2339" t="str">
        <f>IF(H56="正常",F58,"免征")</f>
        <v>——</v>
      </c>
      <c r="G56" s="2342" t="s">
        <v>1365</v>
      </c>
      <c r="H56" s="2343" t="s">
        <v>3621</v>
      </c>
      <c r="I56" s="1669"/>
      <c r="J56" s="2309" t="str">
        <f>IF(项目基本情况!K6="上海银行",IF(J55="",4,J55+1),"")</f>
        <v/>
      </c>
      <c r="K56" s="3395" t="str">
        <f>IF(项目基本情况!K6="上海银行","其他处置费用","")</f>
        <v/>
      </c>
      <c r="L56" s="3396"/>
      <c r="M56" s="2311" t="str">
        <f>IF(项目基本情况!K6="上海银行",M69,"")</f>
        <v/>
      </c>
      <c r="N56" s="3395" t="str">
        <f>IF(项目基本情况!K6="上海银行","包含处置中涉及的律师、诉讼、拍卖、评估等费用","")</f>
        <v/>
      </c>
      <c r="O56" s="3398"/>
      <c r="P56" s="3189"/>
    </row>
    <row r="57" spans="1:35" ht="12.75">
      <c r="A57" s="2152" t="s">
        <v>1341</v>
      </c>
      <c r="B57" s="3333" t="s">
        <v>1366</v>
      </c>
      <c r="C57" s="3334"/>
      <c r="D57" s="1477">
        <v>0</v>
      </c>
      <c r="E57" s="315" t="s">
        <v>1343</v>
      </c>
      <c r="F57" s="293"/>
      <c r="G57" s="2340"/>
      <c r="H57" s="2344"/>
      <c r="I57" s="1669"/>
      <c r="J57" s="3372">
        <f>IF(AND(J55="",J56=""),4,IF(项目基本情况!K6="上海银行",结果表!J56+1,结果表!J55+1))</f>
        <v>4</v>
      </c>
      <c r="K57" s="3372" t="s">
        <v>1367</v>
      </c>
      <c r="L57" s="2316" t="s">
        <v>1368</v>
      </c>
      <c r="M57" s="2317"/>
      <c r="N57" s="2318">
        <f ca="1">SUMIF(M52:M56,"&lt;9e307")</f>
        <v>183649</v>
      </c>
      <c r="O57" s="2319"/>
      <c r="P57" s="3189">
        <f ca="1">P52+P53+P54</f>
        <v>46370</v>
      </c>
      <c r="Q57" s="3190">
        <f ca="1">P57/P48</f>
        <v>0.10145320725159608</v>
      </c>
    </row>
    <row r="58" spans="1:35" ht="24.75">
      <c r="A58" s="2152" t="s">
        <v>1352</v>
      </c>
      <c r="B58" s="3333" t="s">
        <v>1369</v>
      </c>
      <c r="C58" s="3307"/>
      <c r="D58" s="11">
        <f ca="1">IF(H58="转让取得",C81,C97)</f>
        <v>159044</v>
      </c>
      <c r="E58" s="1255" t="s">
        <v>1364</v>
      </c>
      <c r="F58" s="293" t="s">
        <v>28</v>
      </c>
      <c r="G58" s="2340"/>
      <c r="H58" s="2343" t="s">
        <v>3680</v>
      </c>
      <c r="I58" s="1669"/>
      <c r="J58" s="3372"/>
      <c r="K58" s="3372"/>
      <c r="L58" s="2316" t="s">
        <v>1370</v>
      </c>
      <c r="M58" s="2320"/>
      <c r="N58" s="2321" t="str">
        <f ca="1">NUMBERSTRING(INT(N57*10000),2)&amp;"元整"</f>
        <v>壹拾捌亿叁仟陆佰肆拾玖万元整</v>
      </c>
      <c r="O58" s="2322"/>
      <c r="P58" s="2321" t="str">
        <f ca="1">NUMBERSTRING(INT(P57*10000),2)&amp;"元整"</f>
        <v>肆亿陆仟叁佰柒拾万元整</v>
      </c>
      <c r="Q58" s="3191"/>
    </row>
    <row r="59" spans="1:35" ht="24.75" thickBot="1">
      <c r="A59" s="3375" t="s">
        <v>1371</v>
      </c>
      <c r="B59" s="3376"/>
      <c r="C59" s="3376"/>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73">
        <f>J57+1</f>
        <v>5</v>
      </c>
      <c r="K59" s="3372" t="s">
        <v>1372</v>
      </c>
      <c r="L59" s="2309" t="s">
        <v>1368</v>
      </c>
      <c r="M59" s="2323"/>
      <c r="N59" s="2324">
        <f ca="1">M49-N57</f>
        <v>273409</v>
      </c>
      <c r="O59" s="2325"/>
      <c r="P59" s="3189">
        <f ca="1">P48-P52-P53-P54</f>
        <v>410688</v>
      </c>
      <c r="Q59" s="3190">
        <f ca="1">P59/P48</f>
        <v>0.89854679274840388</v>
      </c>
    </row>
    <row r="60" spans="1:35" ht="12" customHeight="1">
      <c r="A60" s="1670"/>
      <c r="B60" s="645"/>
      <c r="C60" s="645"/>
      <c r="D60" s="645"/>
      <c r="E60" s="1465"/>
      <c r="F60" s="1669"/>
      <c r="G60" s="1669"/>
      <c r="H60" s="150"/>
      <c r="I60" s="120"/>
      <c r="J60" s="3374"/>
      <c r="K60" s="3372"/>
      <c r="L60" s="2316" t="s">
        <v>1370</v>
      </c>
      <c r="M60" s="2320"/>
      <c r="N60" s="2321" t="str">
        <f ca="1">NUMBERSTRING(INT(N59*10000),2)&amp;"元整"</f>
        <v>贰拾柒亿叁仟肆佰零玖万元整</v>
      </c>
      <c r="O60" s="2322"/>
      <c r="P60" s="3189" t="str">
        <f ca="1">NUMBERSTRING(INT(P59*10000),2)&amp;"元整"</f>
        <v>肆拾壹亿零陆佰捌拾捌万元整</v>
      </c>
    </row>
    <row r="61" spans="1:35" ht="13.5" thickBot="1">
      <c r="A61" s="3320" t="s">
        <v>1373</v>
      </c>
      <c r="B61" s="3320"/>
      <c r="C61" s="3320"/>
      <c r="D61" s="3320"/>
      <c r="E61" s="3320"/>
      <c r="F61" s="1669"/>
      <c r="G61" s="1669"/>
      <c r="H61" s="150"/>
      <c r="I61" s="120"/>
      <c r="J61" s="2309">
        <f>J59+1</f>
        <v>6</v>
      </c>
      <c r="K61" s="3372" t="s">
        <v>1374</v>
      </c>
      <c r="L61" s="3372"/>
      <c r="M61" s="2326"/>
      <c r="N61" s="2327">
        <f ca="1">ROUND(N59*10000/'数据-汇总表'!E3,0)</f>
        <v>27637</v>
      </c>
      <c r="O61" s="2328"/>
      <c r="P61" s="3189">
        <f ca="1">ROUND(P59*10000/'数据-汇总表'!E3,0)</f>
        <v>41514</v>
      </c>
    </row>
    <row r="62" spans="1:35" ht="12.75">
      <c r="A62" s="3338" t="s">
        <v>1375</v>
      </c>
      <c r="B62" s="3339"/>
      <c r="C62" s="1864"/>
      <c r="D62" s="1864" t="s">
        <v>1376</v>
      </c>
      <c r="E62" s="157" t="s">
        <v>1377</v>
      </c>
      <c r="F62" s="1669"/>
      <c r="G62" s="1669"/>
      <c r="H62" s="150"/>
      <c r="I62" s="120"/>
    </row>
    <row r="63" spans="1:35" ht="12.75">
      <c r="A63" s="164" t="s">
        <v>330</v>
      </c>
      <c r="B63" s="158" t="s">
        <v>1378</v>
      </c>
      <c r="C63" s="2349">
        <f ca="1">ROUND((C64+C65)/(1+'数据-取费表'!C42),0)</f>
        <v>435293</v>
      </c>
      <c r="D63" s="158"/>
      <c r="E63" s="159"/>
      <c r="F63" s="1669"/>
      <c r="G63" s="1669"/>
      <c r="H63" s="150"/>
      <c r="I63" s="120"/>
      <c r="J63" s="3397" t="s">
        <v>1379</v>
      </c>
      <c r="K63" s="1244" t="s">
        <v>1380</v>
      </c>
      <c r="L63" s="1244">
        <f ca="1">IF(M49&gt;10000,M49*0.5%,IF(AND(M49&gt;1000,M49&lt;=10000),M49*1%,IF(AND(M49&gt;100,M49&lt;=1000),M49*3%,IF(AND(M49&gt;10,M49&lt;=100),M49*5%,M49*8%))))</f>
        <v>2285.29</v>
      </c>
      <c r="M63" s="293">
        <f ca="1">ROUND(L63,1)</f>
        <v>2285.3000000000002</v>
      </c>
      <c r="N63" s="2329"/>
      <c r="Z63" s="1622"/>
      <c r="AI63" s="1560"/>
    </row>
    <row r="64" spans="1:35" ht="14.25" customHeight="1">
      <c r="A64" s="160" t="s">
        <v>325</v>
      </c>
      <c r="B64" s="161" t="s">
        <v>1381</v>
      </c>
      <c r="C64" s="2350">
        <f ca="1">D45</f>
        <v>457058</v>
      </c>
      <c r="D64" s="161" t="s">
        <v>26</v>
      </c>
      <c r="E64" s="163"/>
      <c r="F64" s="1669"/>
      <c r="G64" s="1669"/>
      <c r="H64" s="150"/>
      <c r="I64" s="120"/>
      <c r="J64" s="3397"/>
      <c r="K64" s="1244" t="s">
        <v>1382</v>
      </c>
      <c r="L64" s="1244">
        <f ca="1">IF(M49&gt;2000,M49*0.5%,IF(AND(M49&gt;1000,M49&lt;=2000),M49*0.6%,IF(AND(M49&gt;500,M49&lt;=1000),M49*0.7%,IF(AND(M49&gt;200,M49&lt;=500),M49*0.8%,IF(AND(M49&gt;100,M49&lt;=200),M49*0.9%,IF(AND(M49&gt;50,M49&lt;=100),M49*1%,IF(AND(M49&gt;20,M49&lt;=50),M49*1.5%,IF(AND(M49&gt;10,M49&lt;=20),M49*2%,IF(AND(M49&gt;1,M49&lt;=10),M49*2.5%)))))))))</f>
        <v>2285.29</v>
      </c>
      <c r="M64" s="293">
        <f t="shared" ref="M64:M65" ca="1" si="1">ROUND(L64,1)</f>
        <v>2285.3000000000002</v>
      </c>
      <c r="N64" s="2330" t="s">
        <v>1383</v>
      </c>
      <c r="Z64" s="1622"/>
      <c r="AI64" s="1560"/>
    </row>
    <row r="65" spans="1:35" ht="14.25" customHeight="1">
      <c r="A65" s="160" t="s">
        <v>326</v>
      </c>
      <c r="B65" s="161" t="s">
        <v>1384</v>
      </c>
      <c r="C65" s="2351"/>
      <c r="D65" s="161"/>
      <c r="E65" s="163"/>
      <c r="F65" s="1669"/>
      <c r="G65" s="1669"/>
      <c r="H65" s="150"/>
      <c r="I65" s="120"/>
      <c r="J65" s="3397"/>
      <c r="K65" s="1244" t="s">
        <v>1385</v>
      </c>
      <c r="L65" s="1244">
        <f ca="1">IF(M49&gt;1000,M49*0.1%,IF(AND(M49&gt;500,M49&lt;=1000),M49*0.5%,IF(AND(M49&gt;50,M49&lt;=500),M49*1%,IF(AND(M49&gt;1,M49&lt;=50),M49*1.5%))))</f>
        <v>457.05799999999999</v>
      </c>
      <c r="M65" s="293">
        <f t="shared" ca="1" si="1"/>
        <v>457.1</v>
      </c>
      <c r="N65" s="2330" t="s">
        <v>1383</v>
      </c>
      <c r="Z65" s="1622"/>
      <c r="AI65" s="1560"/>
    </row>
    <row r="66" spans="1:35" ht="14.25" customHeight="1">
      <c r="A66" s="164" t="s">
        <v>327</v>
      </c>
      <c r="B66" s="165" t="s">
        <v>1386</v>
      </c>
      <c r="C66" s="2352"/>
      <c r="D66" s="165" t="s">
        <v>26</v>
      </c>
      <c r="E66" s="1250" t="s">
        <v>671</v>
      </c>
      <c r="F66" s="1669"/>
      <c r="G66" s="1669"/>
      <c r="H66" s="150"/>
      <c r="I66" s="120"/>
      <c r="J66" s="3397"/>
      <c r="K66" s="1244" t="s">
        <v>1387</v>
      </c>
      <c r="L66" s="1244">
        <f ca="1">M49*0.5%</f>
        <v>2285.29</v>
      </c>
      <c r="M66" s="293">
        <f ca="1">IF(L66&gt;0.5,0.5,ROUND(L66,0))</f>
        <v>0.5</v>
      </c>
      <c r="N66" s="2330" t="s">
        <v>1388</v>
      </c>
      <c r="Z66" s="1622"/>
      <c r="AI66" s="1560"/>
    </row>
    <row r="67" spans="1:35" ht="14.25" customHeight="1">
      <c r="A67" s="164" t="s">
        <v>328</v>
      </c>
      <c r="B67" s="165" t="s">
        <v>1389</v>
      </c>
      <c r="C67" s="2353">
        <f ca="1">C63-C66</f>
        <v>435293</v>
      </c>
      <c r="D67" s="161" t="s">
        <v>26</v>
      </c>
      <c r="E67" s="163"/>
      <c r="F67" s="1669"/>
      <c r="G67" s="1669"/>
      <c r="H67" s="150"/>
      <c r="I67" s="120"/>
      <c r="J67" s="3397"/>
      <c r="K67" s="1244" t="s">
        <v>1390</v>
      </c>
      <c r="L67" s="1244">
        <f ca="1">IF(M49&gt;=10000,(8.25+(M49-10000)*0.01%),IF(AND(M49&gt;=8000,M49&lt;10000),(7.85+(M49-8000)*0.02%),IF(AND(M49&gt;=5000,M49&lt;8000),(6.65+(M49-5000)*0.04%),IF(AND(M49&gt;=2000,M49&lt;5000),(4.25+(PM49-2000)*0.08%),IF(AND(M49&gt;=1000,M49&lt;2000),(2.75+(M49-1000)*0.15%),IF(AND(M49&gt;=100,M49&lt;1000),(0.5+(M49-100)*0.25%),IF(AND(M49&gt;0,M49&lt;100),M49*0.5%)))))))</f>
        <v>52.955800000000004</v>
      </c>
      <c r="M67" s="293">
        <f ca="1">ROUND(L67*0.9,1)</f>
        <v>47.7</v>
      </c>
      <c r="N67" s="2329"/>
      <c r="Z67" s="1622"/>
      <c r="AI67" s="1560"/>
    </row>
    <row r="68" spans="1:35" ht="14.25" customHeight="1" thickBot="1">
      <c r="A68" s="167" t="s">
        <v>329</v>
      </c>
      <c r="B68" s="168" t="s">
        <v>1391</v>
      </c>
      <c r="C68" s="2354">
        <f ca="1">IF(C67&lt;=0,0,ROUND(C67*D68,0))</f>
        <v>24376</v>
      </c>
      <c r="D68" s="2355">
        <f>'数据-取费表'!B41</f>
        <v>5.6000000000000001E-2</v>
      </c>
      <c r="E68" s="169"/>
      <c r="F68" s="1669"/>
      <c r="G68" s="1669"/>
      <c r="H68" s="150"/>
      <c r="I68" s="120"/>
      <c r="J68" s="3397"/>
      <c r="K68" s="1244" t="s">
        <v>1392</v>
      </c>
      <c r="L68" s="1244">
        <f ca="1">IF(M49&gt;10000,M49*0.5%,IF(AND(M49&gt;5000,M49&lt;=10000),M49*1%,IF(AND(M49&gt;1000,M49&lt;=5000),M49*2%,IF(AND(M49&gt;200,M49&lt;=1000),M49*3%,M49*5%))))</f>
        <v>2285.29</v>
      </c>
      <c r="M68" s="293">
        <f ca="1">ROUND(L68,1)</f>
        <v>2285.3000000000002</v>
      </c>
      <c r="N68" s="2329"/>
      <c r="Z68" s="1622"/>
      <c r="AI68" s="1560"/>
    </row>
    <row r="69" spans="1:35" ht="16.5" customHeight="1">
      <c r="A69" s="1671"/>
      <c r="B69" s="1672"/>
      <c r="C69" s="1673"/>
      <c r="D69" s="1674"/>
      <c r="E69" s="1675"/>
      <c r="F69" s="1465"/>
      <c r="G69" s="1465"/>
      <c r="H69" s="1466"/>
      <c r="I69" s="645"/>
      <c r="J69" s="3397"/>
      <c r="K69" s="1244" t="s">
        <v>1393</v>
      </c>
      <c r="L69" s="1244"/>
      <c r="M69" s="293">
        <f ca="1">ROUND(SUM(M63:M68),0)</f>
        <v>7361</v>
      </c>
      <c r="N69" s="2331">
        <f ca="1">M69/M49</f>
        <v>1.6105177023484983E-2</v>
      </c>
      <c r="Z69" s="1622"/>
      <c r="AI69" s="1560"/>
    </row>
    <row r="70" spans="1:35" s="641" customFormat="1" ht="15" thickBot="1">
      <c r="A70" s="3359" t="s">
        <v>1394</v>
      </c>
      <c r="B70" s="3360"/>
      <c r="C70" s="3360"/>
      <c r="D70" s="3360"/>
      <c r="E70" s="3360"/>
      <c r="F70" s="3360"/>
      <c r="G70" s="3360"/>
      <c r="H70" s="336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8" t="s">
        <v>1375</v>
      </c>
      <c r="B71" s="333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435293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2612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33" t="s">
        <v>1402</v>
      </c>
      <c r="F76" s="3307"/>
      <c r="G76" s="3307"/>
      <c r="H76" s="335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2612</v>
      </c>
      <c r="D78" s="2362">
        <f>'数据-取费表'!B43</f>
        <v>6.000000000000001E-3</v>
      </c>
      <c r="E78" s="3317" t="s">
        <v>1406</v>
      </c>
      <c r="F78" s="3318"/>
      <c r="G78" s="3318"/>
      <c r="H78" s="332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432681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165.65122511485453</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258694</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59" t="s">
        <v>1410</v>
      </c>
      <c r="B83" s="3360"/>
      <c r="C83" s="3360"/>
      <c r="D83" s="3360"/>
      <c r="E83" s="3360"/>
      <c r="F83" s="3360"/>
      <c r="G83" s="3360"/>
      <c r="H83" s="3360"/>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8" t="s">
        <v>1375</v>
      </c>
      <c r="B84" s="3339"/>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435293</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107507</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99" t="s">
        <v>2127</v>
      </c>
      <c r="H90" s="3400"/>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17" t="s">
        <v>1419</v>
      </c>
      <c r="F91" s="3318"/>
      <c r="G91" s="3318"/>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17" t="s">
        <v>1422</v>
      </c>
      <c r="F92" s="3318"/>
      <c r="G92" s="3318"/>
      <c r="H92" s="3327"/>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2612</v>
      </c>
      <c r="D93" s="2362">
        <f>'数据-取费表'!B43</f>
        <v>6.000000000000001E-3</v>
      </c>
      <c r="E93" s="3317" t="s">
        <v>1406</v>
      </c>
      <c r="F93" s="3318"/>
      <c r="G93" s="3318"/>
      <c r="H93" s="332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28" t="s">
        <v>1426</v>
      </c>
      <c r="F94" s="3329"/>
      <c r="G94" s="3329"/>
      <c r="H94" s="333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327786</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3.0489735552103583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159044</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301" t="s">
        <v>1428</v>
      </c>
      <c r="B100" s="3302"/>
      <c r="C100" s="3302"/>
      <c r="D100" s="3319"/>
      <c r="E100" s="3302" t="s">
        <v>1429</v>
      </c>
      <c r="F100" s="3302"/>
      <c r="G100" s="3302"/>
      <c r="H100" s="3319"/>
      <c r="I100" s="120"/>
    </row>
    <row r="101" spans="1:35" ht="18.75" customHeight="1">
      <c r="A101" s="3380" t="s">
        <v>1430</v>
      </c>
      <c r="B101" s="3381"/>
      <c r="C101" s="2370" t="str">
        <f>C4</f>
        <v>比较法-办公</v>
      </c>
      <c r="D101" s="2371" t="str">
        <f>D4</f>
        <v>收益法（汇总）</v>
      </c>
      <c r="E101" s="3394" t="s">
        <v>1431</v>
      </c>
      <c r="F101" s="3351"/>
      <c r="G101" s="1686" t="s">
        <v>1432</v>
      </c>
      <c r="H101" s="2380">
        <f ca="1">H118</f>
        <v>457058</v>
      </c>
      <c r="I101" s="120"/>
    </row>
    <row r="102" spans="1:35" ht="18.75" customHeight="1">
      <c r="A102" s="3353" t="s">
        <v>1433</v>
      </c>
      <c r="B102" s="2369" t="s">
        <v>1432</v>
      </c>
      <c r="C102" s="2370">
        <f ca="1">IF(D32="楼面单价",ROUND(C19,0),C19)</f>
        <v>540269</v>
      </c>
      <c r="D102" s="2371">
        <f ca="1">IF(D32="楼面单价",ROUND(D19,0),D19)</f>
        <v>332241</v>
      </c>
      <c r="E102" s="3394"/>
      <c r="F102" s="3351"/>
      <c r="G102" s="1686" t="s">
        <v>1434</v>
      </c>
      <c r="H102" s="2340">
        <f ca="1">I118</f>
        <v>46201</v>
      </c>
      <c r="I102" s="120"/>
    </row>
    <row r="103" spans="1:35" ht="42.75" customHeight="1">
      <c r="A103" s="3353"/>
      <c r="B103" s="2369" t="s">
        <v>1434</v>
      </c>
      <c r="C103" s="2372">
        <f ca="1">C20</f>
        <v>54612</v>
      </c>
      <c r="D103" s="2373">
        <f ca="1">D20</f>
        <v>33584</v>
      </c>
      <c r="E103" s="3388" t="s">
        <v>1435</v>
      </c>
      <c r="F103" s="3389"/>
      <c r="G103" s="1687" t="s">
        <v>1436</v>
      </c>
      <c r="H103" s="2380">
        <f>IF(D36="正常操作",H104+H105+H106,H105+H106)</f>
        <v>0</v>
      </c>
      <c r="I103" s="120"/>
    </row>
    <row r="104" spans="1:35" ht="18.75" customHeight="1">
      <c r="A104" s="3353" t="s">
        <v>1437</v>
      </c>
      <c r="B104" s="2374" t="s">
        <v>1432</v>
      </c>
      <c r="C104" s="2375">
        <f ca="1">H118</f>
        <v>457058</v>
      </c>
      <c r="D104" s="2376"/>
      <c r="E104" s="1554" t="s">
        <v>1438</v>
      </c>
      <c r="F104" s="1547"/>
      <c r="G104" s="1687" t="s">
        <v>1436</v>
      </c>
      <c r="H104" s="2381">
        <f>IF(D36="同一抵押权人同一抵押物续贷",C36&amp;"（续贷，未扣减，详见特别提示）",C36)</f>
        <v>0</v>
      </c>
      <c r="I104" s="120"/>
    </row>
    <row r="105" spans="1:35" ht="18.75" customHeight="1" thickBot="1">
      <c r="A105" s="3354"/>
      <c r="B105" s="2377" t="s">
        <v>1434</v>
      </c>
      <c r="C105" s="2378">
        <f ca="1">I118</f>
        <v>46201</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50" t="str">
        <f>IF(项目基本情况!E8="已注销","——","3.房地产抵押价值")</f>
        <v>3.房地产抵押价值</v>
      </c>
      <c r="F107" s="3351"/>
      <c r="G107" s="1686" t="s">
        <v>1432</v>
      </c>
      <c r="H107" s="2380">
        <f ca="1">IF(E107="——","——",H101-H103)</f>
        <v>457058</v>
      </c>
      <c r="I107" s="120"/>
    </row>
    <row r="108" spans="1:35" ht="18.75" customHeight="1">
      <c r="A108" s="120"/>
      <c r="B108" s="120"/>
      <c r="C108" s="120"/>
      <c r="D108" s="120"/>
      <c r="E108" s="3350"/>
      <c r="F108" s="3351"/>
      <c r="G108" s="1686" t="s">
        <v>1434</v>
      </c>
      <c r="H108" s="2340">
        <f ca="1">IF(H107=H101,H102,ROUND(H107*10000/'数据-汇总表'!E3,0))</f>
        <v>46201</v>
      </c>
      <c r="I108" s="120"/>
    </row>
    <row r="109" spans="1:35" ht="18.75" customHeight="1">
      <c r="A109" s="120"/>
      <c r="B109" s="120"/>
      <c r="C109" s="120"/>
      <c r="D109" s="120"/>
      <c r="E109" s="3350" t="str">
        <f>IF(项目基本情况!E8="已注销及未注销","4.抵押担保权已注销时的房地产抵押价值",IF(项目基本情况!E8="已注销","3.抵押担保权已注销时的房地产抵押价值","——"))</f>
        <v>——</v>
      </c>
      <c r="F109" s="3351"/>
      <c r="G109" s="1686" t="s">
        <v>1432</v>
      </c>
      <c r="H109" s="2383" t="str">
        <f>IF(E109="——","——",H101-H105-H106)</f>
        <v>——</v>
      </c>
      <c r="I109" s="120"/>
    </row>
    <row r="110" spans="1:35" ht="18.75" customHeight="1">
      <c r="A110" s="120"/>
      <c r="B110" s="120"/>
      <c r="C110" s="120"/>
      <c r="D110" s="120"/>
      <c r="E110" s="3350"/>
      <c r="F110" s="3351"/>
      <c r="G110" s="1686" t="s">
        <v>1434</v>
      </c>
      <c r="H110" s="2340" t="str">
        <f>IF(H109="——","——",ROUND(H109*10000/'数据-汇总表'!E3,0))</f>
        <v>——</v>
      </c>
      <c r="I110" s="120"/>
    </row>
    <row r="111" spans="1:35" ht="18.75" customHeight="1">
      <c r="A111" s="120"/>
      <c r="B111" s="120"/>
      <c r="C111" s="120"/>
      <c r="D111" s="120"/>
      <c r="E111" s="3382" t="str">
        <f>IF(项目基本情况!E9="抵押净值",IF(OR(项目基本情况!E8="已注销",项目基本情况!E8="房地产抵押价值"),"4.抵押净值","5.抵押净值"),"——")</f>
        <v>4.抵押净值</v>
      </c>
      <c r="F111" s="3352"/>
      <c r="G111" s="1686" t="s">
        <v>1432</v>
      </c>
      <c r="H111" s="2380">
        <f ca="1">IF(E111="——","——",N59)</f>
        <v>273409</v>
      </c>
      <c r="I111" s="120"/>
    </row>
    <row r="112" spans="1:35" ht="18.75" customHeight="1" thickBot="1">
      <c r="A112" s="120"/>
      <c r="B112" s="120"/>
      <c r="C112" s="120"/>
      <c r="D112" s="120"/>
      <c r="E112" s="3383"/>
      <c r="F112" s="3384"/>
      <c r="G112" s="1689" t="s">
        <v>1434</v>
      </c>
      <c r="H112" s="2384">
        <f ca="1">IF(E111="——","——",N61)</f>
        <v>27637</v>
      </c>
      <c r="I112" s="120"/>
    </row>
    <row r="113" spans="1:27" ht="18.75" customHeight="1">
      <c r="A113" s="120"/>
      <c r="B113" s="120"/>
      <c r="C113" s="120"/>
      <c r="D113" s="120"/>
      <c r="E113" s="3355" t="s">
        <v>1440</v>
      </c>
      <c r="F113" s="3355"/>
      <c r="G113" s="3355"/>
      <c r="H113" s="3355"/>
      <c r="I113" s="120"/>
    </row>
    <row r="114" spans="1:27" ht="3.75" customHeight="1">
      <c r="A114" s="645"/>
      <c r="B114" s="645"/>
      <c r="C114" s="645"/>
      <c r="D114" s="645"/>
      <c r="E114" s="1670"/>
      <c r="F114" s="1670"/>
      <c r="G114" s="1670"/>
      <c r="H114" s="1670"/>
      <c r="I114" s="645"/>
    </row>
    <row r="115" spans="1:27" ht="18.75" customHeight="1">
      <c r="A115" s="3365" t="s">
        <v>1442</v>
      </c>
      <c r="B115" s="3366"/>
      <c r="C115" s="3366"/>
      <c r="D115" s="3366"/>
      <c r="E115" s="3366"/>
      <c r="F115" s="3366"/>
      <c r="G115" s="3366"/>
      <c r="H115" s="3366"/>
      <c r="I115" s="3367"/>
    </row>
    <row r="116" spans="1:27" ht="27" customHeight="1">
      <c r="A116" s="3321" t="s">
        <v>1443</v>
      </c>
      <c r="B116" s="3356" t="s">
        <v>1444</v>
      </c>
      <c r="C116" s="3356" t="s">
        <v>1445</v>
      </c>
      <c r="D116" s="3369" t="s">
        <v>1446</v>
      </c>
      <c r="E116" s="3370"/>
      <c r="F116" s="3364" t="s">
        <v>1447</v>
      </c>
      <c r="G116" s="3364"/>
      <c r="H116" s="3321" t="s">
        <v>1448</v>
      </c>
      <c r="I116" s="3321"/>
    </row>
    <row r="117" spans="1:27" ht="18.75" customHeight="1">
      <c r="A117" s="3321"/>
      <c r="B117" s="3357"/>
      <c r="C117" s="335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0</v>
      </c>
      <c r="D118" s="2149" t="e">
        <f ca="1">ROUND(IF(D32="总价",C34,E118*B118/10000),0)</f>
        <v>#DIV/0!</v>
      </c>
      <c r="E118" s="2149" t="e">
        <f ca="1">ROUND(IF(C33="自定义",IF(D32="楼面单价",C34,D118*10000/B118),I118-G118),0)</f>
        <v>#DIV/0!</v>
      </c>
      <c r="F118" s="2149" t="e">
        <f ca="1">ROUND(IF(D32="总价",C35,G118*B118/10000),0)</f>
        <v>#DIV/0!</v>
      </c>
      <c r="G118" s="2149" t="e">
        <f ca="1">ROUND(IF(D32="楼面单价",C35,F118*10000/B118),0)</f>
        <v>#DIV/0!</v>
      </c>
      <c r="H118" s="2149">
        <f ca="1">ROUND(IF(D32="总价",C32,I118*B118/10000),0)</f>
        <v>457058</v>
      </c>
      <c r="I118" s="2149">
        <f ca="1">ROUND(IF(D32="楼面单价",C32,H118*10000/B118),0)</f>
        <v>46201</v>
      </c>
    </row>
    <row r="119" spans="1:27" ht="18.75" customHeight="1">
      <c r="A119" s="3321" t="s">
        <v>1452</v>
      </c>
      <c r="B119" s="3321"/>
      <c r="C119" s="3321"/>
      <c r="D119" s="3361" t="e">
        <f ca="1">NUMBERSTRING(INT(D118*10000),2)&amp;"元整"</f>
        <v>#DIV/0!</v>
      </c>
      <c r="E119" s="3363"/>
      <c r="F119" s="3361" t="e">
        <f ca="1">NUMBERSTRING(INT(F118*10000),2)&amp;"元整"</f>
        <v>#DIV/0!</v>
      </c>
      <c r="G119" s="3363"/>
      <c r="H119" s="3361" t="str">
        <f ca="1">NUMBERSTRING(INT(H118*10000),2)&amp;"元整"</f>
        <v>肆拾伍亿柒仟零伍拾捌万元整</v>
      </c>
      <c r="I119" s="3363"/>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1" t="s">
        <v>1452</v>
      </c>
      <c r="B121" s="3362"/>
      <c r="C121" s="3363"/>
      <c r="D121" s="3361" t="str">
        <f>IF(D120=0,"零元整",NUMBERSTRING(INT(D120*10000),2)&amp;"元整")</f>
        <v>零元整</v>
      </c>
      <c r="E121" s="3362"/>
      <c r="F121" s="3362"/>
      <c r="G121" s="3362"/>
      <c r="H121" s="3362"/>
      <c r="I121" s="3363"/>
      <c r="AA121" s="683"/>
    </row>
    <row r="122" spans="1:27" ht="18.75" customHeight="1">
      <c r="A122" s="3352" t="str">
        <f>IF(项目基本情况!B9="房地产市场价值","",MID(E107,3,LEN(E107)-2))</f>
        <v>房地产抵押价值</v>
      </c>
      <c r="B122" s="3352"/>
      <c r="C122" s="3352"/>
      <c r="D122" s="3385">
        <f ca="1">H107</f>
        <v>457058</v>
      </c>
      <c r="E122" s="3386"/>
      <c r="F122" s="3386"/>
      <c r="G122" s="3386"/>
      <c r="H122" s="3386"/>
      <c r="I122" s="3387"/>
      <c r="AA122" s="683"/>
    </row>
    <row r="123" spans="1:27" ht="18.75" customHeight="1">
      <c r="A123" s="3321" t="s">
        <v>1452</v>
      </c>
      <c r="B123" s="3321"/>
      <c r="C123" s="3321"/>
      <c r="D123" s="3361" t="str">
        <f ca="1">NUMBERSTRING(INT(D122*10000),2)&amp;"元整"</f>
        <v>肆拾伍亿柒仟零伍拾捌万元整</v>
      </c>
      <c r="E123" s="3362"/>
      <c r="F123" s="3362"/>
      <c r="G123" s="3362"/>
      <c r="H123" s="3362"/>
      <c r="I123" s="3363"/>
      <c r="AA123" s="683"/>
    </row>
    <row r="124" spans="1:27" ht="18.75" customHeight="1">
      <c r="A124" s="3352" t="str">
        <f>IF(项目基本情况!B9="房地产市场价值","",MID(E109,3,LEN(E109)-2))</f>
        <v/>
      </c>
      <c r="B124" s="3352"/>
      <c r="C124" s="3352"/>
      <c r="D124" s="3385" t="str">
        <f>H109</f>
        <v>——</v>
      </c>
      <c r="E124" s="3386"/>
      <c r="F124" s="3386"/>
      <c r="G124" s="3386"/>
      <c r="H124" s="3386"/>
      <c r="I124" s="3387"/>
      <c r="AA124" s="683"/>
    </row>
    <row r="125" spans="1:27" ht="18.75" customHeight="1">
      <c r="A125" s="3321" t="s">
        <v>1452</v>
      </c>
      <c r="B125" s="3321"/>
      <c r="C125" s="3321"/>
      <c r="D125" s="3361" t="e">
        <f>NUMBERSTRING(INT(D124*10000),2)&amp;"元整"</f>
        <v>#VALUE!</v>
      </c>
      <c r="E125" s="3362"/>
      <c r="F125" s="3362"/>
      <c r="G125" s="3362"/>
      <c r="H125" s="3362"/>
      <c r="I125" s="3363"/>
      <c r="AA125" s="683"/>
    </row>
    <row r="126" spans="1:27" ht="18.75" customHeight="1">
      <c r="A126" s="3352" t="str">
        <f>IF(项目基本情况!B9="房地产市场价值","",MID(E111,3,LEN(E111)-2))</f>
        <v>抵押净值</v>
      </c>
      <c r="B126" s="3352"/>
      <c r="C126" s="3352"/>
      <c r="D126" s="3385">
        <f ca="1">H111</f>
        <v>273409</v>
      </c>
      <c r="E126" s="3386"/>
      <c r="F126" s="3386"/>
      <c r="G126" s="3386"/>
      <c r="H126" s="3386"/>
      <c r="I126" s="3387"/>
      <c r="AA126" s="683"/>
    </row>
    <row r="127" spans="1:27" ht="18.75" customHeight="1">
      <c r="A127" s="3321" t="s">
        <v>1452</v>
      </c>
      <c r="B127" s="3321"/>
      <c r="C127" s="3321"/>
      <c r="D127" s="3361" t="str">
        <f ca="1">NUMBERSTRING(INT(D126*10000),2)&amp;"元整"</f>
        <v>贰拾柒亿叁仟肆佰零玖万元整</v>
      </c>
      <c r="E127" s="3362"/>
      <c r="F127" s="3362"/>
      <c r="G127" s="3362"/>
      <c r="H127" s="3362"/>
      <c r="I127" s="3363"/>
      <c r="AA127" s="683"/>
    </row>
    <row r="128" spans="1:27" ht="21.75" customHeight="1">
      <c r="A128" s="3368" t="s">
        <v>1453</v>
      </c>
      <c r="B128" s="3368"/>
      <c r="C128" s="3368"/>
      <c r="D128" s="3368"/>
      <c r="E128" s="3368"/>
      <c r="F128" s="3368"/>
      <c r="G128" s="3368"/>
      <c r="H128" s="3368"/>
      <c r="I128" s="336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9" t="str">
        <f>项目基本情况!B1</f>
        <v>北京市房地产抵押价值预评估</v>
      </c>
      <c r="C37" s="3219"/>
      <c r="D37" s="3219"/>
      <c r="E37" s="3219"/>
      <c r="F37" s="3219"/>
      <c r="G37" s="3219"/>
      <c r="H37" s="3219"/>
      <c r="I37" s="321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F136"/>
  <sheetViews>
    <sheetView tabSelected="1" view="pageBreakPreview" zoomScale="85" zoomScaleNormal="70" zoomScaleSheetLayoutView="85" workbookViewId="0">
      <selection activeCell="C50" sqref="C5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6.875" style="346" customWidth="1"/>
    <col min="6" max="6" width="12.25" style="346" customWidth="1"/>
    <col min="7" max="7" width="15.62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540269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54612</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23" t="s">
        <v>1775</v>
      </c>
      <c r="Q4" s="3424"/>
      <c r="R4" s="3429" t="s">
        <v>1771</v>
      </c>
      <c r="S4" s="3430"/>
      <c r="T4" s="3429" t="s">
        <v>1772</v>
      </c>
      <c r="U4" s="3430"/>
      <c r="V4" s="3435" t="s">
        <v>1773</v>
      </c>
      <c r="W4" s="3435"/>
      <c r="X4" s="1808"/>
      <c r="Y4" s="3429" t="s">
        <v>1775</v>
      </c>
      <c r="Z4" s="3430"/>
      <c r="AA4" s="3446" t="s">
        <v>1771</v>
      </c>
      <c r="AB4" s="3446" t="s">
        <v>1772</v>
      </c>
      <c r="AC4" s="3416" t="s">
        <v>1773</v>
      </c>
    </row>
    <row r="5" spans="1:29" ht="15">
      <c r="A5" s="347"/>
      <c r="B5" s="348"/>
      <c r="C5" s="3438" t="s">
        <v>3698</v>
      </c>
      <c r="D5" s="3439"/>
      <c r="E5" s="3449" t="s">
        <v>3822</v>
      </c>
      <c r="F5" s="3450"/>
      <c r="G5" s="3438" t="s">
        <v>3821</v>
      </c>
      <c r="H5" s="3439"/>
      <c r="I5" s="3438" t="s">
        <v>3735</v>
      </c>
      <c r="J5" s="3439"/>
      <c r="K5" s="536"/>
      <c r="L5" s="2485"/>
      <c r="M5" s="2486"/>
      <c r="N5" s="2486"/>
      <c r="O5" s="2486"/>
      <c r="P5" s="3425"/>
      <c r="Q5" s="3426"/>
      <c r="R5" s="3431"/>
      <c r="S5" s="3432"/>
      <c r="T5" s="3431"/>
      <c r="U5" s="3432"/>
      <c r="V5" s="3403"/>
      <c r="W5" s="3403"/>
      <c r="X5" s="1264"/>
      <c r="Y5" s="3431"/>
      <c r="Z5" s="3432"/>
      <c r="AA5" s="3447"/>
      <c r="AB5" s="3447"/>
      <c r="AC5" s="3417"/>
    </row>
    <row r="6" spans="1:29" ht="15.75" thickBot="1">
      <c r="A6" s="349"/>
      <c r="B6" s="350"/>
      <c r="C6" s="3436" t="s">
        <v>1677</v>
      </c>
      <c r="D6" s="3437"/>
      <c r="E6" s="3444" t="s">
        <v>1677</v>
      </c>
      <c r="F6" s="3445"/>
      <c r="G6" s="3436" t="s">
        <v>1677</v>
      </c>
      <c r="H6" s="3437"/>
      <c r="I6" s="3436" t="s">
        <v>1677</v>
      </c>
      <c r="J6" s="3437"/>
      <c r="K6" s="536" t="s">
        <v>1678</v>
      </c>
      <c r="L6" s="2485"/>
      <c r="M6" s="2486"/>
      <c r="N6" s="2486"/>
      <c r="O6" s="2486"/>
      <c r="P6" s="3427"/>
      <c r="Q6" s="3428"/>
      <c r="R6" s="3431"/>
      <c r="S6" s="3432"/>
      <c r="T6" s="3433"/>
      <c r="U6" s="3434"/>
      <c r="V6" s="3403"/>
      <c r="W6" s="3403"/>
      <c r="X6" s="1264"/>
      <c r="Y6" s="3433"/>
      <c r="Z6" s="3434"/>
      <c r="AA6" s="3448"/>
      <c r="AB6" s="3448"/>
      <c r="AC6" s="3418"/>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40" t="s">
        <v>1680</v>
      </c>
      <c r="Q7" s="3443"/>
      <c r="R7" s="663" t="s">
        <v>14</v>
      </c>
      <c r="S7" s="664">
        <f t="shared" ref="S7:S15" si="0">F7</f>
        <v>100</v>
      </c>
      <c r="T7" s="663" t="s">
        <v>14</v>
      </c>
      <c r="U7" s="664">
        <f t="shared" ref="U7:U15" si="1">H7</f>
        <v>100</v>
      </c>
      <c r="V7" s="663" t="s">
        <v>14</v>
      </c>
      <c r="W7" s="664">
        <f t="shared" ref="W7:W15" si="2">J7</f>
        <v>100</v>
      </c>
      <c r="X7" s="665"/>
      <c r="Y7" s="3442" t="s">
        <v>1680</v>
      </c>
      <c r="Z7" s="3441"/>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40" t="s">
        <v>1683</v>
      </c>
      <c r="Q8" s="3441"/>
      <c r="R8" s="663" t="s">
        <v>14</v>
      </c>
      <c r="S8" s="664">
        <f t="shared" si="0"/>
        <v>100</v>
      </c>
      <c r="T8" s="663" t="s">
        <v>14</v>
      </c>
      <c r="U8" s="664">
        <f t="shared" si="1"/>
        <v>100</v>
      </c>
      <c r="V8" s="663" t="s">
        <v>14</v>
      </c>
      <c r="W8" s="664">
        <f t="shared" si="2"/>
        <v>100</v>
      </c>
      <c r="X8" s="665"/>
      <c r="Y8" s="3442" t="s">
        <v>1683</v>
      </c>
      <c r="Z8" s="3441"/>
      <c r="AA8" s="49">
        <f t="shared" ref="AA8:AA47" si="3">D8/F8</f>
        <v>1</v>
      </c>
      <c r="AB8" s="49">
        <f t="shared" ref="AB8:AB47" si="4">D8/H8</f>
        <v>1</v>
      </c>
      <c r="AC8" s="801">
        <f t="shared" ref="AC8:AC47" si="5">D8/J8</f>
        <v>1</v>
      </c>
    </row>
    <row r="9" spans="1:29" s="101" customFormat="1" ht="15">
      <c r="A9" s="358" t="s">
        <v>1684</v>
      </c>
      <c r="B9" s="59" t="s">
        <v>1685</v>
      </c>
      <c r="C9" s="3168" t="s">
        <v>3701</v>
      </c>
      <c r="D9" s="58">
        <v>100</v>
      </c>
      <c r="E9" s="3169" t="s">
        <v>3776</v>
      </c>
      <c r="F9" s="58">
        <f>SUMIF(64:64,E9,65:65)-SUMIF(64:64,C9,65:65)+100</f>
        <v>100</v>
      </c>
      <c r="G9" s="3169" t="s">
        <v>3702</v>
      </c>
      <c r="H9" s="58">
        <f>SUMIF(64:64,G9,65:65)-SUMIF(64:64,C9,65:65)+100</f>
        <v>95</v>
      </c>
      <c r="I9" s="3169" t="s">
        <v>3702</v>
      </c>
      <c r="J9" s="58">
        <f>SUMIF(64:64,I9,65:65)-SUMIF(64:64,C9,65:65)+100</f>
        <v>95</v>
      </c>
      <c r="K9" s="37"/>
      <c r="L9" s="2487"/>
      <c r="M9" s="2439"/>
      <c r="N9" s="2439"/>
      <c r="O9" s="2439"/>
      <c r="P9" s="3401" t="s">
        <v>1686</v>
      </c>
      <c r="Q9" s="529" t="str">
        <f t="shared" ref="Q9:Q15" si="6">B9</f>
        <v>用途</v>
      </c>
      <c r="R9" s="663" t="s">
        <v>14</v>
      </c>
      <c r="S9" s="664">
        <f t="shared" si="0"/>
        <v>100</v>
      </c>
      <c r="T9" s="663" t="s">
        <v>14</v>
      </c>
      <c r="U9" s="664">
        <f t="shared" si="1"/>
        <v>95</v>
      </c>
      <c r="V9" s="663" t="s">
        <v>14</v>
      </c>
      <c r="W9" s="664">
        <f t="shared" si="2"/>
        <v>95</v>
      </c>
      <c r="X9" s="665"/>
      <c r="Y9" s="3308" t="s">
        <v>1687</v>
      </c>
      <c r="Z9" s="49" t="str">
        <f t="shared" ref="Z9:Z15" si="7">Q9</f>
        <v>用途</v>
      </c>
      <c r="AA9" s="49">
        <f t="shared" si="3"/>
        <v>1</v>
      </c>
      <c r="AB9" s="49">
        <f t="shared" si="4"/>
        <v>1.0526315789473684</v>
      </c>
      <c r="AC9" s="801">
        <f t="shared" si="5"/>
        <v>1.0526315789473684</v>
      </c>
    </row>
    <row r="10" spans="1:29" s="365" customFormat="1" ht="27.75" thickBot="1">
      <c r="A10" s="362"/>
      <c r="B10" s="363" t="s">
        <v>1688</v>
      </c>
      <c r="C10" s="367" t="s">
        <v>3712</v>
      </c>
      <c r="D10" s="118">
        <v>100</v>
      </c>
      <c r="E10" s="367" t="s">
        <v>3712</v>
      </c>
      <c r="F10" s="118">
        <f>SUMIF(66:66,E10,67:67)-SUMIF(66:66,C10,67:67)+100</f>
        <v>100</v>
      </c>
      <c r="G10" s="367" t="s">
        <v>3712</v>
      </c>
      <c r="H10" s="118">
        <f>SUMIF(66:66,G10,67:67)-SUMIF(66:66,C10,67:67)+100</f>
        <v>100</v>
      </c>
      <c r="I10" s="3131" t="s">
        <v>3736</v>
      </c>
      <c r="J10" s="118">
        <f>SUMIF(66:66,I10,67:67)-SUMIF(66:66,C10,67:67)+100</f>
        <v>95</v>
      </c>
      <c r="K10" s="37"/>
      <c r="L10" s="2488"/>
      <c r="M10" s="2489"/>
      <c r="N10" s="2489"/>
      <c r="O10" s="2489"/>
      <c r="P10" s="3401"/>
      <c r="Q10" s="529" t="str">
        <f t="shared" si="6"/>
        <v>土地使用年限（年）</v>
      </c>
      <c r="R10" s="663" t="s">
        <v>14</v>
      </c>
      <c r="S10" s="664">
        <f t="shared" si="0"/>
        <v>100</v>
      </c>
      <c r="T10" s="663" t="s">
        <v>14</v>
      </c>
      <c r="U10" s="664">
        <f t="shared" si="1"/>
        <v>100</v>
      </c>
      <c r="V10" s="663" t="s">
        <v>14</v>
      </c>
      <c r="W10" s="664">
        <f t="shared" si="2"/>
        <v>95</v>
      </c>
      <c r="X10" s="665"/>
      <c r="Y10" s="3308"/>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01"/>
      <c r="Q11" s="529" t="str">
        <f t="shared" si="6"/>
        <v>容积率</v>
      </c>
      <c r="R11" s="663" t="s">
        <v>14</v>
      </c>
      <c r="S11" s="664">
        <f t="shared" si="0"/>
        <v>100</v>
      </c>
      <c r="T11" s="663" t="s">
        <v>14</v>
      </c>
      <c r="U11" s="664">
        <f t="shared" si="1"/>
        <v>100</v>
      </c>
      <c r="V11" s="663" t="s">
        <v>14</v>
      </c>
      <c r="W11" s="664">
        <f t="shared" si="2"/>
        <v>100</v>
      </c>
      <c r="X11" s="665"/>
      <c r="Y11" s="3308"/>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01"/>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01"/>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01"/>
      <c r="Q14" s="529">
        <f t="shared" si="6"/>
        <v>111</v>
      </c>
      <c r="R14" s="663" t="s">
        <v>14</v>
      </c>
      <c r="S14" s="664">
        <f t="shared" si="0"/>
        <v>100</v>
      </c>
      <c r="T14" s="663" t="s">
        <v>14</v>
      </c>
      <c r="U14" s="664">
        <f t="shared" si="1"/>
        <v>100</v>
      </c>
      <c r="V14" s="663" t="s">
        <v>14</v>
      </c>
      <c r="W14" s="664">
        <f t="shared" si="2"/>
        <v>100</v>
      </c>
      <c r="X14" s="665"/>
      <c r="Y14" s="3308"/>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105</v>
      </c>
      <c r="I15" s="380"/>
      <c r="J15" s="379">
        <f>SUMIF(77:77,I16,78:78)-SUMIF(77:77,C16,78:78)+100</f>
        <v>100</v>
      </c>
      <c r="K15" s="539">
        <v>5</v>
      </c>
      <c r="L15" s="2491"/>
      <c r="M15" s="2486"/>
      <c r="N15" s="2486"/>
      <c r="O15" s="2486"/>
      <c r="P15" s="3407" t="s">
        <v>1691</v>
      </c>
      <c r="Q15" s="1262" t="str">
        <f t="shared" si="6"/>
        <v>办公集聚程度</v>
      </c>
      <c r="R15" s="666" t="s">
        <v>14</v>
      </c>
      <c r="S15" s="667">
        <f t="shared" si="0"/>
        <v>100</v>
      </c>
      <c r="T15" s="666" t="s">
        <v>14</v>
      </c>
      <c r="U15" s="667">
        <f t="shared" si="1"/>
        <v>105</v>
      </c>
      <c r="V15" s="666" t="s">
        <v>14</v>
      </c>
      <c r="W15" s="667">
        <f t="shared" si="2"/>
        <v>100</v>
      </c>
      <c r="X15" s="1264"/>
      <c r="Y15" s="3409" t="s">
        <v>1691</v>
      </c>
      <c r="Z15" s="1263" t="str">
        <f t="shared" si="7"/>
        <v>办公集聚程度</v>
      </c>
      <c r="AA15" s="1263">
        <f t="shared" si="3"/>
        <v>1</v>
      </c>
      <c r="AB15" s="1263">
        <f t="shared" si="4"/>
        <v>0.95238095238095233</v>
      </c>
      <c r="AC15" s="1811">
        <f t="shared" si="5"/>
        <v>1</v>
      </c>
    </row>
    <row r="16" spans="1:29" ht="15">
      <c r="A16" s="366"/>
      <c r="B16" s="554"/>
      <c r="C16" s="1757" t="s">
        <v>3666</v>
      </c>
      <c r="D16" s="386"/>
      <c r="E16" s="385" t="s">
        <v>3666</v>
      </c>
      <c r="F16" s="386"/>
      <c r="G16" s="385" t="s">
        <v>3667</v>
      </c>
      <c r="H16" s="388"/>
      <c r="I16" s="385" t="s">
        <v>3666</v>
      </c>
      <c r="J16" s="386"/>
      <c r="K16" s="540"/>
      <c r="L16" s="2491"/>
      <c r="M16" s="2486"/>
      <c r="N16" s="2486"/>
      <c r="O16" s="2486"/>
      <c r="P16" s="3408"/>
      <c r="Q16" s="1262"/>
      <c r="R16" s="666"/>
      <c r="S16" s="667"/>
      <c r="T16" s="666"/>
      <c r="U16" s="667"/>
      <c r="V16" s="666"/>
      <c r="W16" s="667"/>
      <c r="X16" s="1264"/>
      <c r="Y16" s="3410"/>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4</v>
      </c>
      <c r="L17" s="2491"/>
      <c r="M17" s="2486"/>
      <c r="N17" s="2486"/>
      <c r="O17" s="2486"/>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408"/>
      <c r="Q18" s="1262"/>
      <c r="R18" s="666"/>
      <c r="S18" s="667"/>
      <c r="T18" s="666"/>
      <c r="U18" s="667"/>
      <c r="V18" s="666"/>
      <c r="W18" s="667"/>
      <c r="X18" s="1264"/>
      <c r="Y18" s="3410"/>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4</v>
      </c>
      <c r="L19" s="2491"/>
      <c r="M19" s="2486"/>
      <c r="N19" s="2486"/>
      <c r="O19" s="2486"/>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408"/>
      <c r="Q20" s="1262"/>
      <c r="R20" s="666"/>
      <c r="S20" s="667"/>
      <c r="T20" s="666"/>
      <c r="U20" s="667"/>
      <c r="V20" s="666"/>
      <c r="W20" s="667"/>
      <c r="X20" s="1264"/>
      <c r="Y20" s="3410"/>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408"/>
      <c r="Q22" s="1262"/>
      <c r="R22" s="666"/>
      <c r="S22" s="667"/>
      <c r="T22" s="666"/>
      <c r="U22" s="667"/>
      <c r="V22" s="666"/>
      <c r="W22" s="667"/>
      <c r="X22" s="1264"/>
      <c r="Y22" s="3410"/>
      <c r="Z22" s="1263"/>
      <c r="AA22" s="1263">
        <v>1</v>
      </c>
      <c r="AB22" s="1263">
        <v>1</v>
      </c>
      <c r="AC22" s="1811">
        <v>1</v>
      </c>
    </row>
    <row r="23" spans="1:29" ht="15">
      <c r="A23" s="366"/>
      <c r="B23" s="555" t="s">
        <v>1814</v>
      </c>
      <c r="C23" s="1812">
        <f>估价对象房地状况!C9</f>
        <v>0</v>
      </c>
      <c r="D23" s="388">
        <v>100</v>
      </c>
      <c r="E23" s="392"/>
      <c r="F23" s="388">
        <f>SUMIF(85:85,E24,86:86)-SUMIF(85:85,C24,86:86)+100</f>
        <v>95</v>
      </c>
      <c r="G23" s="392"/>
      <c r="H23" s="388">
        <f>SUMIF(85:85,G24,86:86)-SUMIF(85:85,C24,86:86)+100</f>
        <v>95</v>
      </c>
      <c r="I23" s="392"/>
      <c r="J23" s="388">
        <f>SUMIF(85:85,I24,86:86)-SUMIF(85:85,C24,86:86)+100</f>
        <v>100</v>
      </c>
      <c r="K23" s="539">
        <v>5</v>
      </c>
      <c r="L23" s="2491"/>
      <c r="M23" s="2486"/>
      <c r="N23" s="2486"/>
      <c r="O23" s="2486"/>
      <c r="P23" s="3408"/>
      <c r="Q23" s="1262" t="str">
        <f>B23</f>
        <v>环境质量</v>
      </c>
      <c r="R23" s="666" t="s">
        <v>14</v>
      </c>
      <c r="S23" s="667">
        <f>F23</f>
        <v>95</v>
      </c>
      <c r="T23" s="666" t="s">
        <v>14</v>
      </c>
      <c r="U23" s="667">
        <f>H23</f>
        <v>95</v>
      </c>
      <c r="V23" s="666" t="s">
        <v>14</v>
      </c>
      <c r="W23" s="667">
        <f>J23</f>
        <v>100</v>
      </c>
      <c r="X23" s="1264"/>
      <c r="Y23" s="3410"/>
      <c r="Z23" s="1263" t="str">
        <f>Q23</f>
        <v>环境质量</v>
      </c>
      <c r="AA23" s="1263">
        <f t="shared" si="3"/>
        <v>1.0526315789473684</v>
      </c>
      <c r="AB23" s="1263">
        <f t="shared" si="4"/>
        <v>1.0526315789473684</v>
      </c>
      <c r="AC23" s="1811">
        <f t="shared" si="5"/>
        <v>1</v>
      </c>
    </row>
    <row r="24" spans="1:29" ht="15">
      <c r="A24" s="366"/>
      <c r="B24" s="556"/>
      <c r="C24" s="1757" t="s">
        <v>3667</v>
      </c>
      <c r="D24" s="386"/>
      <c r="E24" s="1750" t="s">
        <v>3666</v>
      </c>
      <c r="F24" s="386"/>
      <c r="G24" s="1750" t="s">
        <v>3666</v>
      </c>
      <c r="H24" s="386"/>
      <c r="I24" s="1750" t="s">
        <v>3667</v>
      </c>
      <c r="J24" s="386"/>
      <c r="K24" s="540"/>
      <c r="L24" s="2491"/>
      <c r="M24" s="2486"/>
      <c r="N24" s="2486"/>
      <c r="O24" s="2486"/>
      <c r="P24" s="3408"/>
      <c r="Q24" s="1262"/>
      <c r="R24" s="666"/>
      <c r="S24" s="667"/>
      <c r="T24" s="666"/>
      <c r="U24" s="667"/>
      <c r="V24" s="666"/>
      <c r="W24" s="667"/>
      <c r="X24" s="1264"/>
      <c r="Y24" s="3410"/>
      <c r="Z24" s="1263"/>
      <c r="AA24" s="1263">
        <v>1</v>
      </c>
      <c r="AB24" s="1263">
        <v>1</v>
      </c>
      <c r="AC24" s="1811">
        <v>1</v>
      </c>
    </row>
    <row r="25" spans="1:29" ht="27"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91"/>
      <c r="M25" s="2486"/>
      <c r="N25" s="2486"/>
      <c r="O25" s="2486"/>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hidden="1">
      <c r="A26" s="347"/>
      <c r="B26" s="400"/>
      <c r="C26" s="3170"/>
      <c r="D26" s="373"/>
      <c r="E26" s="3172"/>
      <c r="F26" s="373"/>
      <c r="G26" s="3172"/>
      <c r="H26" s="373"/>
      <c r="I26" s="3172"/>
      <c r="J26" s="373"/>
      <c r="K26" s="540"/>
      <c r="L26" s="2491"/>
      <c r="M26" s="2486"/>
      <c r="N26" s="2486"/>
      <c r="O26" s="2486"/>
      <c r="P26" s="3408"/>
      <c r="Q26" s="1262"/>
      <c r="R26" s="666"/>
      <c r="S26" s="667"/>
      <c r="T26" s="666"/>
      <c r="U26" s="667"/>
      <c r="V26" s="666"/>
      <c r="W26" s="667"/>
      <c r="X26" s="1264"/>
      <c r="Y26" s="3410"/>
      <c r="Z26" s="1263"/>
      <c r="AA26" s="1263">
        <v>1</v>
      </c>
      <c r="AB26" s="1263">
        <v>1</v>
      </c>
      <c r="AC26" s="1811">
        <v>1</v>
      </c>
    </row>
    <row r="27" spans="1:29" ht="1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08"/>
      <c r="Q28" s="529" t="str">
        <f t="shared" si="11"/>
        <v>朝向</v>
      </c>
      <c r="R28" s="663" t="s">
        <v>14</v>
      </c>
      <c r="S28" s="664">
        <f>F28</f>
        <v>100</v>
      </c>
      <c r="T28" s="663" t="s">
        <v>14</v>
      </c>
      <c r="U28" s="664">
        <f>H28</f>
        <v>100</v>
      </c>
      <c r="V28" s="663" t="s">
        <v>14</v>
      </c>
      <c r="W28" s="664">
        <f>J28</f>
        <v>100</v>
      </c>
      <c r="X28" s="665"/>
      <c r="Y28" s="3410"/>
      <c r="Z28" s="49" t="str">
        <f>Q28</f>
        <v>朝向</v>
      </c>
      <c r="AA28" s="1263">
        <f>D28/F28</f>
        <v>1</v>
      </c>
      <c r="AB28" s="1263">
        <f>D28/H28</f>
        <v>1</v>
      </c>
      <c r="AC28" s="1811">
        <f>D28/J28</f>
        <v>1</v>
      </c>
    </row>
    <row r="29" spans="1:29" ht="15.75" thickBot="1">
      <c r="A29" s="366"/>
      <c r="B29" s="3165" t="s">
        <v>3699</v>
      </c>
      <c r="C29" s="3173" t="s">
        <v>3711</v>
      </c>
      <c r="D29" s="373">
        <v>100</v>
      </c>
      <c r="E29" s="3173" t="s">
        <v>3711</v>
      </c>
      <c r="F29" s="373">
        <f>SUMIF(93:93,E29,94:94)-SUMIF(93:93,C29,94:94)+100</f>
        <v>100</v>
      </c>
      <c r="G29" s="3173" t="s">
        <v>3711</v>
      </c>
      <c r="H29" s="373">
        <f>SUMIF(93:93,G29,94:94)-SUMIF(93:93,C29,94:94)+100</f>
        <v>100</v>
      </c>
      <c r="I29" s="3173" t="s">
        <v>3710</v>
      </c>
      <c r="J29" s="373">
        <f>SUMIF(93:93,I29,94:94)-SUMIF(93:93,C29,94:94)+100</f>
        <v>105</v>
      </c>
      <c r="K29" s="538"/>
      <c r="L29" s="2491"/>
      <c r="M29" s="2486"/>
      <c r="N29" s="2486"/>
      <c r="O29" s="2486"/>
      <c r="P29" s="3408"/>
      <c r="Q29" s="1262" t="str">
        <f t="shared" si="11"/>
        <v>商业繁华程度</v>
      </c>
      <c r="R29" s="666" t="s">
        <v>14</v>
      </c>
      <c r="S29" s="667">
        <f t="shared" ref="S29:S47" si="12">F29</f>
        <v>100</v>
      </c>
      <c r="T29" s="666" t="s">
        <v>14</v>
      </c>
      <c r="U29" s="667">
        <f t="shared" ref="U29:U47" si="13">H29</f>
        <v>100</v>
      </c>
      <c r="V29" s="666" t="s">
        <v>14</v>
      </c>
      <c r="W29" s="667">
        <f t="shared" ref="W29:W47" si="14">J29</f>
        <v>105</v>
      </c>
      <c r="X29" s="1264"/>
      <c r="Y29" s="3410"/>
      <c r="Z29" s="1263" t="str">
        <f t="shared" ref="Z29:Z47" si="15">Q29</f>
        <v>商业繁华程度</v>
      </c>
      <c r="AA29" s="1263">
        <f t="shared" si="3"/>
        <v>1</v>
      </c>
      <c r="AB29" s="1263">
        <f t="shared" si="4"/>
        <v>1</v>
      </c>
      <c r="AC29" s="1811">
        <f t="shared" si="5"/>
        <v>0.95238095238095233</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08"/>
      <c r="Q30" s="1262">
        <f t="shared" si="11"/>
        <v>0</v>
      </c>
      <c r="R30" s="666" t="s">
        <v>14</v>
      </c>
      <c r="S30" s="667">
        <f t="shared" si="12"/>
        <v>100</v>
      </c>
      <c r="T30" s="666" t="s">
        <v>14</v>
      </c>
      <c r="U30" s="667">
        <f t="shared" si="13"/>
        <v>100</v>
      </c>
      <c r="V30" s="666" t="s">
        <v>14</v>
      </c>
      <c r="W30" s="667">
        <f t="shared" si="14"/>
        <v>100</v>
      </c>
      <c r="X30" s="1264"/>
      <c r="Y30" s="3410"/>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08"/>
      <c r="Q31" s="1262">
        <f t="shared" si="11"/>
        <v>0</v>
      </c>
      <c r="R31" s="666" t="s">
        <v>14</v>
      </c>
      <c r="S31" s="667">
        <f t="shared" si="12"/>
        <v>100</v>
      </c>
      <c r="T31" s="666" t="s">
        <v>14</v>
      </c>
      <c r="U31" s="667">
        <f t="shared" si="13"/>
        <v>100</v>
      </c>
      <c r="V31" s="666" t="s">
        <v>14</v>
      </c>
      <c r="W31" s="667">
        <f t="shared" si="14"/>
        <v>100</v>
      </c>
      <c r="X31" s="1264"/>
      <c r="Y31" s="3410"/>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08"/>
      <c r="Q32" s="1262">
        <f t="shared" si="11"/>
        <v>0</v>
      </c>
      <c r="R32" s="666" t="s">
        <v>14</v>
      </c>
      <c r="S32" s="667">
        <f t="shared" si="12"/>
        <v>100</v>
      </c>
      <c r="T32" s="666" t="s">
        <v>14</v>
      </c>
      <c r="U32" s="667">
        <f t="shared" si="13"/>
        <v>100</v>
      </c>
      <c r="V32" s="666" t="s">
        <v>14</v>
      </c>
      <c r="W32" s="667">
        <f t="shared" si="14"/>
        <v>100</v>
      </c>
      <c r="X32" s="1264"/>
      <c r="Y32" s="3410"/>
      <c r="Z32" s="1263">
        <f t="shared" si="15"/>
        <v>0</v>
      </c>
      <c r="AA32" s="1263">
        <f t="shared" si="3"/>
        <v>1</v>
      </c>
      <c r="AB32" s="1263">
        <f t="shared" si="4"/>
        <v>1</v>
      </c>
      <c r="AC32" s="1811">
        <f t="shared" si="5"/>
        <v>1</v>
      </c>
    </row>
    <row r="33" spans="1:29" ht="15">
      <c r="A33" s="378" t="s">
        <v>1694</v>
      </c>
      <c r="B33" s="59" t="s">
        <v>1817</v>
      </c>
      <c r="C33" s="1763" t="s">
        <v>3703</v>
      </c>
      <c r="D33" s="404">
        <v>100</v>
      </c>
      <c r="E33" s="1763" t="s">
        <v>3703</v>
      </c>
      <c r="F33" s="399">
        <f>SUMIF(101:101,E33,102:102)-SUMIF(101:101,C33,102:102)+100</f>
        <v>100</v>
      </c>
      <c r="G33" s="1763" t="s">
        <v>3703</v>
      </c>
      <c r="H33" s="373">
        <f>SUMIF(101:101,G33,102:102)-SUMIF(101:101,C33,102:102)+100</f>
        <v>100</v>
      </c>
      <c r="I33" s="1763" t="s">
        <v>3703</v>
      </c>
      <c r="J33" s="404">
        <f>SUMIF(101:101,I33,102:102)-SUMIF(101:101,C33,102:102)+100</f>
        <v>100</v>
      </c>
      <c r="K33" s="537">
        <v>5</v>
      </c>
      <c r="L33" s="2491"/>
      <c r="M33" s="2486"/>
      <c r="N33" s="2486"/>
      <c r="O33" s="2486"/>
      <c r="P33" s="3411" t="s">
        <v>1696</v>
      </c>
      <c r="Q33" s="1262" t="str">
        <f t="shared" si="11"/>
        <v>建筑类型</v>
      </c>
      <c r="R33" s="666" t="s">
        <v>14</v>
      </c>
      <c r="S33" s="667">
        <f t="shared" si="12"/>
        <v>100</v>
      </c>
      <c r="T33" s="666" t="s">
        <v>14</v>
      </c>
      <c r="U33" s="667">
        <f t="shared" si="13"/>
        <v>100</v>
      </c>
      <c r="V33" s="666" t="s">
        <v>14</v>
      </c>
      <c r="W33" s="667">
        <f t="shared" si="14"/>
        <v>100</v>
      </c>
      <c r="X33" s="1264"/>
      <c r="Y33" s="3414"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f>大宗案例!I6</f>
        <v>8985.25</v>
      </c>
      <c r="J34" s="118">
        <f>LOOKUP(I34,104:104,105:105)-LOOKUP(C34,104:104,105:105)+100</f>
        <v>102</v>
      </c>
      <c r="K34" s="538"/>
      <c r="L34" s="2490"/>
      <c r="M34" s="2492"/>
      <c r="N34" s="2492"/>
      <c r="O34" s="2492"/>
      <c r="P34" s="3412"/>
      <c r="Q34" s="530" t="str">
        <f t="shared" si="11"/>
        <v>项目建筑规模</v>
      </c>
      <c r="R34" s="668" t="s">
        <v>14</v>
      </c>
      <c r="S34" s="669">
        <f t="shared" si="12"/>
        <v>102</v>
      </c>
      <c r="T34" s="668" t="s">
        <v>14</v>
      </c>
      <c r="U34" s="669">
        <f t="shared" si="13"/>
        <v>102</v>
      </c>
      <c r="V34" s="668" t="s">
        <v>14</v>
      </c>
      <c r="W34" s="669">
        <f t="shared" si="14"/>
        <v>102</v>
      </c>
      <c r="X34" s="670"/>
      <c r="Y34" s="3414"/>
      <c r="Z34" s="671" t="str">
        <f t="shared" si="15"/>
        <v>项目建筑规模</v>
      </c>
      <c r="AA34" s="1263">
        <f t="shared" si="3"/>
        <v>0.98039215686274506</v>
      </c>
      <c r="AB34" s="1263">
        <f t="shared" si="4"/>
        <v>0.98039215686274506</v>
      </c>
      <c r="AC34" s="1811">
        <f t="shared" si="5"/>
        <v>0.98039215686274506</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8"/>
      <c r="B36" s="363" t="s">
        <v>1785</v>
      </c>
      <c r="C36" s="398" t="s">
        <v>3704</v>
      </c>
      <c r="D36" s="373">
        <v>100</v>
      </c>
      <c r="E36" s="398" t="s">
        <v>3704</v>
      </c>
      <c r="F36" s="399">
        <f>SUMIF(108:108,E36,109:109)-SUMIF(108:108,C36,109:109)+100</f>
        <v>100</v>
      </c>
      <c r="G36" s="398" t="s">
        <v>3704</v>
      </c>
      <c r="H36" s="373">
        <f>SUMIF(108:108,G36,109:109)-SUMIF(108:108,C36,109:109)+100</f>
        <v>100</v>
      </c>
      <c r="I36" s="398" t="s">
        <v>3704</v>
      </c>
      <c r="J36" s="373">
        <f>SUMIF(108:108,I36,109:109)-SUMIF(108:108,C36,109:109)+100</f>
        <v>100</v>
      </c>
      <c r="K36" s="537">
        <v>2</v>
      </c>
      <c r="L36" s="2491"/>
      <c r="M36" s="2486"/>
      <c r="N36" s="2486"/>
      <c r="O36" s="2486"/>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102</v>
      </c>
      <c r="G37" s="410">
        <f>ROUND(1-(2024-2021)/60,2)</f>
        <v>0.95</v>
      </c>
      <c r="H37" s="399">
        <f>LOOKUP(G37,111:111,112:112)-LOOKUP(C37,111:111,112:112)+100</f>
        <v>102</v>
      </c>
      <c r="I37" s="410">
        <v>0.75</v>
      </c>
      <c r="J37" s="373">
        <f>LOOKUP(I37,111:111,112:112)-LOOKUP(C37,111:111,112:112)+100</f>
        <v>98</v>
      </c>
      <c r="K37" s="537">
        <v>2</v>
      </c>
      <c r="L37" s="2491"/>
      <c r="M37" s="2486"/>
      <c r="N37" s="2486"/>
      <c r="O37" s="2486"/>
      <c r="P37" s="3412"/>
      <c r="Q37" s="1262" t="str">
        <f t="shared" si="11"/>
        <v>成新度</v>
      </c>
      <c r="R37" s="666" t="s">
        <v>14</v>
      </c>
      <c r="S37" s="667">
        <f t="shared" si="12"/>
        <v>102</v>
      </c>
      <c r="T37" s="666" t="s">
        <v>14</v>
      </c>
      <c r="U37" s="667">
        <f t="shared" si="13"/>
        <v>102</v>
      </c>
      <c r="V37" s="666" t="s">
        <v>14</v>
      </c>
      <c r="W37" s="667">
        <f t="shared" si="14"/>
        <v>98</v>
      </c>
      <c r="X37" s="1264"/>
      <c r="Y37" s="3414"/>
      <c r="Z37" s="1263" t="str">
        <f t="shared" si="15"/>
        <v>成新度</v>
      </c>
      <c r="AA37" s="1263">
        <f t="shared" si="3"/>
        <v>0.98039215686274506</v>
      </c>
      <c r="AB37" s="1263">
        <f t="shared" si="4"/>
        <v>0.98039215686274506</v>
      </c>
      <c r="AC37" s="1811">
        <f t="shared" si="5"/>
        <v>1.0204081632653061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12"/>
      <c r="Q38" s="529" t="str">
        <f t="shared" si="11"/>
        <v>写字楼等级</v>
      </c>
      <c r="R38" s="663" t="s">
        <v>14</v>
      </c>
      <c r="S38" s="664">
        <f t="shared" si="12"/>
        <v>100</v>
      </c>
      <c r="T38" s="663" t="s">
        <v>14</v>
      </c>
      <c r="U38" s="664">
        <f t="shared" si="13"/>
        <v>100</v>
      </c>
      <c r="V38" s="663" t="s">
        <v>14</v>
      </c>
      <c r="W38" s="664">
        <f t="shared" si="14"/>
        <v>100</v>
      </c>
      <c r="X38" s="665"/>
      <c r="Y38" s="3414"/>
      <c r="Z38" s="49" t="str">
        <f t="shared" si="15"/>
        <v>写字楼等级</v>
      </c>
      <c r="AA38" s="49">
        <f t="shared" si="3"/>
        <v>1</v>
      </c>
      <c r="AB38" s="49">
        <f t="shared" si="4"/>
        <v>1</v>
      </c>
      <c r="AC38" s="801">
        <f t="shared" si="5"/>
        <v>1</v>
      </c>
    </row>
    <row r="39" spans="1:29" ht="15">
      <c r="A39" s="408"/>
      <c r="B39" s="363" t="s">
        <v>1819</v>
      </c>
      <c r="C39" s="398" t="s">
        <v>3705</v>
      </c>
      <c r="D39" s="373">
        <v>100</v>
      </c>
      <c r="E39" s="398" t="s">
        <v>3705</v>
      </c>
      <c r="F39" s="399">
        <f>SUMIF(115:115,E39,116:116)-SUMIF(115:115,C39,116:116)+100</f>
        <v>100</v>
      </c>
      <c r="G39" s="398" t="s">
        <v>3705</v>
      </c>
      <c r="H39" s="373">
        <f>SUMIF(115:115,G39,116:116)-SUMIF(115:115,C39,116:116)+100</f>
        <v>100</v>
      </c>
      <c r="I39" s="398" t="s">
        <v>3705</v>
      </c>
      <c r="J39" s="373">
        <f>SUMIF(115:115,I39,116:116)-SUMIF(115:115,C39,116:116)+100</f>
        <v>100</v>
      </c>
      <c r="K39" s="537">
        <v>3</v>
      </c>
      <c r="L39" s="2491"/>
      <c r="M39" s="2486"/>
      <c r="N39" s="2486"/>
      <c r="O39" s="2486"/>
      <c r="P39" s="3412" t="s">
        <v>1696</v>
      </c>
      <c r="Q39" s="1262" t="str">
        <f t="shared" si="11"/>
        <v>物业管理</v>
      </c>
      <c r="R39" s="666" t="s">
        <v>14</v>
      </c>
      <c r="S39" s="667">
        <f t="shared" si="12"/>
        <v>100</v>
      </c>
      <c r="T39" s="666" t="s">
        <v>14</v>
      </c>
      <c r="U39" s="667">
        <f t="shared" si="13"/>
        <v>100</v>
      </c>
      <c r="V39" s="666" t="s">
        <v>14</v>
      </c>
      <c r="W39" s="667">
        <f t="shared" si="14"/>
        <v>100</v>
      </c>
      <c r="X39" s="1264"/>
      <c r="Y39" s="3414" t="s">
        <v>1696</v>
      </c>
      <c r="Z39" s="1263" t="str">
        <f t="shared" si="15"/>
        <v>物业管理</v>
      </c>
      <c r="AA39" s="1263">
        <f t="shared" si="3"/>
        <v>1</v>
      </c>
      <c r="AB39" s="1263">
        <f t="shared" si="4"/>
        <v>1</v>
      </c>
      <c r="AC39" s="1811">
        <f t="shared" si="5"/>
        <v>1</v>
      </c>
    </row>
    <row r="40" spans="1:29" ht="15" hidden="1">
      <c r="A40" s="408"/>
      <c r="B40" s="363" t="s">
        <v>1787</v>
      </c>
      <c r="C40" s="398" t="s">
        <v>3706</v>
      </c>
      <c r="D40" s="373">
        <v>100</v>
      </c>
      <c r="E40" s="398" t="s">
        <v>3706</v>
      </c>
      <c r="F40" s="399">
        <f>SUMIF(117:117,E40,118:118)-SUMIF(117:117,C40,118:118)+100</f>
        <v>100</v>
      </c>
      <c r="G40" s="398" t="s">
        <v>3706</v>
      </c>
      <c r="H40" s="373">
        <f>SUMIF(117:117,G40,118:118)-SUMIF(117:117,C40,118:118)+100</f>
        <v>100</v>
      </c>
      <c r="I40" s="398" t="s">
        <v>3706</v>
      </c>
      <c r="J40" s="373">
        <f>SUMIF(117:117,I40,118:118)-SUMIF(117:117,C40,118:118)+100</f>
        <v>100</v>
      </c>
      <c r="K40" s="537">
        <v>2</v>
      </c>
      <c r="L40" s="2491"/>
      <c r="M40" s="2486"/>
      <c r="N40" s="2486"/>
      <c r="O40" s="2486"/>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12"/>
      <c r="Q42" s="530"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8"/>
      <c r="B43" s="363" t="s">
        <v>1792</v>
      </c>
      <c r="C43" s="3171" t="s">
        <v>3709</v>
      </c>
      <c r="D43" s="373">
        <v>100</v>
      </c>
      <c r="E43" s="398" t="s">
        <v>3707</v>
      </c>
      <c r="F43" s="399">
        <f>SUMIF(123:123,E43,124:124)-SUMIF(123:123,C43,124:124)+100</f>
        <v>94</v>
      </c>
      <c r="G43" s="398" t="s">
        <v>3707</v>
      </c>
      <c r="H43" s="373">
        <f>SUMIF(123:123,G43,124:124)-SUMIF(123:123,C43,124:124)+100</f>
        <v>94</v>
      </c>
      <c r="I43" s="398" t="s">
        <v>3707</v>
      </c>
      <c r="J43" s="373">
        <f>SUMIF(123:123,I43,124:124)-SUMIF(123:123,C43,124:124)+100</f>
        <v>94</v>
      </c>
      <c r="K43" s="537">
        <v>3</v>
      </c>
      <c r="L43" s="2491"/>
      <c r="M43" s="2486"/>
      <c r="N43" s="2486"/>
      <c r="O43" s="2486"/>
      <c r="P43" s="3412"/>
      <c r="Q43" s="1262" t="str">
        <f t="shared" si="11"/>
        <v>内部装修</v>
      </c>
      <c r="R43" s="666" t="s">
        <v>14</v>
      </c>
      <c r="S43" s="667">
        <f t="shared" si="12"/>
        <v>94</v>
      </c>
      <c r="T43" s="666" t="s">
        <v>14</v>
      </c>
      <c r="U43" s="667">
        <f t="shared" si="13"/>
        <v>94</v>
      </c>
      <c r="V43" s="666" t="s">
        <v>14</v>
      </c>
      <c r="W43" s="667">
        <f t="shared" si="14"/>
        <v>94</v>
      </c>
      <c r="X43" s="1264"/>
      <c r="Y43" s="3414"/>
      <c r="Z43" s="1263" t="str">
        <f t="shared" si="15"/>
        <v>内部装修</v>
      </c>
      <c r="AA43" s="1263">
        <f t="shared" si="3"/>
        <v>1.0638297872340425</v>
      </c>
      <c r="AB43" s="1263">
        <f t="shared" si="4"/>
        <v>1.0638297872340425</v>
      </c>
      <c r="AC43" s="1811">
        <f t="shared" si="5"/>
        <v>1.0638297872340425</v>
      </c>
    </row>
    <row r="44" spans="1:29" ht="15">
      <c r="A44" s="408"/>
      <c r="B44" s="363" t="s">
        <v>1707</v>
      </c>
      <c r="C44" s="3171" t="s">
        <v>3710</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1" customFormat="1" ht="15">
      <c r="A45" s="409"/>
      <c r="B45" s="3166" t="s">
        <v>3700</v>
      </c>
      <c r="C45" s="410">
        <v>0</v>
      </c>
      <c r="D45" s="118">
        <v>100</v>
      </c>
      <c r="E45" s="410">
        <v>0</v>
      </c>
      <c r="F45" s="363">
        <f>SUMIF(127:127,E45,128:128)-SUMIF(127:127,C45,128:128)+100</f>
        <v>100</v>
      </c>
      <c r="G45" s="410">
        <v>0</v>
      </c>
      <c r="H45" s="118">
        <f>SUMIF(127:127,G45,128:128)-SUMIF(127:127,C45,128:128)+100</f>
        <v>100</v>
      </c>
      <c r="I45" s="410" t="s">
        <v>3837</v>
      </c>
      <c r="J45" s="118">
        <f>SUMIF(127:127,I45,128:128)-SUMIF(127:127,C45,128:128)+100</f>
        <v>104</v>
      </c>
      <c r="K45" s="538"/>
      <c r="L45" s="2487"/>
      <c r="M45" s="2439"/>
      <c r="N45" s="2439"/>
      <c r="O45" s="2439"/>
      <c r="P45" s="3412"/>
      <c r="Q45" s="529" t="str">
        <f t="shared" si="11"/>
        <v>地下占比</v>
      </c>
      <c r="R45" s="663" t="s">
        <v>14</v>
      </c>
      <c r="S45" s="664">
        <f t="shared" si="12"/>
        <v>100</v>
      </c>
      <c r="T45" s="663" t="s">
        <v>14</v>
      </c>
      <c r="U45" s="664">
        <f t="shared" si="13"/>
        <v>100</v>
      </c>
      <c r="V45" s="663" t="s">
        <v>14</v>
      </c>
      <c r="W45" s="664">
        <f t="shared" si="14"/>
        <v>104</v>
      </c>
      <c r="X45" s="665"/>
      <c r="Y45" s="3414"/>
      <c r="Z45" s="49" t="str">
        <f t="shared" si="15"/>
        <v>地下占比</v>
      </c>
      <c r="AA45" s="49">
        <f t="shared" si="3"/>
        <v>1</v>
      </c>
      <c r="AB45" s="49">
        <f t="shared" si="4"/>
        <v>1</v>
      </c>
      <c r="AC45" s="801">
        <f t="shared" si="5"/>
        <v>0.96153846153846156</v>
      </c>
    </row>
    <row r="46" spans="1:29" ht="15.75" thickBot="1">
      <c r="A46" s="408"/>
      <c r="B46" s="3166" t="s">
        <v>3831</v>
      </c>
      <c r="C46" s="3216" t="s">
        <v>3832</v>
      </c>
      <c r="D46" s="373">
        <v>100</v>
      </c>
      <c r="E46" s="3217" t="s">
        <v>3832</v>
      </c>
      <c r="F46" s="399">
        <f>SUMIF(129:129,E46,130:130)-SUMIF(129:129,C46,130:130)+100</f>
        <v>100</v>
      </c>
      <c r="G46" s="3217" t="s">
        <v>3832</v>
      </c>
      <c r="H46" s="373">
        <f>SUMIF(129:129,G46,130:130)-SUMIF(129:129,C46,130:130)+100</f>
        <v>100</v>
      </c>
      <c r="I46" s="3217" t="s">
        <v>3833</v>
      </c>
      <c r="J46" s="373">
        <f>SUMIF(129:129,I46,130:130)-SUMIF(129:129,C46,130:130)+100</f>
        <v>95</v>
      </c>
      <c r="K46" s="538"/>
      <c r="L46" s="2491"/>
      <c r="M46" s="2486"/>
      <c r="N46" s="2486"/>
      <c r="O46" s="2486"/>
      <c r="P46" s="3412"/>
      <c r="Q46" s="1262" t="str">
        <f t="shared" si="11"/>
        <v>产权单一</v>
      </c>
      <c r="R46" s="666" t="s">
        <v>14</v>
      </c>
      <c r="S46" s="667">
        <f t="shared" si="12"/>
        <v>100</v>
      </c>
      <c r="T46" s="666" t="s">
        <v>14</v>
      </c>
      <c r="U46" s="667">
        <f t="shared" si="13"/>
        <v>100</v>
      </c>
      <c r="V46" s="666" t="s">
        <v>14</v>
      </c>
      <c r="W46" s="667">
        <f t="shared" si="14"/>
        <v>95</v>
      </c>
      <c r="X46" s="1264"/>
      <c r="Y46" s="3414"/>
      <c r="Z46" s="1263" t="str">
        <f t="shared" si="15"/>
        <v>产权单一</v>
      </c>
      <c r="AA46" s="1263">
        <f t="shared" si="3"/>
        <v>1</v>
      </c>
      <c r="AB46" s="1263">
        <f t="shared" si="4"/>
        <v>1</v>
      </c>
      <c r="AC46" s="1811">
        <f t="shared" si="5"/>
        <v>1.0526315789473684</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13"/>
      <c r="Q47" s="1262">
        <f t="shared" si="11"/>
        <v>0</v>
      </c>
      <c r="R47" s="666" t="s">
        <v>14</v>
      </c>
      <c r="S47" s="667">
        <f t="shared" si="12"/>
        <v>100</v>
      </c>
      <c r="T47" s="666" t="s">
        <v>14</v>
      </c>
      <c r="U47" s="667">
        <f t="shared" si="13"/>
        <v>100</v>
      </c>
      <c r="V47" s="666" t="s">
        <v>14</v>
      </c>
      <c r="W47" s="667">
        <f t="shared" si="14"/>
        <v>100</v>
      </c>
      <c r="X47" s="1264"/>
      <c r="Y47" s="3415"/>
      <c r="Z47" s="1263">
        <f t="shared" si="15"/>
        <v>0</v>
      </c>
      <c r="AA47" s="1263">
        <f t="shared" si="3"/>
        <v>1</v>
      </c>
      <c r="AB47" s="1263">
        <f t="shared" si="4"/>
        <v>1</v>
      </c>
      <c r="AC47" s="1811">
        <f t="shared" si="5"/>
        <v>1</v>
      </c>
    </row>
    <row r="48" spans="1:29" ht="15">
      <c r="A48" s="415" t="s">
        <v>1708</v>
      </c>
      <c r="B48" s="416"/>
      <c r="C48" s="1080" t="s">
        <v>0</v>
      </c>
      <c r="D48" s="417"/>
      <c r="E48" s="3209">
        <f>华樾北京!L9</f>
        <v>50000</v>
      </c>
      <c r="F48" s="419"/>
      <c r="G48" s="420">
        <v>48873</v>
      </c>
      <c r="H48" s="421"/>
      <c r="I48" s="3209">
        <f>大宗案例!N6</f>
        <v>50392.600629014712</v>
      </c>
      <c r="J48" s="421"/>
      <c r="K48" s="673"/>
      <c r="L48" s="2493"/>
      <c r="M48" s="2486"/>
      <c r="N48" s="2486"/>
      <c r="O48" s="2486"/>
      <c r="P48" s="3401" t="str">
        <f>A48</f>
        <v>成交单价（元/平方米）</v>
      </c>
      <c r="Q48" s="3402"/>
      <c r="R48" s="3403">
        <f>E48</f>
        <v>50000</v>
      </c>
      <c r="S48" s="3403"/>
      <c r="T48" s="3403">
        <f>G48</f>
        <v>48873</v>
      </c>
      <c r="U48" s="3403"/>
      <c r="V48" s="3403">
        <f>I48</f>
        <v>50392.600629014712</v>
      </c>
      <c r="W48" s="3403"/>
      <c r="X48" s="384"/>
      <c r="Y48" s="672"/>
      <c r="Z48" s="384"/>
      <c r="AA48" s="384"/>
      <c r="AB48" s="384"/>
      <c r="AC48" s="554"/>
    </row>
    <row r="49" spans="1:32" ht="15.75" thickBot="1">
      <c r="A49" s="422" t="s">
        <v>1793</v>
      </c>
      <c r="B49" s="423"/>
      <c r="C49" s="1081">
        <f>R50</f>
        <v>54612</v>
      </c>
      <c r="D49" s="2140" t="s">
        <v>2136</v>
      </c>
      <c r="E49" s="1082">
        <f>R49</f>
        <v>53817</v>
      </c>
      <c r="F49" s="2141"/>
      <c r="G49" s="1081">
        <f>T49</f>
        <v>52736</v>
      </c>
      <c r="H49" s="2141"/>
      <c r="I49" s="1082">
        <f>V49</f>
        <v>57282</v>
      </c>
      <c r="J49" s="2141"/>
      <c r="K49" s="2143">
        <f>F49+H49+J49</f>
        <v>0</v>
      </c>
      <c r="L49" s="2493"/>
      <c r="M49" s="2486"/>
      <c r="N49" s="2486"/>
      <c r="O49" s="2486"/>
      <c r="P49" s="3401" t="str">
        <f>A49</f>
        <v>比较价值（元/平方米）</v>
      </c>
      <c r="Q49" s="3402"/>
      <c r="R49" s="3403">
        <f>IF(F1="售价",ROUND(PRODUCT(R48,AA7:AA47),0),ROUND(PRODUCT(R48,AA7:AA47),1))</f>
        <v>53817</v>
      </c>
      <c r="S49" s="3403"/>
      <c r="T49" s="3403">
        <f>IF(F1="售价",ROUND(PRODUCT(T48,AB7:AB47),0),ROUND(PRODUCT(T48,AB7:AB47),1))</f>
        <v>52736</v>
      </c>
      <c r="U49" s="3403"/>
      <c r="V49" s="3403">
        <f>IF(F1="售价",ROUND(PRODUCT(V48,AC7:AC47),0),ROUND(PRODUCT(V48,AC7:AC47),1))</f>
        <v>57282</v>
      </c>
      <c r="W49" s="3403"/>
      <c r="X49" s="384"/>
      <c r="Y49" s="384"/>
      <c r="Z49" s="384"/>
      <c r="AA49" s="384"/>
      <c r="AB49" s="384"/>
      <c r="AC49" s="554"/>
    </row>
    <row r="50" spans="1:32" ht="15.75" thickBot="1">
      <c r="A50" s="426" t="s">
        <v>1794</v>
      </c>
      <c r="B50" s="427"/>
      <c r="C50" s="350">
        <f>R50</f>
        <v>54612</v>
      </c>
      <c r="D50" s="350"/>
      <c r="E50" s="350"/>
      <c r="F50" s="350"/>
      <c r="G50" s="350"/>
      <c r="H50" s="350"/>
      <c r="I50" s="350"/>
      <c r="J50" s="428"/>
      <c r="K50" s="674"/>
      <c r="L50" s="2493"/>
      <c r="M50" s="2486"/>
      <c r="N50" s="2486"/>
      <c r="O50" s="2486"/>
      <c r="P50" s="3404" t="str">
        <f>A50</f>
        <v>估价对象XX用房的比较价值（楼面单价，元/平方米）</v>
      </c>
      <c r="Q50" s="3405"/>
      <c r="R50" s="3406">
        <f>IF(F1="售价",ROUND(IF(D49="简单平均",AVERAGE(R49:V49),R49*F49+T49*H49+V49*J49),0),ROUND(IF(D49="简单平均",AVERAGE(R49:V49),R49*F49+T49*H49+V49*J49),1))</f>
        <v>54612</v>
      </c>
      <c r="S50" s="3406"/>
      <c r="T50" s="3406"/>
      <c r="U50" s="3406"/>
      <c r="V50" s="3406"/>
      <c r="W50" s="3406"/>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7.6340000000000074E-2</v>
      </c>
      <c r="F53" s="434" t="str">
        <f>IF(OR(E53&gt;=0.3,E53&lt;=-0.3),"超过30%","")</f>
        <v/>
      </c>
      <c r="G53" s="433">
        <f>IF(G48&lt;G49,G49/G48-1,G48/G49-1)</f>
        <v>7.9041597610132408E-2</v>
      </c>
      <c r="H53" s="434" t="str">
        <f>IF(OR(G53&gt;=0.3,G53&lt;=-0.3),"超过30%","")</f>
        <v/>
      </c>
      <c r="I53" s="433">
        <f>IF(I48&lt;I49,I49/I48-1,I48/I49-1)</f>
        <v>0.13671450341895142</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2.0498331310679685E-2</v>
      </c>
      <c r="F54" s="434" t="str">
        <f>IF(OR(E54&gt;=0.2,E54&lt;=-0.2),"超过20%","")</f>
        <v/>
      </c>
      <c r="G54" s="433">
        <f>IF(G49&lt;I49,I49/G49-1,G49/I49-1)</f>
        <v>8.620297330097082E-2</v>
      </c>
      <c r="H54" s="434" t="str">
        <f>IF(OR(G54&gt;=0.2,G54&lt;=-0.2),"超过20%","")</f>
        <v/>
      </c>
      <c r="I54" s="433">
        <f>IF(I49&lt;E49,E49/I49-1,I49/E49-1)</f>
        <v>6.4384859802664618E-2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2.3059767151597077E-2</v>
      </c>
      <c r="F55" s="434" t="str">
        <f>IF(OR(E55&gt;=0.3,E55&lt;=-0.3),"超过30%","")</f>
        <v/>
      </c>
      <c r="G55" s="433">
        <f>IF(G48&lt;I48,I48/G48-1,G48/I48-1)</f>
        <v>3.1092845313664297E-2</v>
      </c>
      <c r="H55" s="434" t="str">
        <f>IF(OR(G55&gt;=0.3,G55&lt;=-0.3),"超过30%","")</f>
        <v/>
      </c>
      <c r="I55" s="433">
        <f>IF(I48&lt;E48,E48/I48-1,I48/E48-1)</f>
        <v>7.8520125802943319E-3</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95</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3713</v>
      </c>
      <c r="D66" s="512" t="s">
        <v>3714</v>
      </c>
      <c r="E66" s="512" t="s">
        <v>3715</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95</v>
      </c>
      <c r="E78" s="474">
        <f>D78-$K15</f>
        <v>90</v>
      </c>
      <c r="F78" s="474">
        <f>E78-$K15</f>
        <v>85</v>
      </c>
      <c r="G78" s="474">
        <f>F78-$K15</f>
        <v>80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96</v>
      </c>
      <c r="E80" s="474">
        <f>D80-$K17</f>
        <v>92</v>
      </c>
      <c r="F80" s="474">
        <f>E80-$K17</f>
        <v>88</v>
      </c>
      <c r="G80" s="474">
        <f>F80-$K17</f>
        <v>84</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96</v>
      </c>
      <c r="E82" s="474">
        <f>D82-$K19</f>
        <v>92</v>
      </c>
      <c r="F82" s="474">
        <f>E82-$K19</f>
        <v>88</v>
      </c>
      <c r="G82" s="474">
        <f>F82-$K19</f>
        <v>84</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95</v>
      </c>
      <c r="E86" s="474">
        <f>D86-$K23</f>
        <v>90</v>
      </c>
      <c r="F86" s="474">
        <f>E86-$K23</f>
        <v>85</v>
      </c>
      <c r="G86" s="474">
        <f>F86-$K23</f>
        <v>80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1" t="s">
        <v>3716</v>
      </c>
      <c r="D87" s="3161" t="s">
        <v>3717</v>
      </c>
      <c r="E87" s="3161" t="s">
        <v>3718</v>
      </c>
      <c r="F87" s="3161" t="s">
        <v>3719</v>
      </c>
      <c r="G87" s="3161" t="s">
        <v>3720</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3737</v>
      </c>
      <c r="G93" s="484" t="s">
        <v>3738</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f>C94-$K$15</f>
        <v>95</v>
      </c>
      <c r="E94" s="466">
        <f t="shared" ref="E94:G94" si="39">D94-$K$15</f>
        <v>90</v>
      </c>
      <c r="F94" s="466">
        <f t="shared" si="39"/>
        <v>85</v>
      </c>
      <c r="G94" s="466">
        <f t="shared" si="39"/>
        <v>80</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 t="shared" ref="E105:F105" si="42">D105-1</f>
        <v>98</v>
      </c>
      <c r="F105" s="466">
        <f t="shared" si="42"/>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3">C107-$K35</f>
        <v>98</v>
      </c>
      <c r="E107" s="474">
        <f t="shared" si="43"/>
        <v>96</v>
      </c>
      <c r="F107" s="474">
        <f t="shared" si="43"/>
        <v>94</v>
      </c>
      <c r="G107" s="474">
        <f t="shared" si="43"/>
        <v>92</v>
      </c>
      <c r="H107" s="474">
        <f t="shared" si="43"/>
        <v>90</v>
      </c>
      <c r="I107" s="474">
        <f t="shared" si="43"/>
        <v>88</v>
      </c>
      <c r="J107" s="474">
        <f t="shared" si="43"/>
        <v>86</v>
      </c>
      <c r="K107" s="474">
        <f t="shared" si="43"/>
        <v>84</v>
      </c>
      <c r="L107" s="474">
        <f t="shared" si="43"/>
        <v>82</v>
      </c>
      <c r="M107" s="475">
        <f t="shared" si="43"/>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4">C109-$K36</f>
        <v>98</v>
      </c>
      <c r="E109" s="474">
        <f t="shared" si="44"/>
        <v>96</v>
      </c>
      <c r="F109" s="474">
        <f t="shared" si="44"/>
        <v>94</v>
      </c>
      <c r="G109" s="474">
        <f t="shared" si="44"/>
        <v>92</v>
      </c>
      <c r="H109" s="474">
        <f t="shared" si="44"/>
        <v>90</v>
      </c>
      <c r="I109" s="474">
        <f t="shared" si="44"/>
        <v>88</v>
      </c>
      <c r="J109" s="474">
        <f t="shared" si="44"/>
        <v>86</v>
      </c>
      <c r="K109" s="474">
        <f t="shared" si="44"/>
        <v>84</v>
      </c>
      <c r="L109" s="474">
        <f t="shared" si="44"/>
        <v>82</v>
      </c>
      <c r="M109" s="475">
        <f t="shared" si="44"/>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102</v>
      </c>
      <c r="E112" s="474">
        <f t="shared" ref="E112:M112" si="45">D112+$K37</f>
        <v>104</v>
      </c>
      <c r="F112" s="474">
        <f t="shared" si="45"/>
        <v>106</v>
      </c>
      <c r="G112" s="474">
        <f t="shared" si="45"/>
        <v>108</v>
      </c>
      <c r="H112" s="474">
        <f t="shared" si="45"/>
        <v>110</v>
      </c>
      <c r="I112" s="474">
        <f t="shared" si="45"/>
        <v>112</v>
      </c>
      <c r="J112" s="474">
        <f t="shared" si="45"/>
        <v>114</v>
      </c>
      <c r="K112" s="474">
        <f t="shared" si="45"/>
        <v>116</v>
      </c>
      <c r="L112" s="474">
        <f t="shared" si="45"/>
        <v>118</v>
      </c>
      <c r="M112" s="474">
        <f t="shared" si="45"/>
        <v>120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6">D114-$K38</f>
        <v>100</v>
      </c>
      <c r="F114" s="474">
        <f t="shared" si="46"/>
        <v>100</v>
      </c>
      <c r="G114" s="474">
        <f t="shared" si="46"/>
        <v>100</v>
      </c>
      <c r="H114" s="474">
        <f t="shared" si="46"/>
        <v>100</v>
      </c>
      <c r="I114" s="474">
        <f t="shared" si="46"/>
        <v>100</v>
      </c>
      <c r="J114" s="474">
        <f t="shared" si="46"/>
        <v>100</v>
      </c>
      <c r="K114" s="474">
        <f t="shared" si="46"/>
        <v>100</v>
      </c>
      <c r="L114" s="474">
        <f t="shared" si="46"/>
        <v>100</v>
      </c>
      <c r="M114" s="474">
        <f t="shared" si="46"/>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7">C116-$K39</f>
        <v>97</v>
      </c>
      <c r="E116" s="474">
        <f t="shared" si="47"/>
        <v>94</v>
      </c>
      <c r="F116" s="474">
        <f t="shared" si="47"/>
        <v>91</v>
      </c>
      <c r="G116" s="474">
        <f t="shared" si="47"/>
        <v>88</v>
      </c>
      <c r="H116" s="474">
        <f t="shared" si="47"/>
        <v>85</v>
      </c>
      <c r="I116" s="474">
        <f t="shared" si="47"/>
        <v>82</v>
      </c>
      <c r="J116" s="474">
        <f t="shared" si="47"/>
        <v>79</v>
      </c>
      <c r="K116" s="474">
        <f t="shared" si="47"/>
        <v>76</v>
      </c>
      <c r="L116" s="474">
        <f t="shared" si="47"/>
        <v>73</v>
      </c>
      <c r="M116" s="475">
        <f t="shared" si="47"/>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8">D120-$K41</f>
        <v>100</v>
      </c>
      <c r="F120" s="474">
        <f t="shared" si="48"/>
        <v>100</v>
      </c>
      <c r="G120" s="474">
        <f t="shared" si="48"/>
        <v>100</v>
      </c>
      <c r="H120" s="474">
        <f t="shared" si="48"/>
        <v>100</v>
      </c>
      <c r="I120" s="474">
        <f t="shared" si="48"/>
        <v>100</v>
      </c>
      <c r="J120" s="474">
        <f t="shared" si="48"/>
        <v>100</v>
      </c>
      <c r="K120" s="474">
        <f t="shared" si="48"/>
        <v>100</v>
      </c>
      <c r="L120" s="474">
        <f t="shared" si="48"/>
        <v>100</v>
      </c>
      <c r="M120" s="474">
        <f t="shared" si="48"/>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3704</v>
      </c>
      <c r="D123" s="484" t="s">
        <v>3708</v>
      </c>
      <c r="E123" s="484" t="s">
        <v>3721</v>
      </c>
      <c r="F123" s="512" t="s">
        <v>3707</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9">C124-$K43</f>
        <v>97</v>
      </c>
      <c r="E124" s="474">
        <f t="shared" si="49"/>
        <v>94</v>
      </c>
      <c r="F124" s="474">
        <f t="shared" si="49"/>
        <v>91</v>
      </c>
      <c r="G124" s="474">
        <f t="shared" si="49"/>
        <v>88</v>
      </c>
      <c r="H124" s="474">
        <f t="shared" si="49"/>
        <v>85</v>
      </c>
      <c r="I124" s="474">
        <f t="shared" si="49"/>
        <v>82</v>
      </c>
      <c r="J124" s="474">
        <f t="shared" si="49"/>
        <v>79</v>
      </c>
      <c r="K124" s="474">
        <f t="shared" si="49"/>
        <v>76</v>
      </c>
      <c r="L124" s="474">
        <f t="shared" si="49"/>
        <v>73</v>
      </c>
      <c r="M124" s="475">
        <f t="shared" si="49"/>
        <v>70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3175">
        <v>0</v>
      </c>
      <c r="D127" s="3175" t="s">
        <v>3834</v>
      </c>
      <c r="E127" s="3175" t="s">
        <v>3837</v>
      </c>
      <c r="F127" s="3175" t="s">
        <v>3836</v>
      </c>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f>C128+2</f>
        <v>102</v>
      </c>
      <c r="E128" s="466">
        <f t="shared" ref="E128:F128" si="50">D128+2</f>
        <v>104</v>
      </c>
      <c r="F128" s="466">
        <f t="shared" si="50"/>
        <v>106</v>
      </c>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t="str">
        <f>B46</f>
        <v>产权单一</v>
      </c>
      <c r="C129" s="3161" t="s">
        <v>3832</v>
      </c>
      <c r="D129" s="3161" t="s">
        <v>3833</v>
      </c>
      <c r="E129" s="3175"/>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v>100</v>
      </c>
      <c r="D130" s="490">
        <v>95</v>
      </c>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row r="134" spans="1:29">
      <c r="E134" s="3195" t="s">
        <v>3835</v>
      </c>
      <c r="F134" s="3195" t="s">
        <v>3779</v>
      </c>
    </row>
    <row r="135" spans="1:29">
      <c r="D135" s="3195" t="s">
        <v>3777</v>
      </c>
      <c r="E135" s="346">
        <v>50000</v>
      </c>
      <c r="F135" s="3196">
        <f>1-F136</f>
        <v>0.94579414245337623</v>
      </c>
    </row>
    <row r="136" spans="1:29">
      <c r="D136" s="3195" t="s">
        <v>3778</v>
      </c>
      <c r="E136" s="346">
        <v>15000</v>
      </c>
      <c r="F136" s="3196">
        <f>华樾北京!K23</f>
        <v>5.4205857546623763E-2</v>
      </c>
      <c r="G136" s="346">
        <f>(E135*F135+E136*F136)/E135</f>
        <v>0.96205589971736338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t="e">
        <f ca="1">IF(D2="——",C52,C52-E2)</f>
        <v>#DIV/0!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#DIV/0!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#DIV/0!</v>
      </c>
      <c r="D5" s="202" t="s">
        <v>1469</v>
      </c>
      <c r="E5" s="203" t="s">
        <v>1470</v>
      </c>
      <c r="F5" s="203" t="s">
        <v>1471</v>
      </c>
      <c r="G5" s="204"/>
    </row>
    <row r="6" spans="1:9" s="205" customFormat="1" ht="13.5" customHeight="1">
      <c r="A6" s="731" t="s">
        <v>1472</v>
      </c>
      <c r="B6" s="206" t="s">
        <v>1473</v>
      </c>
      <c r="C6" s="207" t="e">
        <f ca="1">'基准地价（汇总）'!B2</f>
        <v>#DIV/0!</v>
      </c>
      <c r="D6" s="208"/>
      <c r="E6" s="209"/>
      <c r="F6" s="209"/>
      <c r="G6" s="210"/>
    </row>
    <row r="7" spans="1:9" s="205" customFormat="1" ht="13.5" customHeight="1">
      <c r="A7" s="731" t="s">
        <v>1474</v>
      </c>
      <c r="B7" s="206" t="s">
        <v>1475</v>
      </c>
      <c r="C7" s="211" t="e">
        <f ca="1">ROUND(C6*F7,0)</f>
        <v>#DIV/0!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t="e">
        <f ca="1">ROUND(SUM(C23:C25),0)</f>
        <v>#DIV/0!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#DIV/0!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#DIV/0!</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t="e">
        <f ca="1">C28</f>
        <v>#DIV/0!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t="e">
        <f ca="1">ROUND((C5+C19+C20)*F27*'数据-取费表'!B21/'数据-取费表'!B20,0)</f>
        <v>#DIV/0!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51" t="s">
        <v>1544</v>
      </c>
    </row>
    <row r="43" spans="1:7" ht="13.5" customHeight="1">
      <c r="A43" s="733" t="s">
        <v>347</v>
      </c>
      <c r="B43" s="206" t="s">
        <v>1545</v>
      </c>
      <c r="C43" s="229">
        <f ca="1">ROUND(IF('数据-取费表'!B22&lt;=1,C39*F22*'数据-取费表'!B21/2,C39*(POWER((1+F22),'数据-取费表'!B21/2)-1)),0)</f>
        <v>52</v>
      </c>
      <c r="D43" s="229"/>
      <c r="E43" s="229"/>
      <c r="F43" s="230"/>
      <c r="G43" s="3452"/>
    </row>
    <row r="44" spans="1:7" ht="13.5" customHeight="1">
      <c r="A44" s="733" t="s">
        <v>348</v>
      </c>
      <c r="B44" s="206" t="s">
        <v>1546</v>
      </c>
      <c r="C44" s="229">
        <f ca="1">ROUND(IF('数据-取费表'!B22&lt;=1,C40*F22*'数据-取费表'!B21/2,C40*(POWER((1+F22),'数据-取费表'!B21/2)-1)),4)</f>
        <v>1.1999999999999999E-3</v>
      </c>
      <c r="D44" s="229"/>
      <c r="E44" s="229"/>
      <c r="F44" s="230"/>
      <c r="G44" s="3453"/>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51" t="s">
        <v>1591</v>
      </c>
    </row>
    <row r="43" spans="1:7" ht="13.5" customHeight="1">
      <c r="A43" s="733" t="s">
        <v>347</v>
      </c>
      <c r="B43" s="206" t="s">
        <v>1545</v>
      </c>
      <c r="C43" s="229">
        <f ca="1">ROUND(IF('数据-取费表'!B22&lt;=1,C39*F22*'数据-取费表'!B20/2,C39*(POWER((1+F22),'数据-取费表'!B20/2)-1)),0)</f>
        <v>520671</v>
      </c>
      <c r="D43" s="229"/>
      <c r="E43" s="229"/>
      <c r="F43" s="230"/>
      <c r="G43" s="3452"/>
    </row>
    <row r="44" spans="1:7" ht="13.5" customHeight="1">
      <c r="A44" s="733" t="s">
        <v>348</v>
      </c>
      <c r="B44" s="206" t="s">
        <v>1546</v>
      </c>
      <c r="C44" s="229">
        <f ca="1">ROUND(IF('数据-取费表'!B22&lt;=1,C40*F22*'数据-取费表'!B20/2,C40*(POWER((1+F22),'数据-取费表'!B20/2)-1)),4)</f>
        <v>1.1999999999999999E-3</v>
      </c>
      <c r="D44" s="229"/>
      <c r="E44" s="229"/>
      <c r="F44" s="230"/>
      <c r="G44" s="3453"/>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
      <c r="B55" s="261" t="s">
        <v>1562</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61" t="s">
        <v>1775</v>
      </c>
      <c r="Q4" s="3462"/>
      <c r="R4" s="3465" t="s">
        <v>1771</v>
      </c>
      <c r="S4" s="3466"/>
      <c r="T4" s="3465" t="s">
        <v>1772</v>
      </c>
      <c r="U4" s="3466"/>
      <c r="V4" s="3403" t="s">
        <v>1773</v>
      </c>
      <c r="W4" s="3403"/>
      <c r="X4" s="1264"/>
      <c r="Y4" s="3465" t="s">
        <v>1775</v>
      </c>
      <c r="Z4" s="3466"/>
      <c r="AA4" s="3460" t="s">
        <v>1771</v>
      </c>
      <c r="AB4" s="3447" t="s">
        <v>1772</v>
      </c>
      <c r="AC4" s="3460" t="s">
        <v>1773</v>
      </c>
    </row>
    <row r="5" spans="1:29" ht="43.5" customHeight="1">
      <c r="A5" s="347"/>
      <c r="B5" s="348"/>
      <c r="C5" s="3467" t="s">
        <v>1673</v>
      </c>
      <c r="D5" s="3439"/>
      <c r="E5" s="3449" t="s">
        <v>3665</v>
      </c>
      <c r="F5" s="3450"/>
      <c r="G5" s="3438" t="s">
        <v>3664</v>
      </c>
      <c r="H5" s="3439"/>
      <c r="I5" s="3438" t="s">
        <v>3663</v>
      </c>
      <c r="J5" s="3439"/>
      <c r="K5" s="536"/>
      <c r="L5" s="2485"/>
      <c r="M5" s="2486"/>
      <c r="N5" s="2486"/>
      <c r="O5" s="2486"/>
      <c r="P5" s="3463"/>
      <c r="Q5" s="3426"/>
      <c r="R5" s="3431"/>
      <c r="S5" s="3432"/>
      <c r="T5" s="3431"/>
      <c r="U5" s="3432"/>
      <c r="V5" s="3403"/>
      <c r="W5" s="3403"/>
      <c r="X5" s="1264"/>
      <c r="Y5" s="3431"/>
      <c r="Z5" s="3432"/>
      <c r="AA5" s="3447"/>
      <c r="AB5" s="3447"/>
      <c r="AC5" s="3447"/>
    </row>
    <row r="6" spans="1:29" ht="15.75" thickBot="1">
      <c r="A6" s="349"/>
      <c r="B6" s="350"/>
      <c r="C6" s="3436" t="s">
        <v>1677</v>
      </c>
      <c r="D6" s="3437"/>
      <c r="E6" s="3444" t="s">
        <v>1677</v>
      </c>
      <c r="F6" s="3445"/>
      <c r="G6" s="3436" t="s">
        <v>1677</v>
      </c>
      <c r="H6" s="3437"/>
      <c r="I6" s="3436" t="s">
        <v>1677</v>
      </c>
      <c r="J6" s="3437"/>
      <c r="K6" s="536" t="s">
        <v>1678</v>
      </c>
      <c r="L6" s="2485"/>
      <c r="M6" s="2486"/>
      <c r="N6" s="2486"/>
      <c r="O6" s="2486"/>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442" t="s">
        <v>1680</v>
      </c>
      <c r="Q7" s="3443"/>
      <c r="R7" s="663" t="s">
        <v>14</v>
      </c>
      <c r="S7" s="664">
        <f t="shared" ref="S7:S15" si="0">F7</f>
        <v>100</v>
      </c>
      <c r="T7" s="663" t="s">
        <v>14</v>
      </c>
      <c r="U7" s="664">
        <f t="shared" ref="U7:U15" si="1">H7</f>
        <v>99</v>
      </c>
      <c r="V7" s="663" t="s">
        <v>14</v>
      </c>
      <c r="W7" s="664">
        <f t="shared" ref="W7:W15" si="2">J7</f>
        <v>98</v>
      </c>
      <c r="X7" s="665"/>
      <c r="Y7" s="3442" t="s">
        <v>1680</v>
      </c>
      <c r="Z7" s="3441"/>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442" t="s">
        <v>1683</v>
      </c>
      <c r="Q8" s="3441"/>
      <c r="R8" s="663" t="s">
        <v>14</v>
      </c>
      <c r="S8" s="664">
        <f t="shared" si="0"/>
        <v>100</v>
      </c>
      <c r="T8" s="663" t="s">
        <v>14</v>
      </c>
      <c r="U8" s="664">
        <f t="shared" si="1"/>
        <v>100</v>
      </c>
      <c r="V8" s="663" t="s">
        <v>14</v>
      </c>
      <c r="W8" s="664">
        <f t="shared" si="2"/>
        <v>100</v>
      </c>
      <c r="X8" s="665"/>
      <c r="Y8" s="3442" t="s">
        <v>1683</v>
      </c>
      <c r="Z8" s="3441"/>
      <c r="AA8" s="49">
        <f t="shared" ref="AA8:AA45" si="3">D8/F8</f>
        <v>1</v>
      </c>
      <c r="AB8" s="49">
        <f t="shared" ref="AB8:AB45" si="4">D8/H8</f>
        <v>1</v>
      </c>
      <c r="AC8" s="49">
        <f t="shared" ref="AC8:AC45" si="5">D8/J8</f>
        <v>1</v>
      </c>
    </row>
    <row r="9" spans="1:29" s="101" customFormat="1" ht="27.7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402" t="s">
        <v>1686</v>
      </c>
      <c r="Q9" s="529" t="str">
        <f t="shared" ref="Q9:Q15" si="6">B9</f>
        <v>用途</v>
      </c>
      <c r="R9" s="663" t="s">
        <v>14</v>
      </c>
      <c r="S9" s="664">
        <f t="shared" si="0"/>
        <v>100</v>
      </c>
      <c r="T9" s="663" t="s">
        <v>14</v>
      </c>
      <c r="U9" s="664">
        <f t="shared" si="1"/>
        <v>100</v>
      </c>
      <c r="V9" s="663" t="s">
        <v>14</v>
      </c>
      <c r="W9" s="664">
        <f t="shared" si="2"/>
        <v>100</v>
      </c>
      <c r="X9" s="665"/>
      <c r="Y9" s="3308"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402"/>
      <c r="Q10" s="529" t="str">
        <f t="shared" si="6"/>
        <v>土地使用年限（年）</v>
      </c>
      <c r="R10" s="663" t="s">
        <v>14</v>
      </c>
      <c r="S10" s="664">
        <f t="shared" si="0"/>
        <v>119</v>
      </c>
      <c r="T10" s="663" t="s">
        <v>14</v>
      </c>
      <c r="U10" s="664">
        <f t="shared" si="1"/>
        <v>119</v>
      </c>
      <c r="V10" s="663" t="s">
        <v>14</v>
      </c>
      <c r="W10" s="664">
        <f t="shared" si="2"/>
        <v>119</v>
      </c>
      <c r="X10" s="665"/>
      <c r="Y10" s="3308"/>
      <c r="Z10" s="49" t="str">
        <f t="shared" si="7"/>
        <v>土地使用年限（年）</v>
      </c>
      <c r="AA10" s="49">
        <f t="shared" si="3"/>
        <v>0.84033613445378152</v>
      </c>
      <c r="AB10" s="49">
        <f t="shared" si="4"/>
        <v>0.84033613445378152</v>
      </c>
      <c r="AC10" s="49">
        <f t="shared" si="5"/>
        <v>0.84033613445378152</v>
      </c>
    </row>
    <row r="11" spans="1:29" ht="15">
      <c r="A11" s="366"/>
      <c r="B11" s="363" t="s">
        <v>1689</v>
      </c>
      <c r="C11" s="367" t="e">
        <f>'数据-汇总表'!I6</f>
        <v>#DIV/0!</v>
      </c>
      <c r="D11" s="118">
        <v>100</v>
      </c>
      <c r="E11" s="367">
        <v>1.76</v>
      </c>
      <c r="F11" s="118" t="e">
        <f>LOOKUP(E11,79:79,80:80)-LOOKUP(C11,79:79,80:80)+100</f>
        <v>#DIV/0!</v>
      </c>
      <c r="G11" s="368">
        <v>4.5</v>
      </c>
      <c r="H11" s="118" t="e">
        <f>LOOKUP(G11,79:79,80:80)-LOOKUP(C11,79:79,80:80)+100</f>
        <v>#DIV/0!</v>
      </c>
      <c r="I11" s="367">
        <v>4.3899999999999997</v>
      </c>
      <c r="J11" s="118" t="e">
        <f>LOOKUP(I11,79:79,80:80)-LOOKUP(C11,79:79,80:80)+100</f>
        <v>#DIV/0!</v>
      </c>
      <c r="K11" s="592">
        <v>3</v>
      </c>
      <c r="L11" s="2490"/>
      <c r="M11" s="2486"/>
      <c r="N11" s="2486"/>
      <c r="O11" s="2541"/>
      <c r="P11" s="3402"/>
      <c r="Q11" s="529" t="str">
        <f t="shared" si="6"/>
        <v>容积率</v>
      </c>
      <c r="R11" s="663" t="s">
        <v>14</v>
      </c>
      <c r="S11" s="664" t="e">
        <f t="shared" si="0"/>
        <v>#DIV/0!</v>
      </c>
      <c r="T11" s="663" t="s">
        <v>14</v>
      </c>
      <c r="U11" s="664" t="e">
        <f t="shared" si="1"/>
        <v>#DIV/0!</v>
      </c>
      <c r="V11" s="663" t="s">
        <v>14</v>
      </c>
      <c r="W11" s="664" t="e">
        <f t="shared" si="2"/>
        <v>#DIV/0!</v>
      </c>
      <c r="X11" s="665"/>
      <c r="Y11" s="3308"/>
      <c r="Z11" s="49" t="str">
        <f t="shared" si="7"/>
        <v>容积率</v>
      </c>
      <c r="AA11" s="49" t="e">
        <f t="shared" si="3"/>
        <v>#DIV/0!</v>
      </c>
      <c r="AB11" s="49" t="e">
        <f t="shared" si="4"/>
        <v>#DIV/0!</v>
      </c>
      <c r="AC11" s="49" t="e">
        <f t="shared" si="5"/>
        <v>#DIV/0!</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02"/>
      <c r="Q12" s="529">
        <f t="shared" si="6"/>
        <v>0</v>
      </c>
      <c r="R12" s="663" t="s">
        <v>14</v>
      </c>
      <c r="S12" s="664">
        <f t="shared" si="0"/>
        <v>100</v>
      </c>
      <c r="T12" s="663" t="s">
        <v>14</v>
      </c>
      <c r="U12" s="664">
        <f t="shared" si="1"/>
        <v>100</v>
      </c>
      <c r="V12" s="663" t="s">
        <v>14</v>
      </c>
      <c r="W12" s="664">
        <f t="shared" si="2"/>
        <v>100</v>
      </c>
      <c r="X12" s="665"/>
      <c r="Y12" s="3308"/>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02"/>
      <c r="Q13" s="529">
        <f t="shared" si="6"/>
        <v>0</v>
      </c>
      <c r="R13" s="663" t="s">
        <v>14</v>
      </c>
      <c r="S13" s="664">
        <f t="shared" si="0"/>
        <v>100</v>
      </c>
      <c r="T13" s="663" t="s">
        <v>14</v>
      </c>
      <c r="U13" s="664">
        <f t="shared" si="1"/>
        <v>100</v>
      </c>
      <c r="V13" s="663" t="s">
        <v>14</v>
      </c>
      <c r="W13" s="664">
        <f t="shared" si="2"/>
        <v>100</v>
      </c>
      <c r="X13" s="665"/>
      <c r="Y13" s="3308"/>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02"/>
      <c r="Q14" s="529">
        <f t="shared" si="6"/>
        <v>0</v>
      </c>
      <c r="R14" s="663" t="s">
        <v>14</v>
      </c>
      <c r="S14" s="664">
        <f t="shared" si="0"/>
        <v>100</v>
      </c>
      <c r="T14" s="663" t="s">
        <v>14</v>
      </c>
      <c r="U14" s="664">
        <f t="shared" si="1"/>
        <v>100</v>
      </c>
      <c r="V14" s="663" t="s">
        <v>14</v>
      </c>
      <c r="W14" s="664">
        <f t="shared" si="2"/>
        <v>100</v>
      </c>
      <c r="X14" s="665"/>
      <c r="Y14" s="3308"/>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09" t="s">
        <v>1691</v>
      </c>
      <c r="Q15" s="1262" t="str">
        <f t="shared" si="6"/>
        <v>居住社区成熟度</v>
      </c>
      <c r="R15" s="666" t="s">
        <v>14</v>
      </c>
      <c r="S15" s="667">
        <f t="shared" si="0"/>
        <v>100</v>
      </c>
      <c r="T15" s="666" t="s">
        <v>14</v>
      </c>
      <c r="U15" s="667">
        <f t="shared" si="1"/>
        <v>100</v>
      </c>
      <c r="V15" s="666" t="s">
        <v>14</v>
      </c>
      <c r="W15" s="667">
        <f t="shared" si="2"/>
        <v>100</v>
      </c>
      <c r="X15" s="1264"/>
      <c r="Y15" s="3409"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410"/>
      <c r="Q16" s="1262"/>
      <c r="R16" s="666"/>
      <c r="S16" s="667"/>
      <c r="T16" s="666"/>
      <c r="U16" s="667"/>
      <c r="V16" s="666"/>
      <c r="W16" s="667"/>
      <c r="X16" s="1264"/>
      <c r="Y16" s="3410"/>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410"/>
      <c r="Q18" s="1262"/>
      <c r="R18" s="666"/>
      <c r="S18" s="667"/>
      <c r="T18" s="666"/>
      <c r="U18" s="667"/>
      <c r="V18" s="666"/>
      <c r="W18" s="667"/>
      <c r="X18" s="1264"/>
      <c r="Y18" s="3410"/>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10"/>
      <c r="Q19" s="1262" t="str">
        <f>B19</f>
        <v>办公集聚程度</v>
      </c>
      <c r="R19" s="666" t="s">
        <v>14</v>
      </c>
      <c r="S19" s="667">
        <f>F19</f>
        <v>96</v>
      </c>
      <c r="T19" s="666" t="s">
        <v>14</v>
      </c>
      <c r="U19" s="667">
        <f>H19</f>
        <v>104</v>
      </c>
      <c r="V19" s="666" t="s">
        <v>14</v>
      </c>
      <c r="W19" s="667">
        <f>J19</f>
        <v>96</v>
      </c>
      <c r="X19" s="1264"/>
      <c r="Y19" s="3410"/>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410"/>
      <c r="Q20" s="1262"/>
      <c r="R20" s="666"/>
      <c r="S20" s="667"/>
      <c r="T20" s="666"/>
      <c r="U20" s="667"/>
      <c r="V20" s="666"/>
      <c r="W20" s="667"/>
      <c r="X20" s="1264"/>
      <c r="Y20" s="3410"/>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410"/>
      <c r="Q22" s="1262"/>
      <c r="R22" s="666"/>
      <c r="S22" s="667"/>
      <c r="T22" s="666"/>
      <c r="U22" s="667"/>
      <c r="V22" s="666"/>
      <c r="W22" s="667"/>
      <c r="X22" s="1264"/>
      <c r="Y22" s="3410"/>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410"/>
      <c r="Q24" s="1262"/>
      <c r="R24" s="666"/>
      <c r="S24" s="667"/>
      <c r="T24" s="666"/>
      <c r="U24" s="667"/>
      <c r="V24" s="666"/>
      <c r="W24" s="667"/>
      <c r="X24" s="1264"/>
      <c r="Y24" s="3410"/>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10"/>
      <c r="Q25" s="1262" t="str">
        <f t="shared" si="8"/>
        <v>自然及人文环境状况</v>
      </c>
      <c r="R25" s="666" t="s">
        <v>14</v>
      </c>
      <c r="S25" s="667">
        <f>F25</f>
        <v>97</v>
      </c>
      <c r="T25" s="666" t="s">
        <v>14</v>
      </c>
      <c r="U25" s="667">
        <f>H25</f>
        <v>97</v>
      </c>
      <c r="V25" s="666" t="s">
        <v>14</v>
      </c>
      <c r="W25" s="667">
        <f>J25</f>
        <v>94</v>
      </c>
      <c r="X25" s="1264"/>
      <c r="Y25" s="3410"/>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410"/>
      <c r="Q26" s="1262"/>
      <c r="R26" s="666"/>
      <c r="S26" s="667"/>
      <c r="T26" s="666"/>
      <c r="U26" s="667"/>
      <c r="V26" s="666"/>
      <c r="W26" s="667"/>
      <c r="X26" s="1264"/>
      <c r="Y26" s="3410"/>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10"/>
      <c r="Q27" s="529" t="str">
        <f t="shared" si="8"/>
        <v>公共配套设施</v>
      </c>
      <c r="R27" s="663" t="s">
        <v>14</v>
      </c>
      <c r="S27" s="664">
        <f>F27</f>
        <v>100</v>
      </c>
      <c r="T27" s="663" t="s">
        <v>14</v>
      </c>
      <c r="U27" s="664">
        <f>H27</f>
        <v>100</v>
      </c>
      <c r="V27" s="663" t="s">
        <v>14</v>
      </c>
      <c r="W27" s="664">
        <f>J27</f>
        <v>100</v>
      </c>
      <c r="X27" s="665"/>
      <c r="Y27" s="3410"/>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410"/>
      <c r="Q28" s="529"/>
      <c r="R28" s="663"/>
      <c r="S28" s="664"/>
      <c r="T28" s="663"/>
      <c r="U28" s="664"/>
      <c r="V28" s="663"/>
      <c r="W28" s="664"/>
      <c r="X28" s="665"/>
      <c r="Y28" s="3410"/>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10"/>
      <c r="Q29" s="529" t="str">
        <f t="shared" ref="Q29" si="9">B29</f>
        <v>基础设施水平</v>
      </c>
      <c r="R29" s="663" t="s">
        <v>14</v>
      </c>
      <c r="S29" s="664">
        <f>F29</f>
        <v>100</v>
      </c>
      <c r="T29" s="663" t="s">
        <v>14</v>
      </c>
      <c r="U29" s="664">
        <f>H29</f>
        <v>100</v>
      </c>
      <c r="V29" s="663" t="s">
        <v>14</v>
      </c>
      <c r="W29" s="664">
        <f>J29</f>
        <v>100</v>
      </c>
      <c r="X29" s="665"/>
      <c r="Y29" s="3410"/>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410"/>
      <c r="Q30" s="529"/>
      <c r="R30" s="663"/>
      <c r="S30" s="664"/>
      <c r="T30" s="663"/>
      <c r="U30" s="664"/>
      <c r="V30" s="663"/>
      <c r="W30" s="664"/>
      <c r="X30" s="665"/>
      <c r="Y30" s="3410"/>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410"/>
      <c r="Q33" s="1262"/>
      <c r="R33" s="666"/>
      <c r="S33" s="667"/>
      <c r="T33" s="666"/>
      <c r="U33" s="667"/>
      <c r="V33" s="666"/>
      <c r="W33" s="667"/>
      <c r="X33" s="1264"/>
      <c r="Y33" s="3410"/>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10"/>
      <c r="Q35" s="1262">
        <f t="shared" si="8"/>
        <v>0</v>
      </c>
      <c r="R35" s="666" t="s">
        <v>14</v>
      </c>
      <c r="S35" s="667">
        <f t="shared" si="10"/>
        <v>100</v>
      </c>
      <c r="T35" s="666" t="s">
        <v>14</v>
      </c>
      <c r="U35" s="667">
        <f t="shared" si="11"/>
        <v>100</v>
      </c>
      <c r="V35" s="666" t="s">
        <v>14</v>
      </c>
      <c r="W35" s="667">
        <f t="shared" si="12"/>
        <v>100</v>
      </c>
      <c r="X35" s="1264"/>
      <c r="Y35" s="3410"/>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59" t="s">
        <v>1696</v>
      </c>
      <c r="Q36" s="1262">
        <f t="shared" si="8"/>
        <v>0</v>
      </c>
      <c r="R36" s="666" t="s">
        <v>14</v>
      </c>
      <c r="S36" s="667">
        <f t="shared" si="10"/>
        <v>100</v>
      </c>
      <c r="T36" s="666" t="s">
        <v>14</v>
      </c>
      <c r="U36" s="667">
        <f t="shared" si="11"/>
        <v>100</v>
      </c>
      <c r="V36" s="666" t="s">
        <v>14</v>
      </c>
      <c r="W36" s="667">
        <f t="shared" si="12"/>
        <v>100</v>
      </c>
      <c r="X36" s="1264"/>
      <c r="Y36" s="3414"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14"/>
      <c r="Q37" s="1262">
        <f t="shared" si="8"/>
        <v>0</v>
      </c>
      <c r="R37" s="668" t="s">
        <v>14</v>
      </c>
      <c r="S37" s="669">
        <f t="shared" si="10"/>
        <v>100</v>
      </c>
      <c r="T37" s="668" t="s">
        <v>14</v>
      </c>
      <c r="U37" s="669">
        <f t="shared" si="11"/>
        <v>100</v>
      </c>
      <c r="V37" s="668" t="s">
        <v>14</v>
      </c>
      <c r="W37" s="669">
        <f t="shared" si="12"/>
        <v>100</v>
      </c>
      <c r="X37" s="670"/>
      <c r="Y37" s="3414"/>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14"/>
      <c r="Q38" s="1262" t="str">
        <f>B38</f>
        <v>宗地面积</v>
      </c>
      <c r="R38" s="666" t="s">
        <v>14</v>
      </c>
      <c r="S38" s="667">
        <f t="shared" si="10"/>
        <v>98</v>
      </c>
      <c r="T38" s="666" t="s">
        <v>14</v>
      </c>
      <c r="U38" s="667">
        <f t="shared" si="11"/>
        <v>99</v>
      </c>
      <c r="V38" s="666" t="s">
        <v>14</v>
      </c>
      <c r="W38" s="667">
        <f t="shared" si="12"/>
        <v>99</v>
      </c>
      <c r="X38" s="1264"/>
      <c r="Y38" s="3414"/>
      <c r="Z38" s="1263" t="str">
        <f t="shared" si="13"/>
        <v>宗地面积</v>
      </c>
      <c r="AA38" s="1263">
        <f t="shared" si="3"/>
        <v>1.0204081632653061</v>
      </c>
      <c r="AB38" s="1263">
        <f t="shared" si="4"/>
        <v>1.0101010101010102</v>
      </c>
      <c r="AC38" s="1263">
        <f t="shared" si="5"/>
        <v>1.0101010101010102</v>
      </c>
    </row>
    <row r="39" spans="1:29" ht="1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1" customFormat="1" ht="1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14"/>
      <c r="Q41" s="1262" t="str">
        <f t="shared" si="14"/>
        <v>宗地开发程度</v>
      </c>
      <c r="R41" s="663" t="s">
        <v>14</v>
      </c>
      <c r="S41" s="664">
        <f t="shared" si="10"/>
        <v>97</v>
      </c>
      <c r="T41" s="663" t="s">
        <v>14</v>
      </c>
      <c r="U41" s="664">
        <f t="shared" si="11"/>
        <v>97</v>
      </c>
      <c r="V41" s="663" t="s">
        <v>14</v>
      </c>
      <c r="W41" s="664">
        <f t="shared" si="12"/>
        <v>97</v>
      </c>
      <c r="X41" s="665"/>
      <c r="Y41" s="3414"/>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14" t="s">
        <v>1696</v>
      </c>
      <c r="Q42" s="1262" t="str">
        <f t="shared" si="14"/>
        <v>工程地质条件</v>
      </c>
      <c r="R42" s="666" t="s">
        <v>14</v>
      </c>
      <c r="S42" s="667">
        <f t="shared" si="10"/>
        <v>100</v>
      </c>
      <c r="T42" s="666" t="s">
        <v>14</v>
      </c>
      <c r="U42" s="667">
        <f t="shared" si="11"/>
        <v>100</v>
      </c>
      <c r="V42" s="666" t="s">
        <v>14</v>
      </c>
      <c r="W42" s="667">
        <f t="shared" si="12"/>
        <v>100</v>
      </c>
      <c r="X42" s="1264"/>
      <c r="Y42" s="3414"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14"/>
      <c r="Q43" s="1262">
        <f t="shared" si="14"/>
        <v>0</v>
      </c>
      <c r="R43" s="666" t="s">
        <v>14</v>
      </c>
      <c r="S43" s="667">
        <f t="shared" si="10"/>
        <v>100</v>
      </c>
      <c r="T43" s="666" t="s">
        <v>14</v>
      </c>
      <c r="U43" s="667">
        <f t="shared" si="11"/>
        <v>100</v>
      </c>
      <c r="V43" s="666" t="s">
        <v>14</v>
      </c>
      <c r="W43" s="667">
        <f t="shared" si="12"/>
        <v>100</v>
      </c>
      <c r="X43" s="1264"/>
      <c r="Y43" s="3414"/>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14"/>
      <c r="Q44" s="1262">
        <f t="shared" si="14"/>
        <v>0</v>
      </c>
      <c r="R44" s="666" t="s">
        <v>14</v>
      </c>
      <c r="S44" s="667">
        <f t="shared" si="10"/>
        <v>100</v>
      </c>
      <c r="T44" s="666" t="s">
        <v>14</v>
      </c>
      <c r="U44" s="667">
        <f t="shared" si="11"/>
        <v>100</v>
      </c>
      <c r="V44" s="666" t="s">
        <v>14</v>
      </c>
      <c r="W44" s="667">
        <f t="shared" si="12"/>
        <v>100</v>
      </c>
      <c r="X44" s="1264"/>
      <c r="Y44" s="3414"/>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14"/>
      <c r="Q45" s="1262">
        <f t="shared" si="14"/>
        <v>0</v>
      </c>
      <c r="R45" s="668" t="s">
        <v>14</v>
      </c>
      <c r="S45" s="669">
        <f t="shared" si="10"/>
        <v>100</v>
      </c>
      <c r="T45" s="668" t="s">
        <v>14</v>
      </c>
      <c r="U45" s="669">
        <f t="shared" si="11"/>
        <v>100</v>
      </c>
      <c r="V45" s="668" t="s">
        <v>14</v>
      </c>
      <c r="W45" s="669">
        <f t="shared" si="12"/>
        <v>100</v>
      </c>
      <c r="X45" s="670"/>
      <c r="Y45" s="3414"/>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402" t="str">
        <f>A46</f>
        <v>成交单价</v>
      </c>
      <c r="Q46" s="3402"/>
      <c r="R46" s="3403">
        <f>E46</f>
        <v>21421</v>
      </c>
      <c r="S46" s="3403"/>
      <c r="T46" s="3403">
        <f>G46</f>
        <v>28065</v>
      </c>
      <c r="U46" s="3403"/>
      <c r="V46" s="3403">
        <f>I46</f>
        <v>23078</v>
      </c>
      <c r="W46" s="3403"/>
      <c r="X46" s="384"/>
      <c r="Y46" s="672"/>
      <c r="Z46" s="384"/>
      <c r="AA46" s="384"/>
      <c r="AB46" s="384"/>
      <c r="AC46" s="384"/>
    </row>
    <row r="47" spans="1:29" ht="15.75" thickBot="1">
      <c r="A47" s="422" t="s">
        <v>1793</v>
      </c>
      <c r="B47" s="602"/>
      <c r="C47" s="425" t="e">
        <f>R48</f>
        <v>#DIV/0!</v>
      </c>
      <c r="D47" s="2140" t="s">
        <v>2136</v>
      </c>
      <c r="E47" s="425" t="e">
        <f>R47</f>
        <v>#DIV/0!</v>
      </c>
      <c r="F47" s="2141"/>
      <c r="G47" s="424" t="e">
        <f>T47</f>
        <v>#DIV/0!</v>
      </c>
      <c r="H47" s="2141"/>
      <c r="I47" s="425" t="e">
        <f>V47</f>
        <v>#DIV/0!</v>
      </c>
      <c r="J47" s="2141"/>
      <c r="K47" s="2143">
        <f>F47+H47+J47</f>
        <v>0</v>
      </c>
      <c r="L47" s="2493"/>
      <c r="M47" s="2486"/>
      <c r="N47" s="2486"/>
      <c r="O47" s="2486"/>
      <c r="P47" s="3402" t="str">
        <f>A47</f>
        <v>比较价值（元/平方米）</v>
      </c>
      <c r="Q47" s="3402"/>
      <c r="R47" s="3454" t="e">
        <f>ROUND(PRODUCT(R46,AA7:AA45),0)</f>
        <v>#DIV/0!</v>
      </c>
      <c r="S47" s="3454"/>
      <c r="T47" s="3454" t="e">
        <f>ROUND(PRODUCT(T46,AB7:AB45),0)</f>
        <v>#DIV/0!</v>
      </c>
      <c r="U47" s="3454"/>
      <c r="V47" s="3454" t="e">
        <f>ROUND(PRODUCT(V46,AC7:AC45),0)</f>
        <v>#DIV/0!</v>
      </c>
      <c r="W47" s="3454"/>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93"/>
      <c r="M48" s="2486"/>
      <c r="N48" s="2486"/>
      <c r="O48" s="2486"/>
      <c r="P48" s="3455" t="str">
        <f>A48</f>
        <v>估价对象XX用房的比较价值（楼面单价，元/平方米）</v>
      </c>
      <c r="Q48" s="3456"/>
      <c r="R48" s="3457" t="e">
        <f>ROUND(IF(D47="简单平均",AVERAGE(R47:W47),R47*F47+T47*H47+V47*J47),0)</f>
        <v>#DIV/0!</v>
      </c>
      <c r="S48" s="3457"/>
      <c r="T48" s="3457"/>
      <c r="U48" s="3457"/>
      <c r="V48" s="3457"/>
      <c r="W48" s="3457"/>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419" t="s">
        <v>1886</v>
      </c>
      <c r="H55" s="3458"/>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98928.560000000012</v>
      </c>
      <c r="F56" s="832" t="e">
        <f t="shared" ref="F56:F64" si="15">ROUND(B56*E56/10000,0)</f>
        <v>#DIV/0!</v>
      </c>
      <c r="G56" s="3401"/>
      <c r="H56" s="3402"/>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0.6</v>
      </c>
      <c r="D57" s="890">
        <v>0.25</v>
      </c>
      <c r="E57" s="613"/>
      <c r="F57" s="832" t="e">
        <f t="shared" si="15"/>
        <v>#DIV/0!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0.3</v>
      </c>
      <c r="D58" s="890">
        <v>0.25</v>
      </c>
      <c r="E58" s="613"/>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0.25</v>
      </c>
      <c r="D59" s="890">
        <v>0.25</v>
      </c>
      <c r="E59" s="613"/>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0.25</v>
      </c>
      <c r="D60" s="890">
        <v>0.25</v>
      </c>
      <c r="E60" s="208">
        <f>'数据-汇总表'!E11</f>
        <v>0</v>
      </c>
      <c r="F60" s="832" t="e">
        <f t="shared" si="15"/>
        <v>#DIV/0!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0.15</v>
      </c>
      <c r="D63" s="890">
        <v>0.25</v>
      </c>
      <c r="E63" s="208">
        <f>'数据-汇总表'!E14</f>
        <v>0</v>
      </c>
      <c r="F63" s="832" t="e">
        <f t="shared" si="15"/>
        <v>#DIV/0!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t="e">
        <f t="shared" si="17"/>
        <v>#DIV/0!</v>
      </c>
      <c r="C64" s="162">
        <f t="shared" si="16"/>
        <v>0.15</v>
      </c>
      <c r="D64" s="890">
        <v>0.25</v>
      </c>
      <c r="E64" s="208">
        <f>'数据-汇总表'!E15</f>
        <v>0</v>
      </c>
      <c r="F64" s="832" t="e">
        <f t="shared" si="15"/>
        <v>#DIV/0!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76"/>
      <c r="B4" s="3477"/>
      <c r="C4" s="3477"/>
      <c r="D4" s="3478"/>
      <c r="E4" s="3478"/>
      <c r="F4" s="3478"/>
      <c r="G4" s="3478"/>
      <c r="H4" s="3478"/>
      <c r="I4" s="3478"/>
      <c r="J4" s="3479"/>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80" t="s">
        <v>1959</v>
      </c>
      <c r="X8" s="348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82"/>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8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83" t="s">
        <v>3245</v>
      </c>
      <c r="B20" s="158" t="s">
        <v>1993</v>
      </c>
      <c r="C20" s="3030">
        <f>ROUND(IF(F21="与级别开发程度一致",0,(G21-E21)/C21),0)</f>
        <v>0</v>
      </c>
      <c r="D20" s="3045" t="s">
        <v>1997</v>
      </c>
      <c r="E20" s="3046"/>
      <c r="F20" s="3485" t="s">
        <v>1994</v>
      </c>
      <c r="G20" s="3486"/>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84"/>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t="e">
        <f>IF(B25="容积率修正",IF(G3&lt;10,D26,J26),C27)</f>
        <v>#DIV/0!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f>SUM(面积!B9:B20)</f>
        <v>66245.090000000011</v>
      </c>
      <c r="E33" s="726" t="e">
        <f>ROUND(C33*D33/10000,0)</f>
        <v>#DIV/0!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4"/>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5"/>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5"/>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68" t="s">
        <v>3284</v>
      </c>
      <c r="B103" s="3468"/>
      <c r="C103" s="3468"/>
      <c r="D103" s="3468"/>
      <c r="E103" s="3468"/>
      <c r="F103" s="3468"/>
      <c r="G103" s="3468"/>
      <c r="H103" s="3468"/>
      <c r="I103" s="3468"/>
      <c r="J103" s="3468"/>
      <c r="K103" s="1666"/>
      <c r="L103" s="1666"/>
      <c r="M103" s="1666"/>
      <c r="N103" s="1666"/>
    </row>
    <row r="104" spans="1:14">
      <c r="A104" s="3469" t="s">
        <v>3285</v>
      </c>
      <c r="B104" s="3469" t="s">
        <v>3286</v>
      </c>
      <c r="C104" s="3089" t="s">
        <v>3287</v>
      </c>
      <c r="D104" s="3090"/>
      <c r="E104" s="3090"/>
      <c r="F104" s="3090"/>
      <c r="G104" s="3090"/>
      <c r="H104" s="3090"/>
      <c r="I104" s="3090"/>
      <c r="J104" s="3091"/>
      <c r="K104" s="3092"/>
      <c r="L104" s="3092"/>
      <c r="M104" s="3092"/>
      <c r="N104" s="3092"/>
    </row>
    <row r="105" spans="1:14">
      <c r="A105" s="3469"/>
      <c r="B105" s="3469"/>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70"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73" t="s">
        <v>3301</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7">I118</f>
        <v>#DIV/0!</v>
      </c>
      <c r="K118" s="3088" t="e">
        <f t="shared" si="37"/>
        <v>#DIV/0!</v>
      </c>
      <c r="L118" s="3088" t="e">
        <f t="shared" si="37"/>
        <v>#DIV/0!</v>
      </c>
      <c r="M118" s="3108" t="e">
        <f t="shared" si="37"/>
        <v>#DIV/0!</v>
      </c>
      <c r="N118" s="3096"/>
    </row>
    <row r="119" spans="1:14">
      <c r="A119" s="3056" t="s">
        <v>1990</v>
      </c>
      <c r="B119" s="3088" t="e">
        <f>ROUND(0.993-0.0112*B116,4)</f>
        <v>#DIV/0!</v>
      </c>
      <c r="C119" s="3088" t="e">
        <f>B119</f>
        <v>#DIV/0!</v>
      </c>
      <c r="D119" s="3088" t="e">
        <f>ROUND(0.9415-0.0142*B116,4)</f>
        <v>#DIV/0!</v>
      </c>
      <c r="E119" s="3088" t="e">
        <f t="shared" ref="E119:H120" si="38">D119</f>
        <v>#DIV/0!</v>
      </c>
      <c r="F119" s="3088" t="e">
        <f t="shared" si="38"/>
        <v>#DIV/0!</v>
      </c>
      <c r="G119" s="3088" t="e">
        <f t="shared" si="38"/>
        <v>#DIV/0!</v>
      </c>
      <c r="H119" s="3088" t="e">
        <f t="shared" si="38"/>
        <v>#DIV/0!</v>
      </c>
      <c r="I119" s="3088" t="e">
        <f>ROUND(0.838-0.0182*B116,4)</f>
        <v>#DIV/0!</v>
      </c>
      <c r="J119" s="3088" t="e">
        <f t="shared" si="37"/>
        <v>#DIV/0!</v>
      </c>
      <c r="K119" s="3088" t="e">
        <f t="shared" si="37"/>
        <v>#DIV/0!</v>
      </c>
      <c r="L119" s="3088" t="e">
        <f t="shared" si="37"/>
        <v>#DIV/0!</v>
      </c>
      <c r="M119" s="3108" t="e">
        <f t="shared" si="37"/>
        <v>#DIV/0!</v>
      </c>
      <c r="N119" s="3096"/>
    </row>
    <row r="120" spans="1:14">
      <c r="A120" s="3056" t="s">
        <v>1991</v>
      </c>
      <c r="B120" s="3088" t="e">
        <f>ROUND(0.9448-0.0115*B116,4)</f>
        <v>#DIV/0!</v>
      </c>
      <c r="C120" s="3088" t="e">
        <f>B120</f>
        <v>#DIV/0!</v>
      </c>
      <c r="D120" s="3088" t="e">
        <f>ROUND(0.937-0.0145*B116,4)</f>
        <v>#DIV/0!</v>
      </c>
      <c r="E120" s="3088" t="e">
        <f t="shared" si="38"/>
        <v>#DIV/0!</v>
      </c>
      <c r="F120" s="3088" t="e">
        <f t="shared" si="38"/>
        <v>#DIV/0!</v>
      </c>
      <c r="G120" s="3088" t="e">
        <f t="shared" si="38"/>
        <v>#DIV/0!</v>
      </c>
      <c r="H120" s="3088" t="e">
        <f t="shared" si="38"/>
        <v>#DIV/0!</v>
      </c>
      <c r="I120" s="3088" t="e">
        <f>ROUND(0.7965-0.0185*B116,4)</f>
        <v>#DIV/0!</v>
      </c>
      <c r="J120" s="3088" t="e">
        <f t="shared" si="37"/>
        <v>#DIV/0!</v>
      </c>
      <c r="K120" s="3088" t="e">
        <f t="shared" si="37"/>
        <v>#DIV/0!</v>
      </c>
      <c r="L120" s="3088" t="e">
        <f t="shared" si="37"/>
        <v>#DIV/0!</v>
      </c>
      <c r="M120" s="3108" t="e">
        <f t="shared" si="37"/>
        <v>#DIV/0!</v>
      </c>
      <c r="N120" s="3096"/>
    </row>
    <row r="121" spans="1:14" ht="13.5" thickBot="1">
      <c r="A121" s="3109" t="s">
        <v>1992</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7"/>
        <v>#DIV/0!</v>
      </c>
      <c r="K121" s="3110" t="e">
        <f t="shared" si="37"/>
        <v>#DIV/0!</v>
      </c>
      <c r="L121" s="3110" t="e">
        <f t="shared" si="37"/>
        <v>#DIV/0!</v>
      </c>
      <c r="M121" s="3111" t="e">
        <f t="shared" si="37"/>
        <v>#DIV/0!</v>
      </c>
      <c r="N121" s="3096"/>
    </row>
    <row r="122" spans="1:14">
      <c r="A122" s="3112" t="s">
        <v>2603</v>
      </c>
      <c r="B122" s="3088" t="e">
        <f>ROUND(0.9404-0.0106*B116,4)</f>
        <v>#DIV/0!</v>
      </c>
      <c r="C122" s="3088" t="e">
        <f>B122</f>
        <v>#DIV/0!</v>
      </c>
      <c r="D122" s="3088" t="e">
        <f>ROUND(0.8955-0.0135*B116,4)</f>
        <v>#DIV/0!</v>
      </c>
      <c r="E122" s="3088" t="e">
        <f t="shared" ref="E122:H122" si="39">D122</f>
        <v>#DIV/0!</v>
      </c>
      <c r="F122" s="3088" t="e">
        <f t="shared" si="39"/>
        <v>#DIV/0!</v>
      </c>
      <c r="G122" s="3088" t="e">
        <f t="shared" si="39"/>
        <v>#DIV/0!</v>
      </c>
      <c r="H122" s="3088" t="e">
        <f t="shared" si="39"/>
        <v>#DIV/0!</v>
      </c>
      <c r="I122" s="3088" t="e">
        <f>ROUND(0.7632-0.0166*B116,4)</f>
        <v>#DIV/0!</v>
      </c>
      <c r="J122" s="3088" t="e">
        <f t="shared" si="37"/>
        <v>#DIV/0!</v>
      </c>
      <c r="K122" s="3088" t="e">
        <f t="shared" si="37"/>
        <v>#DIV/0!</v>
      </c>
      <c r="L122" s="3088" t="e">
        <f t="shared" si="37"/>
        <v>#DIV/0!</v>
      </c>
      <c r="M122" s="3108" t="e">
        <f t="shared" si="37"/>
        <v>#DIV/0!</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76"/>
      <c r="B4" s="3477"/>
      <c r="C4" s="3477"/>
      <c r="D4" s="3478"/>
      <c r="E4" s="3478"/>
      <c r="F4" s="3478"/>
      <c r="G4" s="3478"/>
      <c r="H4" s="3478"/>
      <c r="I4" s="3478"/>
      <c r="J4" s="3479"/>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80" t="s">
        <v>1959</v>
      </c>
      <c r="X8" s="348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82"/>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8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83" t="s">
        <v>3245</v>
      </c>
      <c r="B20" s="158" t="s">
        <v>1993</v>
      </c>
      <c r="C20" s="3030">
        <f>ROUND(IF(F21="与级别开发程度一致",0,(G21-E21)/C21),0)</f>
        <v>0</v>
      </c>
      <c r="D20" s="3045" t="s">
        <v>1997</v>
      </c>
      <c r="E20" s="3046"/>
      <c r="F20" s="3485" t="s">
        <v>1994</v>
      </c>
      <c r="G20" s="3486"/>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84"/>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4"/>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5"/>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5"/>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68" t="s">
        <v>3284</v>
      </c>
      <c r="B103" s="3468"/>
      <c r="C103" s="3468"/>
      <c r="D103" s="3468"/>
      <c r="E103" s="3468"/>
      <c r="F103" s="3468"/>
      <c r="G103" s="3468"/>
      <c r="H103" s="3468"/>
      <c r="I103" s="3468"/>
      <c r="J103" s="3468"/>
      <c r="K103" s="1666"/>
      <c r="L103" s="1666"/>
      <c r="M103" s="1666"/>
      <c r="N103" s="1666"/>
    </row>
    <row r="104" spans="1:14">
      <c r="A104" s="3469" t="s">
        <v>3285</v>
      </c>
      <c r="B104" s="3469" t="s">
        <v>3286</v>
      </c>
      <c r="C104" s="3089" t="s">
        <v>3287</v>
      </c>
      <c r="D104" s="3090"/>
      <c r="E104" s="3090"/>
      <c r="F104" s="3090"/>
      <c r="G104" s="3090"/>
      <c r="H104" s="3090"/>
      <c r="I104" s="3090"/>
      <c r="J104" s="3091"/>
      <c r="K104" s="3092"/>
      <c r="L104" s="3092"/>
      <c r="M104" s="3092"/>
      <c r="N104" s="3092"/>
    </row>
    <row r="105" spans="1:14">
      <c r="A105" s="3469"/>
      <c r="B105" s="3469"/>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70"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73" t="s">
        <v>3301</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6">I118</f>
        <v>#DIV/0!</v>
      </c>
      <c r="K118" s="3088" t="e">
        <f t="shared" si="36"/>
        <v>#DIV/0!</v>
      </c>
      <c r="L118" s="3088" t="e">
        <f t="shared" si="36"/>
        <v>#DIV/0!</v>
      </c>
      <c r="M118" s="3108" t="e">
        <f t="shared" si="36"/>
        <v>#DIV/0!</v>
      </c>
      <c r="N118" s="3096"/>
    </row>
    <row r="119" spans="1:14">
      <c r="A119" s="3056" t="s">
        <v>3319</v>
      </c>
      <c r="B119" s="3088" t="e">
        <f>ROUND(0.993-0.0112*B116,4)</f>
        <v>#DIV/0!</v>
      </c>
      <c r="C119" s="3088" t="e">
        <f>B119</f>
        <v>#DIV/0!</v>
      </c>
      <c r="D119" s="3088" t="e">
        <f>ROUND(0.9415-0.0142*B116,4)</f>
        <v>#DIV/0!</v>
      </c>
      <c r="E119" s="3088" t="e">
        <f t="shared" ref="E119:H120" si="37">D119</f>
        <v>#DIV/0!</v>
      </c>
      <c r="F119" s="3088" t="e">
        <f t="shared" si="37"/>
        <v>#DIV/0!</v>
      </c>
      <c r="G119" s="3088" t="e">
        <f t="shared" si="37"/>
        <v>#DIV/0!</v>
      </c>
      <c r="H119" s="3088" t="e">
        <f t="shared" si="37"/>
        <v>#DIV/0!</v>
      </c>
      <c r="I119" s="3088" t="e">
        <f>ROUND(0.838-0.0182*B116,4)</f>
        <v>#DIV/0!</v>
      </c>
      <c r="J119" s="3088" t="e">
        <f t="shared" si="36"/>
        <v>#DIV/0!</v>
      </c>
      <c r="K119" s="3088" t="e">
        <f t="shared" si="36"/>
        <v>#DIV/0!</v>
      </c>
      <c r="L119" s="3088" t="e">
        <f t="shared" si="36"/>
        <v>#DIV/0!</v>
      </c>
      <c r="M119" s="3108" t="e">
        <f t="shared" si="36"/>
        <v>#DIV/0!</v>
      </c>
      <c r="N119" s="3096"/>
    </row>
    <row r="120" spans="1:14">
      <c r="A120" s="3056" t="s">
        <v>3320</v>
      </c>
      <c r="B120" s="3088" t="e">
        <f>ROUND(0.9448-0.0115*B116,4)</f>
        <v>#DIV/0!</v>
      </c>
      <c r="C120" s="3088" t="e">
        <f>B120</f>
        <v>#DIV/0!</v>
      </c>
      <c r="D120" s="3088" t="e">
        <f>ROUND(0.937-0.0145*B116,4)</f>
        <v>#DIV/0!</v>
      </c>
      <c r="E120" s="3088" t="e">
        <f t="shared" si="37"/>
        <v>#DIV/0!</v>
      </c>
      <c r="F120" s="3088" t="e">
        <f t="shared" si="37"/>
        <v>#DIV/0!</v>
      </c>
      <c r="G120" s="3088" t="e">
        <f t="shared" si="37"/>
        <v>#DIV/0!</v>
      </c>
      <c r="H120" s="3088" t="e">
        <f t="shared" si="37"/>
        <v>#DIV/0!</v>
      </c>
      <c r="I120" s="3088" t="e">
        <f>ROUND(0.7965-0.0185*B116,4)</f>
        <v>#DIV/0!</v>
      </c>
      <c r="J120" s="3088" t="e">
        <f t="shared" si="36"/>
        <v>#DIV/0!</v>
      </c>
      <c r="K120" s="3088" t="e">
        <f t="shared" si="36"/>
        <v>#DIV/0!</v>
      </c>
      <c r="L120" s="3088" t="e">
        <f t="shared" si="36"/>
        <v>#DIV/0!</v>
      </c>
      <c r="M120" s="3108" t="e">
        <f t="shared" si="36"/>
        <v>#DIV/0!</v>
      </c>
      <c r="N120" s="3096"/>
    </row>
    <row r="121" spans="1:14" ht="13.5" thickBot="1">
      <c r="A121" s="3109" t="s">
        <v>3321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6"/>
        <v>#DIV/0!</v>
      </c>
      <c r="K121" s="3110" t="e">
        <f t="shared" si="36"/>
        <v>#DIV/0!</v>
      </c>
      <c r="L121" s="3110" t="e">
        <f t="shared" si="36"/>
        <v>#DIV/0!</v>
      </c>
      <c r="M121" s="3111" t="e">
        <f t="shared" si="36"/>
        <v>#DIV/0!</v>
      </c>
      <c r="N121" s="3096"/>
    </row>
    <row r="122" spans="1:14">
      <c r="A122" s="3112" t="s">
        <v>2603</v>
      </c>
      <c r="B122" s="3088" t="e">
        <f>ROUND(0.9404-0.0106*B116,4)</f>
        <v>#DIV/0!</v>
      </c>
      <c r="C122" s="3088" t="e">
        <f>B122</f>
        <v>#DIV/0!</v>
      </c>
      <c r="D122" s="3088" t="e">
        <f>ROUND(0.8955-0.0135*B116,4)</f>
        <v>#DIV/0!</v>
      </c>
      <c r="E122" s="3088" t="e">
        <f t="shared" ref="E122:H122" si="38">D122</f>
        <v>#DIV/0!</v>
      </c>
      <c r="F122" s="3088" t="e">
        <f t="shared" si="38"/>
        <v>#DIV/0!</v>
      </c>
      <c r="G122" s="3088" t="e">
        <f t="shared" si="38"/>
        <v>#DIV/0!</v>
      </c>
      <c r="H122" s="3088" t="e">
        <f t="shared" si="38"/>
        <v>#DIV/0!</v>
      </c>
      <c r="I122" s="3088" t="e">
        <f>ROUND(0.7632-0.0166*B116,4)</f>
        <v>#DIV/0!</v>
      </c>
      <c r="J122" s="3088" t="e">
        <f t="shared" si="36"/>
        <v>#DIV/0!</v>
      </c>
      <c r="K122" s="3088" t="e">
        <f t="shared" si="36"/>
        <v>#DIV/0!</v>
      </c>
      <c r="L122" s="3088" t="e">
        <f t="shared" si="36"/>
        <v>#DIV/0!</v>
      </c>
      <c r="M122" s="3108" t="e">
        <f t="shared" si="36"/>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t="e">
        <f ca="1">SUMIF(B6:B13,"&lt;&gt;#ref!",B6:B13)</f>
        <v>#DIV/0!</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t="e">
        <f ca="1">ROUND(B2*10000/E2,0)</f>
        <v>#DIV/0!</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t="e">
        <f ca="1">SUMIF(INDIRECT("'"&amp;A7&amp;"'"&amp;"!A:A"),"总价",INDIRECT("'"&amp;A7&amp;"'"&amp;"!B:B"))</f>
        <v>#DIV/0!</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3" zoomScaleNormal="70" zoomScaleSheetLayoutView="83" workbookViewId="0">
      <selection activeCell="L58" sqref="L5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68495</v>
      </c>
      <c r="C2" s="1288" t="s">
        <v>805</v>
      </c>
      <c r="D2" s="1288"/>
      <c r="E2" s="1294"/>
      <c r="F2" s="1295"/>
      <c r="G2" s="2477"/>
      <c r="H2" s="2467"/>
      <c r="I2" s="2467"/>
      <c r="J2" s="2467"/>
      <c r="K2" s="2468"/>
      <c r="L2" s="2467"/>
      <c r="M2" s="2467"/>
    </row>
    <row r="3" spans="1:37" ht="18" customHeight="1" thickBot="1">
      <c r="A3" s="1296" t="s">
        <v>806</v>
      </c>
      <c r="B3" s="1297">
        <f ca="1">IF(ISERROR(B2*10000/F43),0,ROUND(B2*10000/F43,0))</f>
        <v>25531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6089</v>
      </c>
      <c r="D5" s="1272" t="s">
        <v>693</v>
      </c>
      <c r="E5" s="1007"/>
      <c r="F5" s="1008"/>
      <c r="G5" s="1291"/>
      <c r="H5" s="290">
        <v>1</v>
      </c>
      <c r="I5" s="291" t="s">
        <v>692</v>
      </c>
      <c r="J5" s="1006">
        <f ca="1">J6+J10+J12</f>
        <v>0</v>
      </c>
      <c r="K5" s="1272" t="s">
        <v>693</v>
      </c>
      <c r="L5" s="1007"/>
      <c r="M5" s="1008"/>
    </row>
    <row r="6" spans="1:37" ht="18" customHeight="1">
      <c r="A6" s="1005" t="s">
        <v>398</v>
      </c>
      <c r="B6" s="3489" t="s">
        <v>694</v>
      </c>
      <c r="C6" s="1010">
        <f ca="1">ROUND(F6*F8*F7*(1-F9)/10000,0)</f>
        <v>6081</v>
      </c>
      <c r="D6" s="146" t="s">
        <v>2107</v>
      </c>
      <c r="E6" s="293" t="s">
        <v>696</v>
      </c>
      <c r="F6" s="294">
        <f ca="1">INDIRECT("'数据-取费表'!u"&amp;$G$1)</f>
        <v>6.9</v>
      </c>
      <c r="G6" s="1291"/>
      <c r="H6" s="1005" t="s">
        <v>398</v>
      </c>
      <c r="I6" s="3489" t="s">
        <v>694</v>
      </c>
      <c r="J6" s="292">
        <f ca="1">ROUND(M6*M8*M7*(1-M9)/10000,0)</f>
        <v>0</v>
      </c>
      <c r="K6" s="146" t="s">
        <v>2106</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26828.22</v>
      </c>
      <c r="G7" s="1291"/>
      <c r="H7" s="295"/>
      <c r="I7" s="3490"/>
      <c r="J7" s="297"/>
      <c r="K7" s="298"/>
      <c r="L7" s="293" t="s">
        <v>697</v>
      </c>
      <c r="M7" s="294">
        <f ca="1">F7</f>
        <v>26828.22</v>
      </c>
    </row>
    <row r="8" spans="1:37" ht="18" customHeight="1">
      <c r="A8" s="295"/>
      <c r="B8" s="3490"/>
      <c r="C8" s="297"/>
      <c r="D8" s="298"/>
      <c r="E8" s="293" t="s">
        <v>698</v>
      </c>
      <c r="F8" s="294">
        <f ca="1">INDIRECT("'数据-取费表'!ai"&amp;$G$1)</f>
        <v>365</v>
      </c>
      <c r="G8" s="1291"/>
      <c r="H8" s="295"/>
      <c r="I8" s="3490"/>
      <c r="J8" s="297"/>
      <c r="K8" s="298"/>
      <c r="L8" s="293" t="s">
        <v>698</v>
      </c>
      <c r="M8" s="294">
        <f ca="1">INDIRECT("'数据-取费表'!ai"&amp;$G$1)</f>
        <v>365</v>
      </c>
    </row>
    <row r="9" spans="1:37" ht="18" customHeight="1">
      <c r="A9" s="295"/>
      <c r="B9" s="3491"/>
      <c r="C9" s="297"/>
      <c r="D9" s="298"/>
      <c r="E9" s="293" t="s">
        <v>699</v>
      </c>
      <c r="F9" s="303">
        <f ca="1">INDIRECT("'数据-取费表'!w"&amp;$G$1)</f>
        <v>0.1</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8</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-133</v>
      </c>
      <c r="K25" s="1031" t="s">
        <v>753</v>
      </c>
      <c r="L25" s="1032"/>
      <c r="M25" s="1033"/>
    </row>
    <row r="26" spans="1:37">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1319</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1019.29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324.32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694.97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44.28</v>
      </c>
      <c r="D37" s="1255" t="s">
        <v>743</v>
      </c>
      <c r="E37" s="293" t="s">
        <v>744</v>
      </c>
      <c r="F37" s="320">
        <f ca="1">INDIRECT("'数据-取费表'!Al"&amp;$G$1)</f>
        <v>2E-3</v>
      </c>
      <c r="G37" s="1291"/>
      <c r="H37" s="2472"/>
      <c r="I37" s="1304"/>
      <c r="J37" s="1305"/>
      <c r="K37" s="2330"/>
      <c r="L37" s="2472"/>
      <c r="M37" s="2472"/>
    </row>
    <row r="38" spans="1:18" ht="18" customHeight="1" thickBot="1">
      <c r="A38" s="1025" t="s">
        <v>684</v>
      </c>
      <c r="B38" s="1026" t="s">
        <v>728</v>
      </c>
      <c r="C38" s="1027">
        <f ca="1">ROUND(C5*F38,2)</f>
        <v>121.78</v>
      </c>
      <c r="D38" s="1028" t="s">
        <v>748</v>
      </c>
      <c r="E38" s="1026" t="s">
        <v>744</v>
      </c>
      <c r="F38" s="1022">
        <f ca="1">INDIRECT("'数据-取费表'!Am"&amp;$G$1)</f>
        <v>0.02</v>
      </c>
      <c r="G38" s="1291"/>
      <c r="H38" s="2472"/>
      <c r="I38" s="1304"/>
      <c r="J38" s="1305"/>
      <c r="K38" s="2470"/>
      <c r="L38" s="2472"/>
      <c r="M38" s="2472"/>
    </row>
    <row r="39" spans="1:18" ht="24.6" customHeight="1" thickTop="1">
      <c r="A39" s="1015" t="s">
        <v>394</v>
      </c>
      <c r="B39" s="1030" t="s">
        <v>772</v>
      </c>
      <c r="C39" s="301">
        <f ca="1">C5-C30</f>
        <v>4770</v>
      </c>
      <c r="D39" s="1031" t="s">
        <v>773</v>
      </c>
      <c r="E39" s="1032"/>
      <c r="F39" s="1033"/>
      <c r="G39" s="1291"/>
      <c r="H39" s="2472"/>
      <c r="I39" s="1304"/>
      <c r="J39" s="1305"/>
      <c r="K39" s="2470"/>
      <c r="L39" s="2472"/>
      <c r="M39" s="2472"/>
    </row>
    <row r="40" spans="1:18" ht="18" customHeight="1">
      <c r="A40" s="290" t="s">
        <v>395</v>
      </c>
      <c r="B40" s="291" t="s">
        <v>774</v>
      </c>
      <c r="C40" s="292">
        <f ca="1">ROUND(C39*(1-((1+F42)/(1+F40))^F41)/(F40-F42),0)</f>
        <v>66165</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24662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-68261</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66165</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53289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87" t="s">
        <v>837</v>
      </c>
      <c r="L53" s="3488"/>
      <c r="O53" s="1324" t="s">
        <v>409</v>
      </c>
      <c r="P53" s="1325" t="s">
        <v>838</v>
      </c>
      <c r="Q53" s="1326">
        <f ca="1">Q47+Q48</f>
        <v>68495</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66165</v>
      </c>
      <c r="R56" s="1326" t="s">
        <v>818</v>
      </c>
    </row>
    <row r="57" spans="1:18" s="1291" customFormat="1" ht="24.7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178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66165</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44.28</v>
      </c>
      <c r="D65" s="909" t="s">
        <v>743</v>
      </c>
      <c r="E65" s="895" t="s">
        <v>744</v>
      </c>
      <c r="F65" s="320">
        <f t="shared" ca="1" si="0"/>
        <v>2E-3</v>
      </c>
      <c r="I65" s="1366" t="s">
        <v>867</v>
      </c>
      <c r="J65" s="609">
        <v>40</v>
      </c>
      <c r="K65" s="609">
        <v>30</v>
      </c>
      <c r="L65" s="609">
        <v>50</v>
      </c>
      <c r="M65" s="1368">
        <v>0.02</v>
      </c>
      <c r="O65" s="1324" t="s">
        <v>403</v>
      </c>
      <c r="P65" s="1325" t="s">
        <v>868</v>
      </c>
      <c r="Q65" s="1326">
        <f ca="1">C40+J29</f>
        <v>66165</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-178</v>
      </c>
      <c r="D67" s="908" t="s">
        <v>753</v>
      </c>
      <c r="E67" s="913"/>
      <c r="F67" s="914"/>
      <c r="O67" s="1333" t="s">
        <v>405</v>
      </c>
      <c r="P67" s="1325" t="s">
        <v>850</v>
      </c>
      <c r="Q67" s="1369">
        <f ca="1">L51</f>
        <v>53289</v>
      </c>
      <c r="R67" s="1326" t="s">
        <v>870</v>
      </c>
    </row>
    <row r="68" spans="1:18" s="1291" customFormat="1" ht="16.5" thickBot="1">
      <c r="A68" s="892" t="s">
        <v>395</v>
      </c>
      <c r="B68" s="893" t="s">
        <v>774</v>
      </c>
      <c r="C68" s="292">
        <f ca="1">ROUND(C67*(1-((1+F70)/(1+F68))^F69)/(F68-F70),0)</f>
        <v>-2096</v>
      </c>
      <c r="D68" s="910" t="s">
        <v>758</v>
      </c>
      <c r="E68" s="895" t="s">
        <v>759</v>
      </c>
      <c r="F68" s="303">
        <f ca="1">F40</f>
        <v>0.06</v>
      </c>
      <c r="O68" s="1333" t="s">
        <v>406</v>
      </c>
      <c r="P68" s="1370" t="s">
        <v>871</v>
      </c>
      <c r="Q68" s="1326">
        <f ca="1">ROUND(Q69-Q70*Q71,0)</f>
        <v>3220</v>
      </c>
      <c r="R68" s="1326" t="s">
        <v>414</v>
      </c>
    </row>
    <row r="69" spans="1:18" s="1291" customFormat="1" ht="13.5" thickBot="1">
      <c r="A69" s="896"/>
      <c r="B69" s="897"/>
      <c r="C69" s="297"/>
      <c r="D69" s="915" t="s">
        <v>762</v>
      </c>
      <c r="E69" s="895" t="s">
        <v>763</v>
      </c>
      <c r="F69" s="323">
        <f ca="1">F41</f>
        <v>21.04</v>
      </c>
      <c r="O69" s="1333" t="s">
        <v>411</v>
      </c>
      <c r="P69" s="1370" t="s">
        <v>872</v>
      </c>
      <c r="Q69" s="1326">
        <f ca="1">C39</f>
        <v>4770</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-781</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66165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0.67500000000000004</v>
      </c>
    </row>
    <row r="80" spans="1:18">
      <c r="B80" s="330" t="s">
        <v>800</v>
      </c>
      <c r="C80" s="265">
        <f ca="1">ROUND(C75/C39,3)</f>
        <v>0.32500000000000001</v>
      </c>
    </row>
    <row r="81" spans="2:3">
      <c r="B81" s="261" t="s">
        <v>801</v>
      </c>
      <c r="C81" s="229"/>
    </row>
    <row r="82" spans="2:3">
      <c r="B82" s="264" t="s">
        <v>802</v>
      </c>
      <c r="C82" s="266">
        <f ca="1">1-C83</f>
        <v>0.66500000000000004</v>
      </c>
    </row>
    <row r="83" spans="2:3">
      <c r="B83" s="264" t="s">
        <v>803</v>
      </c>
      <c r="C83" s="265">
        <f ca="1">ROUND(C13/C40,3)</f>
        <v>0.33500000000000002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89" t="s">
        <v>694</v>
      </c>
      <c r="C6" s="1010">
        <f ca="1">ROUND(F6*F8*F7*(1-F9),0)</f>
        <v>0</v>
      </c>
      <c r="D6" s="146" t="s">
        <v>2104</v>
      </c>
      <c r="E6" s="293" t="s">
        <v>696</v>
      </c>
      <c r="F6" s="294">
        <f ca="1">INDIRECT("'数据-取费表'!u"&amp;$G$1)</f>
        <v>0</v>
      </c>
      <c r="G6" s="1291"/>
      <c r="H6" s="1005" t="s">
        <v>398</v>
      </c>
      <c r="I6" s="3489" t="s">
        <v>694</v>
      </c>
      <c r="J6" s="292">
        <f ca="1">ROUND(M6*M8*M7*(1-M9),0)</f>
        <v>0</v>
      </c>
      <c r="K6" s="1283" t="s">
        <v>2105</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0</v>
      </c>
      <c r="G7" s="1291"/>
      <c r="H7" s="295"/>
      <c r="I7" s="3490"/>
      <c r="J7" s="297"/>
      <c r="K7" s="298"/>
      <c r="L7" s="293" t="s">
        <v>697</v>
      </c>
      <c r="M7" s="294">
        <f ca="1">F7</f>
        <v>0</v>
      </c>
    </row>
    <row r="8" spans="1:37" ht="18" customHeight="1">
      <c r="A8" s="295"/>
      <c r="B8" s="3490"/>
      <c r="C8" s="297"/>
      <c r="D8" s="298"/>
      <c r="E8" s="293" t="s">
        <v>698</v>
      </c>
      <c r="F8" s="294">
        <f ca="1">INDIRECT("'数据-取费表'!ai"&amp;$G$1)</f>
        <v>0</v>
      </c>
      <c r="G8" s="1291"/>
      <c r="H8" s="295"/>
      <c r="I8" s="3490"/>
      <c r="J8" s="297"/>
      <c r="K8" s="298"/>
      <c r="L8" s="293" t="s">
        <v>698</v>
      </c>
      <c r="M8" s="294">
        <f ca="1">INDIRECT("'数据-取费表'!ai"&amp;$G$1)</f>
        <v>0</v>
      </c>
    </row>
    <row r="9" spans="1:37" ht="18" customHeight="1">
      <c r="A9" s="295"/>
      <c r="B9" s="3491"/>
      <c r="C9" s="297"/>
      <c r="D9" s="298"/>
      <c r="E9" s="293" t="s">
        <v>699</v>
      </c>
      <c r="F9" s="303">
        <f ca="1">INDIRECT("'数据-取费表'!w"&amp;$G$1)</f>
        <v>0</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87" t="s">
        <v>837</v>
      </c>
      <c r="L53" s="3488"/>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98" t="s">
        <v>2308</v>
      </c>
      <c r="K2" s="3499"/>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500" t="s">
        <v>2318</v>
      </c>
      <c r="K3" s="3501"/>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500" t="s">
        <v>2320</v>
      </c>
      <c r="K4" s="3501"/>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506" t="s">
        <v>2324</v>
      </c>
      <c r="B6" s="3507"/>
      <c r="C6" s="3508"/>
      <c r="D6" s="2620"/>
      <c r="E6" s="2621"/>
      <c r="F6" s="2622"/>
      <c r="G6" s="2623"/>
      <c r="H6" s="2598"/>
      <c r="I6" s="2599"/>
      <c r="J6" s="3492">
        <v>1</v>
      </c>
      <c r="K6" s="3493"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92"/>
      <c r="K7" s="3494"/>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509" t="s">
        <v>2338</v>
      </c>
      <c r="C8" s="3510"/>
      <c r="D8" s="2639" t="s">
        <v>2339</v>
      </c>
      <c r="E8" s="2640" t="s">
        <v>2340</v>
      </c>
      <c r="F8" s="2641" t="s">
        <v>2341</v>
      </c>
      <c r="G8" s="2642"/>
      <c r="H8" s="2598"/>
      <c r="I8" s="2599"/>
      <c r="J8" s="3492"/>
      <c r="K8" s="3494"/>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509" t="s">
        <v>2344</v>
      </c>
      <c r="C9" s="3510"/>
      <c r="D9" s="2639">
        <f>ROUND(D6*E9,0)</f>
        <v>0</v>
      </c>
      <c r="E9" s="2643"/>
      <c r="F9" s="2644" t="s">
        <v>2345</v>
      </c>
      <c r="G9" s="2623"/>
      <c r="H9" s="2598"/>
      <c r="I9" s="2599"/>
      <c r="J9" s="3492"/>
      <c r="K9" s="3494"/>
      <c r="L9" s="2633" t="s">
        <v>2346</v>
      </c>
      <c r="M9" s="2634"/>
      <c r="N9" s="2610"/>
      <c r="O9" s="2635"/>
      <c r="P9" s="2635"/>
      <c r="Q9" s="2636">
        <v>365</v>
      </c>
      <c r="R9" s="2637">
        <f t="shared" si="0"/>
        <v>0</v>
      </c>
      <c r="S9" s="2591"/>
      <c r="T9" s="2591"/>
      <c r="U9" s="2591"/>
      <c r="V9" s="2599"/>
    </row>
    <row r="10" spans="1:22" s="2603" customFormat="1" ht="13.15" customHeight="1">
      <c r="A10" s="2638">
        <v>2</v>
      </c>
      <c r="B10" s="3509" t="s">
        <v>2347</v>
      </c>
      <c r="C10" s="3510"/>
      <c r="D10" s="2639">
        <f>ROUND(D6*E10,0)</f>
        <v>0</v>
      </c>
      <c r="E10" s="2643"/>
      <c r="F10" s="2644" t="s">
        <v>2348</v>
      </c>
      <c r="G10" s="2623"/>
      <c r="H10" s="2598"/>
      <c r="I10" s="2599"/>
      <c r="J10" s="3492"/>
      <c r="K10" s="3494"/>
      <c r="L10" s="2633" t="s">
        <v>2349</v>
      </c>
      <c r="M10" s="2634"/>
      <c r="N10" s="2610"/>
      <c r="O10" s="2635"/>
      <c r="P10" s="2635"/>
      <c r="Q10" s="2636">
        <v>365</v>
      </c>
      <c r="R10" s="2637">
        <f t="shared" si="0"/>
        <v>0</v>
      </c>
      <c r="S10" s="2591"/>
      <c r="T10" s="2591"/>
      <c r="U10" s="2591"/>
      <c r="V10" s="2599"/>
    </row>
    <row r="11" spans="1:22" s="2603" customFormat="1" ht="13.15" customHeight="1">
      <c r="A11" s="2638">
        <v>3</v>
      </c>
      <c r="B11" s="3509" t="s">
        <v>2350</v>
      </c>
      <c r="C11" s="3510"/>
      <c r="D11" s="2639">
        <f>D12+D14+D15+D16</f>
        <v>0</v>
      </c>
      <c r="E11" s="2645" t="e">
        <f>D11/D6</f>
        <v>#DIV/0!</v>
      </c>
      <c r="F11" s="2641"/>
      <c r="G11" s="2642"/>
      <c r="H11" s="2598"/>
      <c r="I11" s="2599"/>
      <c r="J11" s="3492"/>
      <c r="K11" s="3494"/>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502" t="s">
        <v>2353</v>
      </c>
      <c r="C12" s="3503"/>
      <c r="D12" s="2647">
        <f>ROUND(D13*1.2%*(1-30%),0)</f>
        <v>0</v>
      </c>
      <c r="E12" s="2648">
        <v>1.2E-2</v>
      </c>
      <c r="F12" s="2641" t="s">
        <v>2354</v>
      </c>
      <c r="G12" s="2642"/>
      <c r="H12" s="2598"/>
      <c r="I12" s="2599"/>
      <c r="J12" s="3492"/>
      <c r="K12" s="3494"/>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92"/>
      <c r="K13" s="3494"/>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502" t="s">
        <v>2359</v>
      </c>
      <c r="C14" s="3503"/>
      <c r="D14" s="2647">
        <f>ROUND(E14*B5/10000,0)</f>
        <v>0</v>
      </c>
      <c r="E14" s="2636"/>
      <c r="F14" s="2641" t="s">
        <v>2360</v>
      </c>
      <c r="G14" s="2642"/>
      <c r="H14" s="2598"/>
      <c r="I14" s="2599"/>
      <c r="J14" s="3492"/>
      <c r="K14" s="3495"/>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502" t="s">
        <v>2363</v>
      </c>
      <c r="C15" s="3503"/>
      <c r="D15" s="2647">
        <f>ROUND(D6*E15,0)</f>
        <v>0</v>
      </c>
      <c r="E15" s="2648">
        <v>5.5E-2</v>
      </c>
      <c r="F15" s="2641" t="s">
        <v>2364</v>
      </c>
      <c r="G15" s="2623"/>
      <c r="H15" s="2598"/>
      <c r="I15" s="2599"/>
      <c r="J15" s="3492">
        <v>2</v>
      </c>
      <c r="K15" s="3493"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502" t="s">
        <v>2372</v>
      </c>
      <c r="C16" s="3503"/>
      <c r="D16" s="2658">
        <f>D6*E16</f>
        <v>0</v>
      </c>
      <c r="E16" s="2659"/>
      <c r="F16" s="2644" t="s">
        <v>2373</v>
      </c>
      <c r="G16" s="2623"/>
      <c r="H16" s="2598"/>
      <c r="I16" s="2599"/>
      <c r="J16" s="3492"/>
      <c r="K16" s="3494"/>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504" t="s">
        <v>2375</v>
      </c>
      <c r="C17" s="3505"/>
      <c r="D17" s="2661">
        <f>ROUND(D6*E17,0)</f>
        <v>0</v>
      </c>
      <c r="E17" s="2662"/>
      <c r="F17" s="2663" t="s">
        <v>2376</v>
      </c>
      <c r="G17" s="2623"/>
      <c r="H17" s="2598"/>
      <c r="I17" s="2599"/>
      <c r="J17" s="3492"/>
      <c r="K17" s="3494"/>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92"/>
      <c r="K18" s="3494"/>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92"/>
      <c r="K19" s="3495"/>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2">
        <v>3</v>
      </c>
      <c r="K20" s="3493"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92"/>
      <c r="K21" s="3494"/>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92"/>
      <c r="K22" s="3494"/>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92"/>
      <c r="K23" s="3494"/>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92"/>
      <c r="K24" s="3495"/>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96">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9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98" t="s">
        <v>2308</v>
      </c>
      <c r="K32" s="3499"/>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500" t="s">
        <v>2318</v>
      </c>
      <c r="K33" s="3501"/>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500" t="s">
        <v>2320</v>
      </c>
      <c r="K34" s="350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92">
        <v>1</v>
      </c>
      <c r="K36" s="3493"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92"/>
      <c r="K37" s="3494"/>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2"/>
      <c r="K38" s="3494"/>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92"/>
      <c r="K39" s="3494"/>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92"/>
      <c r="K40" s="3495"/>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96">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9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419" t="s">
        <v>1667</v>
      </c>
      <c r="D4" s="3420"/>
      <c r="E4" s="3421" t="s">
        <v>1668</v>
      </c>
      <c r="F4" s="3422"/>
      <c r="G4" s="3419" t="s">
        <v>1669</v>
      </c>
      <c r="H4" s="3420"/>
      <c r="I4" s="3419" t="s">
        <v>1670</v>
      </c>
      <c r="J4" s="3420"/>
      <c r="K4" s="1743" t="s">
        <v>1671</v>
      </c>
      <c r="L4" s="2485"/>
      <c r="M4" s="2486"/>
      <c r="N4" s="2486"/>
      <c r="O4" s="2486"/>
      <c r="P4" s="3461" t="s">
        <v>1672</v>
      </c>
      <c r="Q4" s="3462"/>
      <c r="R4" s="3465" t="s">
        <v>1668</v>
      </c>
      <c r="S4" s="3466"/>
      <c r="T4" s="3465" t="s">
        <v>1669</v>
      </c>
      <c r="U4" s="3466"/>
      <c r="V4" s="3403" t="s">
        <v>1670</v>
      </c>
      <c r="W4" s="3403"/>
      <c r="X4" s="1264"/>
      <c r="Y4" s="3465" t="s">
        <v>1672</v>
      </c>
      <c r="Z4" s="3466"/>
      <c r="AA4" s="3460" t="s">
        <v>1668</v>
      </c>
      <c r="AB4" s="3460" t="s">
        <v>1669</v>
      </c>
      <c r="AC4" s="3460" t="s">
        <v>1670</v>
      </c>
    </row>
    <row r="5" spans="1:29" ht="15">
      <c r="A5" s="347"/>
      <c r="B5" s="348"/>
      <c r="C5" s="3467" t="s">
        <v>1673</v>
      </c>
      <c r="D5" s="3439"/>
      <c r="E5" s="3512" t="s">
        <v>1674</v>
      </c>
      <c r="F5" s="3450"/>
      <c r="G5" s="3467" t="s">
        <v>1675</v>
      </c>
      <c r="H5" s="3439"/>
      <c r="I5" s="3467" t="s">
        <v>1676</v>
      </c>
      <c r="J5" s="3439"/>
      <c r="K5" s="1744"/>
      <c r="L5" s="2485"/>
      <c r="M5" s="2486"/>
      <c r="N5" s="2486"/>
      <c r="O5" s="2486"/>
      <c r="P5" s="3463"/>
      <c r="Q5" s="3426"/>
      <c r="R5" s="3431"/>
      <c r="S5" s="3432"/>
      <c r="T5" s="3431"/>
      <c r="U5" s="3432"/>
      <c r="V5" s="3403"/>
      <c r="W5" s="3403"/>
      <c r="X5" s="1264"/>
      <c r="Y5" s="3431"/>
      <c r="Z5" s="3432"/>
      <c r="AA5" s="3447"/>
      <c r="AB5" s="3447"/>
      <c r="AC5" s="3447"/>
    </row>
    <row r="6" spans="1:29" ht="15.75" thickBot="1">
      <c r="A6" s="349"/>
      <c r="B6" s="350"/>
      <c r="C6" s="3436" t="s">
        <v>1677</v>
      </c>
      <c r="D6" s="3437"/>
      <c r="E6" s="3444" t="s">
        <v>1677</v>
      </c>
      <c r="F6" s="3445"/>
      <c r="G6" s="3436" t="s">
        <v>1677</v>
      </c>
      <c r="H6" s="3437"/>
      <c r="I6" s="3436" t="s">
        <v>1677</v>
      </c>
      <c r="J6" s="3437"/>
      <c r="K6" s="1744" t="s">
        <v>1678</v>
      </c>
      <c r="L6" s="2485"/>
      <c r="M6" s="2486"/>
      <c r="N6" s="2486"/>
      <c r="O6" s="2486"/>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42" t="s">
        <v>1680</v>
      </c>
      <c r="Q7" s="3443"/>
      <c r="R7" s="663" t="s">
        <v>20</v>
      </c>
      <c r="S7" s="664">
        <f t="shared" ref="S7:S15" si="0">F7</f>
        <v>0</v>
      </c>
      <c r="T7" s="663" t="s">
        <v>20</v>
      </c>
      <c r="U7" s="664">
        <f t="shared" ref="U7:U15" si="1">H7</f>
        <v>0</v>
      </c>
      <c r="V7" s="663" t="s">
        <v>20</v>
      </c>
      <c r="W7" s="664">
        <f t="shared" ref="W7:W15" si="2">J7</f>
        <v>0</v>
      </c>
      <c r="X7" s="665"/>
      <c r="Y7" s="3442" t="s">
        <v>1680</v>
      </c>
      <c r="Z7" s="3441"/>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42" t="s">
        <v>1683</v>
      </c>
      <c r="Q8" s="3441"/>
      <c r="R8" s="663" t="s">
        <v>20</v>
      </c>
      <c r="S8" s="664">
        <f t="shared" si="0"/>
        <v>100</v>
      </c>
      <c r="T8" s="663" t="s">
        <v>20</v>
      </c>
      <c r="U8" s="664">
        <f t="shared" si="1"/>
        <v>100</v>
      </c>
      <c r="V8" s="663" t="s">
        <v>20</v>
      </c>
      <c r="W8" s="664">
        <f t="shared" si="2"/>
        <v>100</v>
      </c>
      <c r="X8" s="665"/>
      <c r="Y8" s="3442" t="s">
        <v>1683</v>
      </c>
      <c r="Z8" s="3441"/>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01" t="s">
        <v>1686</v>
      </c>
      <c r="Q9" s="529" t="str">
        <f t="shared" ref="Q9:Q15" si="6">B9</f>
        <v>用途</v>
      </c>
      <c r="R9" s="663" t="s">
        <v>14</v>
      </c>
      <c r="S9" s="664">
        <f t="shared" si="0"/>
        <v>100</v>
      </c>
      <c r="T9" s="663" t="s">
        <v>14</v>
      </c>
      <c r="U9" s="664">
        <f t="shared" si="1"/>
        <v>100</v>
      </c>
      <c r="V9" s="663" t="s">
        <v>14</v>
      </c>
      <c r="W9" s="664">
        <f t="shared" si="2"/>
        <v>100</v>
      </c>
      <c r="X9" s="665"/>
      <c r="Y9" s="3308"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01"/>
      <c r="Q10" s="529" t="str">
        <f t="shared" si="6"/>
        <v>土地使用年限（年）</v>
      </c>
      <c r="R10" s="663" t="s">
        <v>14</v>
      </c>
      <c r="S10" s="664">
        <f t="shared" si="0"/>
        <v>100</v>
      </c>
      <c r="T10" s="663" t="s">
        <v>14</v>
      </c>
      <c r="U10" s="664">
        <f t="shared" si="1"/>
        <v>100</v>
      </c>
      <c r="V10" s="663" t="s">
        <v>14</v>
      </c>
      <c r="W10" s="664">
        <f t="shared" si="2"/>
        <v>100</v>
      </c>
      <c r="X10" s="665"/>
      <c r="Y10" s="3308"/>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01"/>
      <c r="Q11" s="529" t="str">
        <f t="shared" si="6"/>
        <v>容积率</v>
      </c>
      <c r="R11" s="663" t="s">
        <v>18</v>
      </c>
      <c r="S11" s="664" t="e">
        <f t="shared" si="0"/>
        <v>#N/A</v>
      </c>
      <c r="T11" s="663" t="s">
        <v>18</v>
      </c>
      <c r="U11" s="664" t="e">
        <f t="shared" si="1"/>
        <v>#N/A</v>
      </c>
      <c r="V11" s="663" t="s">
        <v>18</v>
      </c>
      <c r="W11" s="664" t="e">
        <f t="shared" si="2"/>
        <v>#N/A</v>
      </c>
      <c r="X11" s="665"/>
      <c r="Y11" s="3308"/>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01"/>
      <c r="Q12" s="529">
        <f t="shared" si="6"/>
        <v>111</v>
      </c>
      <c r="R12" s="663" t="s">
        <v>18</v>
      </c>
      <c r="S12" s="664">
        <f t="shared" si="0"/>
        <v>100</v>
      </c>
      <c r="T12" s="663" t="s">
        <v>18</v>
      </c>
      <c r="U12" s="664">
        <f t="shared" si="1"/>
        <v>100</v>
      </c>
      <c r="V12" s="663" t="s">
        <v>18</v>
      </c>
      <c r="W12" s="664">
        <f t="shared" si="2"/>
        <v>100</v>
      </c>
      <c r="X12" s="665"/>
      <c r="Y12" s="330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01"/>
      <c r="Q13" s="529">
        <f t="shared" si="6"/>
        <v>111</v>
      </c>
      <c r="R13" s="663" t="s">
        <v>18</v>
      </c>
      <c r="S13" s="664">
        <f t="shared" si="0"/>
        <v>100</v>
      </c>
      <c r="T13" s="663" t="s">
        <v>18</v>
      </c>
      <c r="U13" s="664">
        <f t="shared" si="1"/>
        <v>100</v>
      </c>
      <c r="V13" s="663" t="s">
        <v>18</v>
      </c>
      <c r="W13" s="664">
        <f t="shared" si="2"/>
        <v>100</v>
      </c>
      <c r="X13" s="665"/>
      <c r="Y13" s="3308"/>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01"/>
      <c r="Q14" s="529">
        <f t="shared" si="6"/>
        <v>111</v>
      </c>
      <c r="R14" s="663" t="s">
        <v>18</v>
      </c>
      <c r="S14" s="664">
        <f t="shared" si="0"/>
        <v>100</v>
      </c>
      <c r="T14" s="663" t="s">
        <v>18</v>
      </c>
      <c r="U14" s="664">
        <f t="shared" si="1"/>
        <v>100</v>
      </c>
      <c r="V14" s="663" t="s">
        <v>18</v>
      </c>
      <c r="W14" s="664">
        <f t="shared" si="2"/>
        <v>100</v>
      </c>
      <c r="X14" s="665"/>
      <c r="Y14" s="3308"/>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07" t="s">
        <v>1691</v>
      </c>
      <c r="Q15" s="1262" t="str">
        <f t="shared" si="6"/>
        <v>居住社区成熟度</v>
      </c>
      <c r="R15" s="666" t="s">
        <v>18</v>
      </c>
      <c r="S15" s="667">
        <f t="shared" si="0"/>
        <v>100</v>
      </c>
      <c r="T15" s="666" t="s">
        <v>18</v>
      </c>
      <c r="U15" s="667">
        <f t="shared" si="1"/>
        <v>100</v>
      </c>
      <c r="V15" s="666" t="s">
        <v>18</v>
      </c>
      <c r="W15" s="667">
        <f t="shared" si="2"/>
        <v>100</v>
      </c>
      <c r="X15" s="1264"/>
      <c r="Y15" s="340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08"/>
      <c r="Q16" s="1262"/>
      <c r="R16" s="666"/>
      <c r="S16" s="667"/>
      <c r="T16" s="666"/>
      <c r="U16" s="667"/>
      <c r="V16" s="666"/>
      <c r="W16" s="667"/>
      <c r="X16" s="1264"/>
      <c r="Y16" s="3410"/>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08"/>
      <c r="Q18" s="1262"/>
      <c r="R18" s="666"/>
      <c r="S18" s="667"/>
      <c r="T18" s="666"/>
      <c r="U18" s="667"/>
      <c r="V18" s="666"/>
      <c r="W18" s="667"/>
      <c r="X18" s="1264"/>
      <c r="Y18" s="3410"/>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08"/>
      <c r="Q20" s="1262"/>
      <c r="R20" s="666"/>
      <c r="S20" s="667"/>
      <c r="T20" s="666"/>
      <c r="U20" s="667"/>
      <c r="V20" s="666"/>
      <c r="W20" s="667"/>
      <c r="X20" s="1264"/>
      <c r="Y20" s="3410"/>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08"/>
      <c r="Q22" s="1262"/>
      <c r="R22" s="666"/>
      <c r="S22" s="667"/>
      <c r="T22" s="666"/>
      <c r="U22" s="667"/>
      <c r="V22" s="666"/>
      <c r="W22" s="667"/>
      <c r="X22" s="1264"/>
      <c r="Y22" s="3410"/>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08"/>
      <c r="Q24" s="1262"/>
      <c r="R24" s="666"/>
      <c r="S24" s="667"/>
      <c r="T24" s="666"/>
      <c r="U24" s="667"/>
      <c r="V24" s="666"/>
      <c r="W24" s="667"/>
      <c r="X24" s="1264"/>
      <c r="Y24" s="341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08"/>
      <c r="Q27" s="529">
        <f t="shared" si="11"/>
        <v>111</v>
      </c>
      <c r="R27" s="663" t="s">
        <v>18</v>
      </c>
      <c r="S27" s="664">
        <f t="shared" si="12"/>
        <v>100</v>
      </c>
      <c r="T27" s="663" t="s">
        <v>18</v>
      </c>
      <c r="U27" s="664">
        <f t="shared" si="13"/>
        <v>100</v>
      </c>
      <c r="V27" s="663" t="s">
        <v>18</v>
      </c>
      <c r="W27" s="664">
        <f t="shared" si="14"/>
        <v>100</v>
      </c>
      <c r="X27" s="665"/>
      <c r="Y27" s="3410"/>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11" t="s">
        <v>1696</v>
      </c>
      <c r="Q32" s="1262" t="str">
        <f t="shared" si="11"/>
        <v>建筑类型</v>
      </c>
      <c r="R32" s="666" t="s">
        <v>18</v>
      </c>
      <c r="S32" s="667">
        <f t="shared" si="12"/>
        <v>100</v>
      </c>
      <c r="T32" s="666" t="s">
        <v>18</v>
      </c>
      <c r="U32" s="667">
        <f t="shared" si="13"/>
        <v>100</v>
      </c>
      <c r="V32" s="666" t="s">
        <v>18</v>
      </c>
      <c r="W32" s="667">
        <f t="shared" si="14"/>
        <v>100</v>
      </c>
      <c r="X32" s="1264"/>
      <c r="Y32" s="3414"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12"/>
      <c r="Q33" s="530"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12"/>
      <c r="Q37" s="529" t="str">
        <f t="shared" si="11"/>
        <v>成新度</v>
      </c>
      <c r="R37" s="663" t="s">
        <v>18</v>
      </c>
      <c r="S37" s="664" t="e">
        <f t="shared" si="12"/>
        <v>#N/A</v>
      </c>
      <c r="T37" s="663" t="s">
        <v>18</v>
      </c>
      <c r="U37" s="664" t="e">
        <f t="shared" si="13"/>
        <v>#N/A</v>
      </c>
      <c r="V37" s="663" t="s">
        <v>18</v>
      </c>
      <c r="W37" s="664" t="e">
        <f t="shared" si="14"/>
        <v>#N/A</v>
      </c>
      <c r="X37" s="665"/>
      <c r="Y37" s="3414"/>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12" t="s">
        <v>1696</v>
      </c>
      <c r="Q38" s="1262" t="str">
        <f t="shared" si="11"/>
        <v>物业管理</v>
      </c>
      <c r="R38" s="666" t="s">
        <v>18</v>
      </c>
      <c r="S38" s="667">
        <f t="shared" si="12"/>
        <v>100</v>
      </c>
      <c r="T38" s="666" t="s">
        <v>18</v>
      </c>
      <c r="U38" s="667">
        <f t="shared" si="13"/>
        <v>100</v>
      </c>
      <c r="V38" s="666" t="s">
        <v>18</v>
      </c>
      <c r="W38" s="667">
        <f t="shared" si="14"/>
        <v>100</v>
      </c>
      <c r="X38" s="1264"/>
      <c r="Y38" s="3414"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12"/>
      <c r="Q41" s="530"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12"/>
      <c r="Q44" s="529">
        <f t="shared" si="11"/>
        <v>111</v>
      </c>
      <c r="R44" s="663" t="s">
        <v>18</v>
      </c>
      <c r="S44" s="664">
        <f t="shared" si="12"/>
        <v>100</v>
      </c>
      <c r="T44" s="663" t="s">
        <v>18</v>
      </c>
      <c r="U44" s="664">
        <f t="shared" si="13"/>
        <v>100</v>
      </c>
      <c r="V44" s="663" t="s">
        <v>18</v>
      </c>
      <c r="W44" s="664">
        <f t="shared" si="14"/>
        <v>100</v>
      </c>
      <c r="X44" s="665"/>
      <c r="Y44" s="3414"/>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02" t="str">
        <f>A47</f>
        <v>成交单价（元/平方米）</v>
      </c>
      <c r="Q47" s="3402"/>
      <c r="R47" s="3403">
        <f>E47</f>
        <v>0</v>
      </c>
      <c r="S47" s="3403"/>
      <c r="T47" s="3403">
        <f>G47</f>
        <v>0</v>
      </c>
      <c r="U47" s="3403"/>
      <c r="V47" s="3403">
        <f>I47</f>
        <v>0</v>
      </c>
      <c r="W47" s="3403"/>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55" t="str">
        <f>A49</f>
        <v>估价对象XX用房的比较价值（楼面单价，元/平方米）</v>
      </c>
      <c r="Q49" s="3456"/>
      <c r="R49" s="3511" t="e">
        <f>IF(F1="售价",ROUND(IF(D48="简单平均",AVERAGE(R48:V48),R48*F48+T48*H48+V48*J48),0),ROUND(IF(D48="简单平均",AVERAGE(R48:V48),R48*F48+T48*H48+V48*J48),1))</f>
        <v>#DIV/0!</v>
      </c>
      <c r="S49" s="3511"/>
      <c r="T49" s="3511"/>
      <c r="U49" s="3511"/>
      <c r="V49" s="3511"/>
      <c r="W49" s="3511"/>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61" t="s">
        <v>1775</v>
      </c>
      <c r="Q4" s="3462"/>
      <c r="R4" s="3465" t="s">
        <v>1771</v>
      </c>
      <c r="S4" s="3466"/>
      <c r="T4" s="3465" t="s">
        <v>1772</v>
      </c>
      <c r="U4" s="3466"/>
      <c r="V4" s="3403" t="s">
        <v>1773</v>
      </c>
      <c r="W4" s="3403"/>
      <c r="X4" s="1264"/>
      <c r="Y4" s="3465" t="s">
        <v>1775</v>
      </c>
      <c r="Z4" s="3466"/>
      <c r="AA4" s="3460" t="s">
        <v>1771</v>
      </c>
      <c r="AB4" s="3403" t="s">
        <v>1772</v>
      </c>
      <c r="AC4" s="3460" t="s">
        <v>1773</v>
      </c>
    </row>
    <row r="5" spans="1:29" ht="15">
      <c r="A5" s="347"/>
      <c r="B5" s="348"/>
      <c r="C5" s="3467" t="s">
        <v>1673</v>
      </c>
      <c r="D5" s="3439"/>
      <c r="E5" s="3512" t="s">
        <v>1674</v>
      </c>
      <c r="F5" s="3450"/>
      <c r="G5" s="3467" t="s">
        <v>1675</v>
      </c>
      <c r="H5" s="3439"/>
      <c r="I5" s="3467" t="s">
        <v>1676</v>
      </c>
      <c r="J5" s="3439"/>
      <c r="K5" s="536"/>
      <c r="L5" s="2485"/>
      <c r="M5" s="2486"/>
      <c r="N5" s="2486"/>
      <c r="O5" s="2486"/>
      <c r="P5" s="3463"/>
      <c r="Q5" s="3426"/>
      <c r="R5" s="3431"/>
      <c r="S5" s="3432"/>
      <c r="T5" s="3431"/>
      <c r="U5" s="3432"/>
      <c r="V5" s="3403"/>
      <c r="W5" s="3403"/>
      <c r="X5" s="1264"/>
      <c r="Y5" s="3431"/>
      <c r="Z5" s="3432"/>
      <c r="AA5" s="3447"/>
      <c r="AB5" s="3403"/>
      <c r="AC5" s="3447"/>
    </row>
    <row r="6" spans="1:29" ht="15.75" thickBot="1">
      <c r="A6" s="349"/>
      <c r="B6" s="350"/>
      <c r="C6" s="3436" t="s">
        <v>1677</v>
      </c>
      <c r="D6" s="3437"/>
      <c r="E6" s="3444" t="s">
        <v>1677</v>
      </c>
      <c r="F6" s="3445"/>
      <c r="G6" s="3436" t="s">
        <v>1677</v>
      </c>
      <c r="H6" s="3437"/>
      <c r="I6" s="3436" t="s">
        <v>1677</v>
      </c>
      <c r="J6" s="3437"/>
      <c r="K6" s="536" t="s">
        <v>1678</v>
      </c>
      <c r="L6" s="2485"/>
      <c r="M6" s="2486"/>
      <c r="N6" s="2486"/>
      <c r="O6" s="2486"/>
      <c r="P6" s="3464"/>
      <c r="Q6" s="3428"/>
      <c r="R6" s="3431"/>
      <c r="S6" s="3432"/>
      <c r="T6" s="3433"/>
      <c r="U6" s="3434"/>
      <c r="V6" s="3403"/>
      <c r="W6" s="3403"/>
      <c r="X6" s="1264"/>
      <c r="Y6" s="3433"/>
      <c r="Z6" s="3434"/>
      <c r="AA6" s="3448"/>
      <c r="AB6" s="3403"/>
      <c r="AC6" s="3448"/>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442" t="s">
        <v>1680</v>
      </c>
      <c r="Q7" s="3443"/>
      <c r="R7" s="663" t="s">
        <v>14</v>
      </c>
      <c r="S7" s="664">
        <f t="shared" ref="S7:S15" si="0">F7</f>
        <v>0</v>
      </c>
      <c r="T7" s="663" t="s">
        <v>14</v>
      </c>
      <c r="U7" s="664">
        <f t="shared" ref="U7:U15" si="1">H7</f>
        <v>0</v>
      </c>
      <c r="V7" s="663" t="s">
        <v>14</v>
      </c>
      <c r="W7" s="664">
        <f t="shared" ref="W7:W15" si="2">J7</f>
        <v>0</v>
      </c>
      <c r="X7" s="665"/>
      <c r="Y7" s="3442" t="s">
        <v>1680</v>
      </c>
      <c r="Z7" s="3441"/>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42" t="s">
        <v>1683</v>
      </c>
      <c r="Q8" s="3441"/>
      <c r="R8" s="663" t="s">
        <v>14</v>
      </c>
      <c r="S8" s="664">
        <f t="shared" si="0"/>
        <v>100</v>
      </c>
      <c r="T8" s="663" t="s">
        <v>14</v>
      </c>
      <c r="U8" s="664">
        <f t="shared" si="1"/>
        <v>100</v>
      </c>
      <c r="V8" s="663" t="s">
        <v>14</v>
      </c>
      <c r="W8" s="664">
        <f t="shared" si="2"/>
        <v>100</v>
      </c>
      <c r="X8" s="665"/>
      <c r="Y8" s="3442" t="s">
        <v>1683</v>
      </c>
      <c r="Z8" s="3441"/>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01" t="s">
        <v>1686</v>
      </c>
      <c r="Q9" s="529" t="str">
        <f t="shared" ref="Q9:Q15" si="6">B9</f>
        <v>用途</v>
      </c>
      <c r="R9" s="663" t="s">
        <v>14</v>
      </c>
      <c r="S9" s="664">
        <f t="shared" si="0"/>
        <v>100</v>
      </c>
      <c r="T9" s="663" t="s">
        <v>14</v>
      </c>
      <c r="U9" s="664">
        <f t="shared" si="1"/>
        <v>100</v>
      </c>
      <c r="V9" s="663" t="s">
        <v>14</v>
      </c>
      <c r="W9" s="664">
        <f t="shared" si="2"/>
        <v>100</v>
      </c>
      <c r="X9" s="665"/>
      <c r="Y9" s="3308"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01"/>
      <c r="Q10" s="529" t="str">
        <f t="shared" si="6"/>
        <v>土地使用年限（年）</v>
      </c>
      <c r="R10" s="663" t="s">
        <v>14</v>
      </c>
      <c r="S10" s="664">
        <f t="shared" si="0"/>
        <v>100</v>
      </c>
      <c r="T10" s="663" t="s">
        <v>14</v>
      </c>
      <c r="U10" s="664">
        <f t="shared" si="1"/>
        <v>100</v>
      </c>
      <c r="V10" s="663" t="s">
        <v>14</v>
      </c>
      <c r="W10" s="664">
        <f t="shared" si="2"/>
        <v>100</v>
      </c>
      <c r="X10" s="665"/>
      <c r="Y10" s="3308"/>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01"/>
      <c r="Q11" s="529" t="str">
        <f t="shared" si="6"/>
        <v>容积率</v>
      </c>
      <c r="R11" s="663" t="s">
        <v>14</v>
      </c>
      <c r="S11" s="664" t="e">
        <f t="shared" si="0"/>
        <v>#N/A</v>
      </c>
      <c r="T11" s="663" t="s">
        <v>14</v>
      </c>
      <c r="U11" s="664" t="e">
        <f t="shared" si="1"/>
        <v>#N/A</v>
      </c>
      <c r="V11" s="663" t="s">
        <v>14</v>
      </c>
      <c r="W11" s="664" t="e">
        <f t="shared" si="2"/>
        <v>#N/A</v>
      </c>
      <c r="X11" s="665"/>
      <c r="Y11" s="3308"/>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01"/>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01"/>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01"/>
      <c r="Q14" s="529">
        <f t="shared" si="6"/>
        <v>111</v>
      </c>
      <c r="R14" s="663" t="s">
        <v>14</v>
      </c>
      <c r="S14" s="664">
        <f t="shared" si="0"/>
        <v>100</v>
      </c>
      <c r="T14" s="663" t="s">
        <v>14</v>
      </c>
      <c r="U14" s="664">
        <f t="shared" si="1"/>
        <v>100</v>
      </c>
      <c r="V14" s="663" t="s">
        <v>14</v>
      </c>
      <c r="W14" s="664">
        <f t="shared" si="2"/>
        <v>100</v>
      </c>
      <c r="X14" s="665"/>
      <c r="Y14" s="3308"/>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07" t="s">
        <v>1691</v>
      </c>
      <c r="Q15" s="1262" t="str">
        <f t="shared" si="6"/>
        <v>商业繁华度</v>
      </c>
      <c r="R15" s="666" t="s">
        <v>14</v>
      </c>
      <c r="S15" s="667">
        <f t="shared" si="0"/>
        <v>100</v>
      </c>
      <c r="T15" s="666" t="s">
        <v>14</v>
      </c>
      <c r="U15" s="667">
        <f t="shared" si="1"/>
        <v>100</v>
      </c>
      <c r="V15" s="666" t="s">
        <v>14</v>
      </c>
      <c r="W15" s="667">
        <f t="shared" si="2"/>
        <v>100</v>
      </c>
      <c r="X15" s="1264"/>
      <c r="Y15" s="340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08"/>
      <c r="Q16" s="1262"/>
      <c r="R16" s="666"/>
      <c r="S16" s="667"/>
      <c r="T16" s="666"/>
      <c r="U16" s="667"/>
      <c r="V16" s="666"/>
      <c r="W16" s="667"/>
      <c r="X16" s="1264"/>
      <c r="Y16" s="3410"/>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08"/>
      <c r="Q18" s="1262"/>
      <c r="R18" s="666"/>
      <c r="S18" s="667"/>
      <c r="T18" s="666"/>
      <c r="U18" s="667"/>
      <c r="V18" s="666"/>
      <c r="W18" s="667"/>
      <c r="X18" s="1264"/>
      <c r="Y18" s="3410"/>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08"/>
      <c r="Q20" s="1262"/>
      <c r="R20" s="666"/>
      <c r="S20" s="667"/>
      <c r="T20" s="666"/>
      <c r="U20" s="667"/>
      <c r="V20" s="666"/>
      <c r="W20" s="667"/>
      <c r="X20" s="1264"/>
      <c r="Y20" s="3410"/>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08"/>
      <c r="Q22" s="1262"/>
      <c r="R22" s="666"/>
      <c r="S22" s="667"/>
      <c r="T22" s="666"/>
      <c r="U22" s="667"/>
      <c r="V22" s="666"/>
      <c r="W22" s="667"/>
      <c r="X22" s="1264"/>
      <c r="Y22" s="3410"/>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08"/>
      <c r="Q24" s="1262"/>
      <c r="R24" s="666"/>
      <c r="S24" s="667"/>
      <c r="T24" s="666"/>
      <c r="U24" s="667"/>
      <c r="V24" s="666"/>
      <c r="W24" s="667"/>
      <c r="X24" s="1264"/>
      <c r="Y24" s="341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08"/>
      <c r="Q27" s="529" t="str">
        <f t="shared" si="11"/>
        <v>人流量</v>
      </c>
      <c r="R27" s="663" t="s">
        <v>14</v>
      </c>
      <c r="S27" s="664">
        <f>F27</f>
        <v>100</v>
      </c>
      <c r="T27" s="663" t="s">
        <v>14</v>
      </c>
      <c r="U27" s="664">
        <f>H27</f>
        <v>100</v>
      </c>
      <c r="V27" s="663" t="s">
        <v>14</v>
      </c>
      <c r="W27" s="664">
        <f>J27</f>
        <v>100</v>
      </c>
      <c r="X27" s="665"/>
      <c r="Y27" s="3410"/>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11" t="s">
        <v>1696</v>
      </c>
      <c r="Q32" s="1262" t="str">
        <f t="shared" si="11"/>
        <v>商业类型</v>
      </c>
      <c r="R32" s="666" t="s">
        <v>14</v>
      </c>
      <c r="S32" s="667">
        <f t="shared" si="12"/>
        <v>100</v>
      </c>
      <c r="T32" s="666" t="s">
        <v>14</v>
      </c>
      <c r="U32" s="667">
        <f t="shared" si="13"/>
        <v>100</v>
      </c>
      <c r="V32" s="666" t="s">
        <v>14</v>
      </c>
      <c r="W32" s="667">
        <f t="shared" si="14"/>
        <v>100</v>
      </c>
      <c r="X32" s="1264"/>
      <c r="Y32" s="3414"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12"/>
      <c r="Q33" s="530" t="str">
        <f t="shared" si="11"/>
        <v>项目建筑规模</v>
      </c>
      <c r="R33" s="668" t="s">
        <v>14</v>
      </c>
      <c r="S33" s="669" t="e">
        <f t="shared" si="12"/>
        <v>#N/A</v>
      </c>
      <c r="T33" s="668" t="s">
        <v>14</v>
      </c>
      <c r="U33" s="669" t="e">
        <f t="shared" si="13"/>
        <v>#N/A</v>
      </c>
      <c r="V33" s="668" t="s">
        <v>14</v>
      </c>
      <c r="W33" s="669" t="e">
        <f t="shared" si="14"/>
        <v>#N/A</v>
      </c>
      <c r="X33" s="670"/>
      <c r="Y33" s="3414"/>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12"/>
      <c r="Q36" s="1262" t="str">
        <f t="shared" si="11"/>
        <v>成新度</v>
      </c>
      <c r="R36" s="666" t="s">
        <v>14</v>
      </c>
      <c r="S36" s="667" t="e">
        <f t="shared" si="12"/>
        <v>#N/A</v>
      </c>
      <c r="T36" s="666" t="s">
        <v>14</v>
      </c>
      <c r="U36" s="667" t="e">
        <f t="shared" si="13"/>
        <v>#N/A</v>
      </c>
      <c r="V36" s="666" t="s">
        <v>14</v>
      </c>
      <c r="W36" s="667" t="e">
        <f t="shared" si="14"/>
        <v>#N/A</v>
      </c>
      <c r="X36" s="1264"/>
      <c r="Y36" s="3414"/>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12"/>
      <c r="Q37" s="529" t="str">
        <f t="shared" si="11"/>
        <v>市政基础设施</v>
      </c>
      <c r="R37" s="663" t="s">
        <v>14</v>
      </c>
      <c r="S37" s="664">
        <f t="shared" si="12"/>
        <v>100</v>
      </c>
      <c r="T37" s="663" t="s">
        <v>14</v>
      </c>
      <c r="U37" s="664">
        <f t="shared" si="13"/>
        <v>100</v>
      </c>
      <c r="V37" s="663" t="s">
        <v>14</v>
      </c>
      <c r="W37" s="664">
        <f t="shared" si="14"/>
        <v>100</v>
      </c>
      <c r="X37" s="665"/>
      <c r="Y37" s="3414"/>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12" t="s">
        <v>1696</v>
      </c>
      <c r="Q38" s="1262" t="str">
        <f t="shared" si="11"/>
        <v>业态</v>
      </c>
      <c r="R38" s="666" t="s">
        <v>14</v>
      </c>
      <c r="S38" s="667">
        <f t="shared" si="12"/>
        <v>100</v>
      </c>
      <c r="T38" s="666" t="s">
        <v>14</v>
      </c>
      <c r="U38" s="667">
        <f t="shared" si="13"/>
        <v>100</v>
      </c>
      <c r="V38" s="666" t="s">
        <v>14</v>
      </c>
      <c r="W38" s="667">
        <f t="shared" si="14"/>
        <v>100</v>
      </c>
      <c r="X38" s="1264"/>
      <c r="Y38" s="3414"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12"/>
      <c r="Q41" s="530"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12"/>
      <c r="Q44" s="529">
        <f t="shared" si="11"/>
        <v>111</v>
      </c>
      <c r="R44" s="663" t="s">
        <v>14</v>
      </c>
      <c r="S44" s="664">
        <f t="shared" si="12"/>
        <v>100</v>
      </c>
      <c r="T44" s="663" t="s">
        <v>14</v>
      </c>
      <c r="U44" s="664">
        <f t="shared" si="13"/>
        <v>100</v>
      </c>
      <c r="V44" s="663" t="s">
        <v>14</v>
      </c>
      <c r="W44" s="664">
        <f t="shared" si="14"/>
        <v>100</v>
      </c>
      <c r="X44" s="665"/>
      <c r="Y44" s="3414"/>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02" t="str">
        <f>A47</f>
        <v>成交单价（元/平方米）</v>
      </c>
      <c r="Q47" s="3402"/>
      <c r="R47" s="3403">
        <f>E47</f>
        <v>0</v>
      </c>
      <c r="S47" s="3403"/>
      <c r="T47" s="3403">
        <f>G47</f>
        <v>0</v>
      </c>
      <c r="U47" s="3403"/>
      <c r="V47" s="3403">
        <f>I47</f>
        <v>0</v>
      </c>
      <c r="W47" s="3403"/>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55" t="str">
        <f>A49</f>
        <v>估价对象XX用房的比较价值（楼面单价，元/平方米）</v>
      </c>
      <c r="Q49" s="3456"/>
      <c r="R49" s="3511" t="e">
        <f>IF(F1="售价",ROUND(IF(D48="简单平均",AVERAGE(R48:V48),R48*F48+T48*H48+V48*J48),0),ROUND(IF(D48="简单平均",AVERAGE(R48:V48),R48*F48+T48*H48+V48*J48),1))</f>
        <v>#DIV/0!</v>
      </c>
      <c r="S49" s="3511"/>
      <c r="T49" s="3511"/>
      <c r="U49" s="3511"/>
      <c r="V49" s="3511"/>
      <c r="W49" s="3511"/>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859"/>
      <c r="M4" s="860"/>
      <c r="N4" s="860"/>
      <c r="O4" s="860"/>
      <c r="P4" s="3461" t="s">
        <v>1775</v>
      </c>
      <c r="Q4" s="3462"/>
      <c r="R4" s="3465" t="s">
        <v>1771</v>
      </c>
      <c r="S4" s="3466"/>
      <c r="T4" s="3465" t="s">
        <v>1772</v>
      </c>
      <c r="U4" s="3466"/>
      <c r="V4" s="3403" t="s">
        <v>1773</v>
      </c>
      <c r="W4" s="3403"/>
      <c r="X4" s="1264"/>
      <c r="Y4" s="3465" t="s">
        <v>1775</v>
      </c>
      <c r="Z4" s="3466"/>
      <c r="AA4" s="3460" t="s">
        <v>1771</v>
      </c>
      <c r="AB4" s="3447" t="s">
        <v>1772</v>
      </c>
      <c r="AC4" s="3460" t="s">
        <v>1773</v>
      </c>
    </row>
    <row r="5" spans="1:29" ht="15">
      <c r="A5" s="347"/>
      <c r="B5" s="348"/>
      <c r="C5" s="3467" t="s">
        <v>1673</v>
      </c>
      <c r="D5" s="3439"/>
      <c r="E5" s="3512" t="s">
        <v>1674</v>
      </c>
      <c r="F5" s="3450"/>
      <c r="G5" s="3467" t="s">
        <v>1675</v>
      </c>
      <c r="H5" s="3439"/>
      <c r="I5" s="3467" t="s">
        <v>1676</v>
      </c>
      <c r="J5" s="3439"/>
      <c r="K5" s="536"/>
      <c r="L5" s="859"/>
      <c r="M5" s="860"/>
      <c r="N5" s="860"/>
      <c r="O5" s="860"/>
      <c r="P5" s="3463"/>
      <c r="Q5" s="3426"/>
      <c r="R5" s="3431"/>
      <c r="S5" s="3432"/>
      <c r="T5" s="3431"/>
      <c r="U5" s="3432"/>
      <c r="V5" s="3403"/>
      <c r="W5" s="3403"/>
      <c r="X5" s="1264"/>
      <c r="Y5" s="3431"/>
      <c r="Z5" s="3432"/>
      <c r="AA5" s="3447"/>
      <c r="AB5" s="3447"/>
      <c r="AC5" s="3447"/>
    </row>
    <row r="6" spans="1:29" ht="15.75" thickBot="1">
      <c r="A6" s="349"/>
      <c r="B6" s="350"/>
      <c r="C6" s="3436" t="s">
        <v>1677</v>
      </c>
      <c r="D6" s="3437"/>
      <c r="E6" s="3444" t="s">
        <v>1677</v>
      </c>
      <c r="F6" s="3445"/>
      <c r="G6" s="3436" t="s">
        <v>1677</v>
      </c>
      <c r="H6" s="3437"/>
      <c r="I6" s="3436" t="s">
        <v>1677</v>
      </c>
      <c r="J6" s="3437"/>
      <c r="K6" s="536" t="s">
        <v>1678</v>
      </c>
      <c r="L6" s="859"/>
      <c r="M6" s="860"/>
      <c r="N6" s="860"/>
      <c r="O6" s="860"/>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442" t="s">
        <v>1680</v>
      </c>
      <c r="Q7" s="3443"/>
      <c r="R7" s="663" t="s">
        <v>14</v>
      </c>
      <c r="S7" s="664">
        <f t="shared" ref="S7:S15" si="0">F7</f>
        <v>0</v>
      </c>
      <c r="T7" s="663" t="s">
        <v>14</v>
      </c>
      <c r="U7" s="664">
        <f t="shared" ref="U7:U15" si="1">H7</f>
        <v>0</v>
      </c>
      <c r="V7" s="663" t="s">
        <v>14</v>
      </c>
      <c r="W7" s="664">
        <f t="shared" ref="W7:W15" si="2">J7</f>
        <v>0</v>
      </c>
      <c r="X7" s="665"/>
      <c r="Y7" s="3442" t="s">
        <v>1680</v>
      </c>
      <c r="Z7" s="3441"/>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42" t="s">
        <v>1683</v>
      </c>
      <c r="Q8" s="3441"/>
      <c r="R8" s="663" t="s">
        <v>14</v>
      </c>
      <c r="S8" s="664">
        <f t="shared" si="0"/>
        <v>100</v>
      </c>
      <c r="T8" s="663" t="s">
        <v>14</v>
      </c>
      <c r="U8" s="664">
        <f t="shared" si="1"/>
        <v>100</v>
      </c>
      <c r="V8" s="663" t="s">
        <v>14</v>
      </c>
      <c r="W8" s="664">
        <f t="shared" si="2"/>
        <v>100</v>
      </c>
      <c r="X8" s="665"/>
      <c r="Y8" s="3442" t="s">
        <v>1683</v>
      </c>
      <c r="Z8" s="3441"/>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02" t="s">
        <v>1686</v>
      </c>
      <c r="Q9" s="529" t="str">
        <f t="shared" ref="Q9:Q15" si="6">B9</f>
        <v>用途</v>
      </c>
      <c r="R9" s="663" t="s">
        <v>14</v>
      </c>
      <c r="S9" s="664">
        <f t="shared" si="0"/>
        <v>100</v>
      </c>
      <c r="T9" s="663" t="s">
        <v>14</v>
      </c>
      <c r="U9" s="664">
        <f t="shared" si="1"/>
        <v>100</v>
      </c>
      <c r="V9" s="663" t="s">
        <v>14</v>
      </c>
      <c r="W9" s="664">
        <f t="shared" si="2"/>
        <v>100</v>
      </c>
      <c r="X9" s="665"/>
      <c r="Y9" s="3308"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02"/>
      <c r="Q10" s="529" t="str">
        <f t="shared" si="6"/>
        <v>土地使用年限（年）</v>
      </c>
      <c r="R10" s="663" t="s">
        <v>14</v>
      </c>
      <c r="S10" s="664">
        <f t="shared" si="0"/>
        <v>100</v>
      </c>
      <c r="T10" s="663" t="s">
        <v>14</v>
      </c>
      <c r="U10" s="664">
        <f t="shared" si="1"/>
        <v>100</v>
      </c>
      <c r="V10" s="663" t="s">
        <v>14</v>
      </c>
      <c r="W10" s="664">
        <f t="shared" si="2"/>
        <v>100</v>
      </c>
      <c r="X10" s="665"/>
      <c r="Y10" s="3308"/>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2"/>
      <c r="Q11" s="529" t="str">
        <f t="shared" si="6"/>
        <v>容积率</v>
      </c>
      <c r="R11" s="663" t="s">
        <v>14</v>
      </c>
      <c r="S11" s="664">
        <f t="shared" si="0"/>
        <v>100</v>
      </c>
      <c r="T11" s="663" t="s">
        <v>14</v>
      </c>
      <c r="U11" s="664">
        <f t="shared" si="1"/>
        <v>100</v>
      </c>
      <c r="V11" s="663" t="s">
        <v>14</v>
      </c>
      <c r="W11" s="664">
        <f t="shared" si="2"/>
        <v>100</v>
      </c>
      <c r="X11" s="665"/>
      <c r="Y11" s="3308"/>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2"/>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2"/>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2"/>
      <c r="Q14" s="529">
        <f t="shared" si="6"/>
        <v>111</v>
      </c>
      <c r="R14" s="663" t="s">
        <v>14</v>
      </c>
      <c r="S14" s="664">
        <f t="shared" si="0"/>
        <v>100</v>
      </c>
      <c r="T14" s="663" t="s">
        <v>14</v>
      </c>
      <c r="U14" s="664">
        <f t="shared" si="1"/>
        <v>100</v>
      </c>
      <c r="V14" s="663" t="s">
        <v>14</v>
      </c>
      <c r="W14" s="664">
        <f t="shared" si="2"/>
        <v>100</v>
      </c>
      <c r="X14" s="665"/>
      <c r="Y14" s="3308"/>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9" t="s">
        <v>1691</v>
      </c>
      <c r="Q15" s="1262" t="str">
        <f t="shared" si="6"/>
        <v>产业集聚程度</v>
      </c>
      <c r="R15" s="666" t="s">
        <v>14</v>
      </c>
      <c r="S15" s="667">
        <f t="shared" si="0"/>
        <v>100</v>
      </c>
      <c r="T15" s="666" t="s">
        <v>14</v>
      </c>
      <c r="U15" s="667">
        <f t="shared" si="1"/>
        <v>100</v>
      </c>
      <c r="V15" s="666" t="s">
        <v>14</v>
      </c>
      <c r="W15" s="667">
        <f t="shared" si="2"/>
        <v>100</v>
      </c>
      <c r="X15" s="1264"/>
      <c r="Y15" s="340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0"/>
      <c r="Q16" s="1262"/>
      <c r="R16" s="666"/>
      <c r="S16" s="667"/>
      <c r="T16" s="666"/>
      <c r="U16" s="667"/>
      <c r="V16" s="666"/>
      <c r="W16" s="667"/>
      <c r="X16" s="1264"/>
      <c r="Y16" s="3410"/>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0"/>
      <c r="Q18" s="1262"/>
      <c r="R18" s="666"/>
      <c r="S18" s="667"/>
      <c r="T18" s="666"/>
      <c r="U18" s="667"/>
      <c r="V18" s="666"/>
      <c r="W18" s="667"/>
      <c r="X18" s="1264"/>
      <c r="Y18" s="3410"/>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0"/>
      <c r="Q20" s="1262"/>
      <c r="R20" s="666"/>
      <c r="S20" s="667"/>
      <c r="T20" s="666"/>
      <c r="U20" s="667"/>
      <c r="V20" s="666"/>
      <c r="W20" s="667"/>
      <c r="X20" s="1264"/>
      <c r="Y20" s="3410"/>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0"/>
      <c r="Q27" s="529">
        <f t="shared" si="11"/>
        <v>111</v>
      </c>
      <c r="R27" s="663" t="s">
        <v>14</v>
      </c>
      <c r="S27" s="664">
        <f>F27</f>
        <v>100</v>
      </c>
      <c r="T27" s="663" t="s">
        <v>14</v>
      </c>
      <c r="U27" s="664">
        <f>H27</f>
        <v>100</v>
      </c>
      <c r="V27" s="663" t="s">
        <v>14</v>
      </c>
      <c r="W27" s="664">
        <f>J27</f>
        <v>100</v>
      </c>
      <c r="X27" s="665"/>
      <c r="Y27" s="3410"/>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9" t="s">
        <v>1696</v>
      </c>
      <c r="Q29" s="1262" t="str">
        <f t="shared" si="11"/>
        <v>建筑类型</v>
      </c>
      <c r="R29" s="666" t="s">
        <v>14</v>
      </c>
      <c r="S29" s="667">
        <f t="shared" si="12"/>
        <v>100</v>
      </c>
      <c r="T29" s="666" t="s">
        <v>14</v>
      </c>
      <c r="U29" s="667">
        <f t="shared" si="13"/>
        <v>100</v>
      </c>
      <c r="V29" s="666" t="s">
        <v>14</v>
      </c>
      <c r="W29" s="667">
        <f t="shared" si="14"/>
        <v>100</v>
      </c>
      <c r="X29" s="1264"/>
      <c r="Y29" s="3414"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4"/>
      <c r="Q30" s="530"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4"/>
      <c r="Q34" s="529" t="str">
        <f t="shared" si="11"/>
        <v>物业管理</v>
      </c>
      <c r="R34" s="663" t="s">
        <v>14</v>
      </c>
      <c r="S34" s="664">
        <f t="shared" si="12"/>
        <v>100</v>
      </c>
      <c r="T34" s="663" t="s">
        <v>14</v>
      </c>
      <c r="U34" s="664">
        <f t="shared" si="13"/>
        <v>100</v>
      </c>
      <c r="V34" s="663" t="s">
        <v>14</v>
      </c>
      <c r="W34" s="664">
        <f t="shared" si="14"/>
        <v>100</v>
      </c>
      <c r="X34" s="665"/>
      <c r="Y34" s="3414"/>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4" t="s">
        <v>1696</v>
      </c>
      <c r="Q35" s="1262" t="str">
        <f t="shared" si="11"/>
        <v>市政基础设施</v>
      </c>
      <c r="R35" s="666" t="s">
        <v>14</v>
      </c>
      <c r="S35" s="667">
        <f t="shared" si="12"/>
        <v>100</v>
      </c>
      <c r="T35" s="666" t="s">
        <v>14</v>
      </c>
      <c r="U35" s="667">
        <f t="shared" si="13"/>
        <v>100</v>
      </c>
      <c r="V35" s="666" t="s">
        <v>14</v>
      </c>
      <c r="W35" s="667">
        <f t="shared" si="14"/>
        <v>100</v>
      </c>
      <c r="X35" s="1264"/>
      <c r="Y35" s="3414"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4"/>
      <c r="Q38" s="530">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02" t="str">
        <f>A41</f>
        <v>成交单价（元/平方米）</v>
      </c>
      <c r="Q41" s="3402"/>
      <c r="R41" s="3403">
        <f>E41</f>
        <v>0</v>
      </c>
      <c r="S41" s="3403"/>
      <c r="T41" s="3403">
        <f>G41</f>
        <v>0</v>
      </c>
      <c r="U41" s="3403"/>
      <c r="V41" s="3403">
        <f>I41</f>
        <v>0</v>
      </c>
      <c r="W41" s="3403"/>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55" t="str">
        <f>A43</f>
        <v>估价对象XX用房的比较价值（楼面单价，元/平方米）</v>
      </c>
      <c r="Q43" s="3456"/>
      <c r="R43" s="3511" t="e">
        <f>IF(F1="售价",ROUND(IF(D42="简单平均",AVERAGE(R42:V42),R42*F42+T42*H42+V42*J42),0),ROUND(IF(D42="简单平均",AVERAGE(R42:V42),R42*F42+T42*H42+V42*J42),1))</f>
        <v>#DIV/0!</v>
      </c>
      <c r="S43" s="3511"/>
      <c r="T43" s="3511"/>
      <c r="U43" s="3511"/>
      <c r="V43" s="3511"/>
      <c r="W43" s="3511"/>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61" t="s">
        <v>1775</v>
      </c>
      <c r="Q4" s="3462"/>
      <c r="R4" s="3465" t="s">
        <v>1771</v>
      </c>
      <c r="S4" s="3466"/>
      <c r="T4" s="3465" t="s">
        <v>1772</v>
      </c>
      <c r="U4" s="3466"/>
      <c r="V4" s="3403" t="s">
        <v>1773</v>
      </c>
      <c r="W4" s="3403"/>
      <c r="X4" s="1264"/>
      <c r="Y4" s="3465" t="s">
        <v>1775</v>
      </c>
      <c r="Z4" s="3466"/>
      <c r="AA4" s="3460" t="s">
        <v>1771</v>
      </c>
      <c r="AB4" s="3447" t="s">
        <v>1772</v>
      </c>
      <c r="AC4" s="3460" t="s">
        <v>1773</v>
      </c>
    </row>
    <row r="5" spans="1:29" ht="15">
      <c r="A5" s="347"/>
      <c r="B5" s="348"/>
      <c r="C5" s="3467" t="s">
        <v>1673</v>
      </c>
      <c r="D5" s="3439"/>
      <c r="E5" s="3512" t="s">
        <v>1674</v>
      </c>
      <c r="F5" s="3450"/>
      <c r="G5" s="3467" t="s">
        <v>1675</v>
      </c>
      <c r="H5" s="3439"/>
      <c r="I5" s="3467" t="s">
        <v>1676</v>
      </c>
      <c r="J5" s="3439"/>
      <c r="K5" s="536"/>
      <c r="L5" s="2485"/>
      <c r="M5" s="2486"/>
      <c r="N5" s="2486"/>
      <c r="O5" s="2486"/>
      <c r="P5" s="3463"/>
      <c r="Q5" s="3426"/>
      <c r="R5" s="3431"/>
      <c r="S5" s="3432"/>
      <c r="T5" s="3431"/>
      <c r="U5" s="3432"/>
      <c r="V5" s="3403"/>
      <c r="W5" s="3403"/>
      <c r="X5" s="1264"/>
      <c r="Y5" s="3431"/>
      <c r="Z5" s="3432"/>
      <c r="AA5" s="3447"/>
      <c r="AB5" s="3447"/>
      <c r="AC5" s="3447"/>
    </row>
    <row r="6" spans="1:29" ht="15.75" thickBot="1">
      <c r="A6" s="349"/>
      <c r="B6" s="350"/>
      <c r="C6" s="3436" t="s">
        <v>1677</v>
      </c>
      <c r="D6" s="3437"/>
      <c r="E6" s="3444" t="s">
        <v>1677</v>
      </c>
      <c r="F6" s="3445"/>
      <c r="G6" s="3436" t="s">
        <v>1677</v>
      </c>
      <c r="H6" s="3437"/>
      <c r="I6" s="3436" t="s">
        <v>1677</v>
      </c>
      <c r="J6" s="3437"/>
      <c r="K6" s="536" t="s">
        <v>1678</v>
      </c>
      <c r="L6" s="2485"/>
      <c r="M6" s="2486"/>
      <c r="N6" s="2486"/>
      <c r="O6" s="2486"/>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442" t="s">
        <v>1680</v>
      </c>
      <c r="Q7" s="3443"/>
      <c r="R7" s="663" t="s">
        <v>14</v>
      </c>
      <c r="S7" s="664">
        <f t="shared" ref="S7:S14" si="0">F7</f>
        <v>0</v>
      </c>
      <c r="T7" s="663" t="s">
        <v>14</v>
      </c>
      <c r="U7" s="664">
        <f t="shared" ref="U7:U14" si="1">H7</f>
        <v>0</v>
      </c>
      <c r="V7" s="663" t="s">
        <v>14</v>
      </c>
      <c r="W7" s="664">
        <f t="shared" ref="W7:W14" si="2">J7</f>
        <v>0</v>
      </c>
      <c r="X7" s="665"/>
      <c r="Y7" s="3442" t="s">
        <v>1680</v>
      </c>
      <c r="Z7" s="3441"/>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42" t="s">
        <v>1683</v>
      </c>
      <c r="Q8" s="3441"/>
      <c r="R8" s="663" t="s">
        <v>14</v>
      </c>
      <c r="S8" s="664">
        <f t="shared" si="0"/>
        <v>100</v>
      </c>
      <c r="T8" s="663" t="s">
        <v>14</v>
      </c>
      <c r="U8" s="664">
        <f t="shared" si="1"/>
        <v>100</v>
      </c>
      <c r="V8" s="663" t="s">
        <v>14</v>
      </c>
      <c r="W8" s="664">
        <f t="shared" si="2"/>
        <v>100</v>
      </c>
      <c r="X8" s="665"/>
      <c r="Y8" s="3442" t="s">
        <v>1683</v>
      </c>
      <c r="Z8" s="3441"/>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02" t="s">
        <v>1686</v>
      </c>
      <c r="Q9" s="529" t="str">
        <f t="shared" ref="Q9:Q14" si="6">B9</f>
        <v>用途</v>
      </c>
      <c r="R9" s="663" t="s">
        <v>14</v>
      </c>
      <c r="S9" s="664">
        <f t="shared" si="0"/>
        <v>100</v>
      </c>
      <c r="T9" s="663" t="s">
        <v>14</v>
      </c>
      <c r="U9" s="664">
        <f t="shared" si="1"/>
        <v>100</v>
      </c>
      <c r="V9" s="663" t="s">
        <v>14</v>
      </c>
      <c r="W9" s="664">
        <f t="shared" si="2"/>
        <v>100</v>
      </c>
      <c r="X9" s="665"/>
      <c r="Y9" s="3308"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02"/>
      <c r="Q10" s="529" t="str">
        <f t="shared" si="6"/>
        <v>土地使用年限（年）</v>
      </c>
      <c r="R10" s="663" t="s">
        <v>14</v>
      </c>
      <c r="S10" s="664">
        <f t="shared" si="0"/>
        <v>100</v>
      </c>
      <c r="T10" s="663" t="s">
        <v>14</v>
      </c>
      <c r="U10" s="664">
        <f t="shared" si="1"/>
        <v>100</v>
      </c>
      <c r="V10" s="663" t="s">
        <v>14</v>
      </c>
      <c r="W10" s="664">
        <f t="shared" si="2"/>
        <v>100</v>
      </c>
      <c r="X10" s="665"/>
      <c r="Y10" s="3308"/>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02"/>
      <c r="Q11" s="529">
        <f t="shared" si="6"/>
        <v>111</v>
      </c>
      <c r="R11" s="663" t="s">
        <v>14</v>
      </c>
      <c r="S11" s="664">
        <f t="shared" si="0"/>
        <v>100</v>
      </c>
      <c r="T11" s="663" t="s">
        <v>14</v>
      </c>
      <c r="U11" s="664">
        <f t="shared" si="1"/>
        <v>100</v>
      </c>
      <c r="V11" s="663" t="s">
        <v>14</v>
      </c>
      <c r="W11" s="664">
        <f t="shared" si="2"/>
        <v>100</v>
      </c>
      <c r="X11" s="665"/>
      <c r="Y11" s="3308"/>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02"/>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02"/>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09" t="s">
        <v>1691</v>
      </c>
      <c r="Q14" s="1262" t="str">
        <f t="shared" si="6"/>
        <v>交通便捷度</v>
      </c>
      <c r="R14" s="666" t="s">
        <v>14</v>
      </c>
      <c r="S14" s="667">
        <f t="shared" si="0"/>
        <v>100</v>
      </c>
      <c r="T14" s="666" t="s">
        <v>14</v>
      </c>
      <c r="U14" s="667">
        <f t="shared" si="1"/>
        <v>100</v>
      </c>
      <c r="V14" s="666" t="s">
        <v>14</v>
      </c>
      <c r="W14" s="667">
        <f t="shared" si="2"/>
        <v>100</v>
      </c>
      <c r="X14" s="1264"/>
      <c r="Y14" s="340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10"/>
      <c r="Q15" s="1262"/>
      <c r="R15" s="666"/>
      <c r="S15" s="667"/>
      <c r="T15" s="666"/>
      <c r="U15" s="667"/>
      <c r="V15" s="666"/>
      <c r="W15" s="667"/>
      <c r="X15" s="1264"/>
      <c r="Y15" s="3410"/>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10"/>
      <c r="Q17" s="1262"/>
      <c r="R17" s="666"/>
      <c r="S17" s="667"/>
      <c r="T17" s="666"/>
      <c r="U17" s="667"/>
      <c r="V17" s="666"/>
      <c r="W17" s="667"/>
      <c r="X17" s="1264"/>
      <c r="Y17" s="3410"/>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10"/>
      <c r="Q19" s="1262"/>
      <c r="R19" s="666"/>
      <c r="S19" s="667"/>
      <c r="T19" s="666"/>
      <c r="U19" s="667"/>
      <c r="V19" s="666"/>
      <c r="W19" s="667"/>
      <c r="X19" s="1264"/>
      <c r="Y19" s="3410"/>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10"/>
      <c r="Q21" s="1262"/>
      <c r="R21" s="666"/>
      <c r="S21" s="667"/>
      <c r="T21" s="666"/>
      <c r="U21" s="667"/>
      <c r="V21" s="666"/>
      <c r="W21" s="667"/>
      <c r="X21" s="1264"/>
      <c r="Y21" s="341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10"/>
      <c r="Q25" s="529">
        <f t="shared" si="11"/>
        <v>111</v>
      </c>
      <c r="R25" s="663" t="s">
        <v>14</v>
      </c>
      <c r="S25" s="664">
        <f>F25</f>
        <v>100</v>
      </c>
      <c r="T25" s="663" t="s">
        <v>14</v>
      </c>
      <c r="U25" s="664">
        <f>H25</f>
        <v>100</v>
      </c>
      <c r="V25" s="663" t="s">
        <v>14</v>
      </c>
      <c r="W25" s="664">
        <f>J25</f>
        <v>100</v>
      </c>
      <c r="X25" s="665"/>
      <c r="Y25" s="3410"/>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5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14"/>
      <c r="Q27" s="530"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14"/>
      <c r="Q31" s="529" t="str">
        <f t="shared" si="11"/>
        <v>停车位面积</v>
      </c>
      <c r="R31" s="663" t="s">
        <v>14</v>
      </c>
      <c r="S31" s="664" t="e">
        <f t="shared" si="12"/>
        <v>#N/A</v>
      </c>
      <c r="T31" s="663" t="s">
        <v>14</v>
      </c>
      <c r="U31" s="664" t="e">
        <f t="shared" si="13"/>
        <v>#N/A</v>
      </c>
      <c r="V31" s="663" t="s">
        <v>14</v>
      </c>
      <c r="W31" s="664" t="e">
        <f t="shared" si="14"/>
        <v>#N/A</v>
      </c>
      <c r="X31" s="665"/>
      <c r="Y31" s="3414"/>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14" t="s">
        <v>1696</v>
      </c>
      <c r="Q32" s="1262" t="str">
        <f t="shared" si="11"/>
        <v>车位类型</v>
      </c>
      <c r="R32" s="666" t="s">
        <v>14</v>
      </c>
      <c r="S32" s="667">
        <f t="shared" si="12"/>
        <v>100</v>
      </c>
      <c r="T32" s="666" t="s">
        <v>14</v>
      </c>
      <c r="U32" s="667">
        <f t="shared" si="13"/>
        <v>100</v>
      </c>
      <c r="V32" s="666" t="s">
        <v>14</v>
      </c>
      <c r="W32" s="667">
        <f t="shared" si="14"/>
        <v>100</v>
      </c>
      <c r="X32" s="1264"/>
      <c r="Y32" s="3414"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14"/>
      <c r="Q35" s="530">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402" t="str">
        <f>A37</f>
        <v>成交单价</v>
      </c>
      <c r="Q37" s="3402"/>
      <c r="R37" s="3403">
        <f>E37</f>
        <v>0</v>
      </c>
      <c r="S37" s="3403"/>
      <c r="T37" s="3403">
        <f>G37</f>
        <v>0</v>
      </c>
      <c r="U37" s="3403"/>
      <c r="V37" s="3403">
        <f>I37</f>
        <v>0</v>
      </c>
      <c r="W37" s="3403"/>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55" t="str">
        <f>A39</f>
        <v>估价对象XX用房的比较价值（楼面单价，元/平方米）</v>
      </c>
      <c r="Q39" s="3456"/>
      <c r="R39" s="3513" t="e">
        <f>IF(F1="售价",ROUND(IF(D38="简单平均",AVERAGE(R38:W38),R38*F38+T38*H38+V38*J38),0),ROUND(IF(D38="简单平均",AVERAGE(R38:V38),R38*F38+T38*H38+V38*J38),1))</f>
        <v>#DIV/0!</v>
      </c>
      <c r="S39" s="3513"/>
      <c r="T39" s="3513"/>
      <c r="U39" s="3513"/>
      <c r="V39" s="3513"/>
      <c r="W39" s="3513"/>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61" t="s">
        <v>1775</v>
      </c>
      <c r="Q4" s="3462"/>
      <c r="R4" s="3465" t="s">
        <v>1771</v>
      </c>
      <c r="S4" s="3466"/>
      <c r="T4" s="3465" t="s">
        <v>1772</v>
      </c>
      <c r="U4" s="3466"/>
      <c r="V4" s="3403" t="s">
        <v>1773</v>
      </c>
      <c r="W4" s="3403"/>
      <c r="X4" s="1264"/>
      <c r="Y4" s="3465" t="s">
        <v>1775</v>
      </c>
      <c r="Z4" s="3466"/>
      <c r="AA4" s="3460" t="s">
        <v>1771</v>
      </c>
      <c r="AB4" s="3447" t="s">
        <v>1772</v>
      </c>
      <c r="AC4" s="3460" t="s">
        <v>1773</v>
      </c>
    </row>
    <row r="5" spans="1:29" ht="15">
      <c r="A5" s="347"/>
      <c r="B5" s="348"/>
      <c r="C5" s="3467" t="s">
        <v>1673</v>
      </c>
      <c r="D5" s="3439"/>
      <c r="E5" s="3512" t="s">
        <v>1674</v>
      </c>
      <c r="F5" s="3450"/>
      <c r="G5" s="3467" t="s">
        <v>1675</v>
      </c>
      <c r="H5" s="3439"/>
      <c r="I5" s="3467" t="s">
        <v>1676</v>
      </c>
      <c r="J5" s="3439"/>
      <c r="K5" s="536"/>
      <c r="L5" s="2485"/>
      <c r="M5" s="2486"/>
      <c r="N5" s="2486"/>
      <c r="O5" s="2486"/>
      <c r="P5" s="3463"/>
      <c r="Q5" s="3426"/>
      <c r="R5" s="3431"/>
      <c r="S5" s="3432"/>
      <c r="T5" s="3431"/>
      <c r="U5" s="3432"/>
      <c r="V5" s="3403"/>
      <c r="W5" s="3403"/>
      <c r="X5" s="1264"/>
      <c r="Y5" s="3431"/>
      <c r="Z5" s="3432"/>
      <c r="AA5" s="3447"/>
      <c r="AB5" s="3447"/>
      <c r="AC5" s="3447"/>
    </row>
    <row r="6" spans="1:29" ht="15.75" thickBot="1">
      <c r="A6" s="349"/>
      <c r="B6" s="350"/>
      <c r="C6" s="3436" t="s">
        <v>1677</v>
      </c>
      <c r="D6" s="3437"/>
      <c r="E6" s="3444" t="s">
        <v>1677</v>
      </c>
      <c r="F6" s="3445"/>
      <c r="G6" s="3436" t="s">
        <v>1677</v>
      </c>
      <c r="H6" s="3437"/>
      <c r="I6" s="3436" t="s">
        <v>1677</v>
      </c>
      <c r="J6" s="3437"/>
      <c r="K6" s="536" t="s">
        <v>1678</v>
      </c>
      <c r="L6" s="2485"/>
      <c r="M6" s="2486"/>
      <c r="N6" s="2486"/>
      <c r="O6" s="2486"/>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42" t="s">
        <v>1680</v>
      </c>
      <c r="Q7" s="3443"/>
      <c r="R7" s="663" t="s">
        <v>14</v>
      </c>
      <c r="S7" s="664">
        <f t="shared" ref="S7:S14" si="0">F7</f>
        <v>0</v>
      </c>
      <c r="T7" s="663" t="s">
        <v>14</v>
      </c>
      <c r="U7" s="664">
        <f t="shared" ref="U7:U14" si="1">H7</f>
        <v>0</v>
      </c>
      <c r="V7" s="663" t="s">
        <v>14</v>
      </c>
      <c r="W7" s="664">
        <f t="shared" ref="W7:W14" si="2">J7</f>
        <v>0</v>
      </c>
      <c r="X7" s="665"/>
      <c r="Y7" s="3442" t="s">
        <v>1680</v>
      </c>
      <c r="Z7" s="3441"/>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42" t="s">
        <v>1683</v>
      </c>
      <c r="Q8" s="3441"/>
      <c r="R8" s="663" t="s">
        <v>14</v>
      </c>
      <c r="S8" s="664">
        <f t="shared" si="0"/>
        <v>100</v>
      </c>
      <c r="T8" s="663" t="s">
        <v>14</v>
      </c>
      <c r="U8" s="664">
        <f t="shared" si="1"/>
        <v>100</v>
      </c>
      <c r="V8" s="663" t="s">
        <v>14</v>
      </c>
      <c r="W8" s="664">
        <f t="shared" si="2"/>
        <v>100</v>
      </c>
      <c r="X8" s="665"/>
      <c r="Y8" s="3442" t="s">
        <v>1683</v>
      </c>
      <c r="Z8" s="3441"/>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02" t="s">
        <v>1686</v>
      </c>
      <c r="Q9" s="529" t="str">
        <f t="shared" ref="Q9:Q14" si="6">B9</f>
        <v>用途</v>
      </c>
      <c r="R9" s="663" t="s">
        <v>14</v>
      </c>
      <c r="S9" s="664">
        <f t="shared" si="0"/>
        <v>100</v>
      </c>
      <c r="T9" s="663" t="s">
        <v>14</v>
      </c>
      <c r="U9" s="664">
        <f t="shared" si="1"/>
        <v>100</v>
      </c>
      <c r="V9" s="663" t="s">
        <v>14</v>
      </c>
      <c r="W9" s="664">
        <f t="shared" si="2"/>
        <v>100</v>
      </c>
      <c r="X9" s="665"/>
      <c r="Y9" s="3308"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02"/>
      <c r="Q10" s="529" t="str">
        <f t="shared" si="6"/>
        <v>土地使用年限（年）</v>
      </c>
      <c r="R10" s="663" t="s">
        <v>14</v>
      </c>
      <c r="S10" s="664">
        <f t="shared" si="0"/>
        <v>100</v>
      </c>
      <c r="T10" s="663" t="s">
        <v>14</v>
      </c>
      <c r="U10" s="664">
        <f t="shared" si="1"/>
        <v>100</v>
      </c>
      <c r="V10" s="663" t="s">
        <v>14</v>
      </c>
      <c r="W10" s="664">
        <f t="shared" si="2"/>
        <v>100</v>
      </c>
      <c r="X10" s="665"/>
      <c r="Y10" s="3308"/>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02"/>
      <c r="Q11" s="529">
        <f t="shared" si="6"/>
        <v>111</v>
      </c>
      <c r="R11" s="663" t="s">
        <v>14</v>
      </c>
      <c r="S11" s="664">
        <f t="shared" si="0"/>
        <v>100</v>
      </c>
      <c r="T11" s="663" t="s">
        <v>14</v>
      </c>
      <c r="U11" s="664">
        <f t="shared" si="1"/>
        <v>100</v>
      </c>
      <c r="V11" s="663" t="s">
        <v>14</v>
      </c>
      <c r="W11" s="664">
        <f t="shared" si="2"/>
        <v>100</v>
      </c>
      <c r="X11" s="665"/>
      <c r="Y11" s="3308"/>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02"/>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02"/>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09" t="s">
        <v>1691</v>
      </c>
      <c r="Q14" s="1262" t="str">
        <f t="shared" si="6"/>
        <v>交通便捷度</v>
      </c>
      <c r="R14" s="666" t="s">
        <v>14</v>
      </c>
      <c r="S14" s="667">
        <f t="shared" si="0"/>
        <v>100</v>
      </c>
      <c r="T14" s="666" t="s">
        <v>14</v>
      </c>
      <c r="U14" s="667">
        <f t="shared" si="1"/>
        <v>100</v>
      </c>
      <c r="V14" s="666" t="s">
        <v>14</v>
      </c>
      <c r="W14" s="667">
        <f t="shared" si="2"/>
        <v>100</v>
      </c>
      <c r="X14" s="1264"/>
      <c r="Y14" s="340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10"/>
      <c r="Q15" s="1262"/>
      <c r="R15" s="666"/>
      <c r="S15" s="667"/>
      <c r="T15" s="666"/>
      <c r="U15" s="667"/>
      <c r="V15" s="666"/>
      <c r="W15" s="667"/>
      <c r="X15" s="1264"/>
      <c r="Y15" s="3410"/>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10"/>
      <c r="Q17" s="1262"/>
      <c r="R17" s="666"/>
      <c r="S17" s="667"/>
      <c r="T17" s="666"/>
      <c r="U17" s="667"/>
      <c r="V17" s="666"/>
      <c r="W17" s="667"/>
      <c r="X17" s="1264"/>
      <c r="Y17" s="3410"/>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10"/>
      <c r="Q19" s="1262"/>
      <c r="R19" s="666"/>
      <c r="S19" s="667"/>
      <c r="T19" s="666"/>
      <c r="U19" s="667"/>
      <c r="V19" s="666"/>
      <c r="W19" s="667"/>
      <c r="X19" s="1264"/>
      <c r="Y19" s="3410"/>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10"/>
      <c r="Q21" s="1262"/>
      <c r="R21" s="666"/>
      <c r="S21" s="667"/>
      <c r="T21" s="666"/>
      <c r="U21" s="667"/>
      <c r="V21" s="666"/>
      <c r="W21" s="667"/>
      <c r="X21" s="1264"/>
      <c r="Y21" s="341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10"/>
      <c r="Q25" s="529">
        <f t="shared" si="11"/>
        <v>111</v>
      </c>
      <c r="R25" s="663" t="s">
        <v>14</v>
      </c>
      <c r="S25" s="664">
        <f>F25</f>
        <v>100</v>
      </c>
      <c r="T25" s="663" t="s">
        <v>14</v>
      </c>
      <c r="U25" s="664">
        <f>H25</f>
        <v>100</v>
      </c>
      <c r="V25" s="663" t="s">
        <v>14</v>
      </c>
      <c r="W25" s="664">
        <f>J25</f>
        <v>100</v>
      </c>
      <c r="X25" s="665"/>
      <c r="Y25" s="3410"/>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5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14"/>
      <c r="Q27" s="530"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14"/>
      <c r="Q31" s="529" t="str">
        <f t="shared" si="11"/>
        <v>是否封闭</v>
      </c>
      <c r="R31" s="663" t="s">
        <v>14</v>
      </c>
      <c r="S31" s="664">
        <f t="shared" si="12"/>
        <v>100</v>
      </c>
      <c r="T31" s="663" t="s">
        <v>14</v>
      </c>
      <c r="U31" s="664">
        <f t="shared" si="13"/>
        <v>100</v>
      </c>
      <c r="V31" s="663" t="s">
        <v>14</v>
      </c>
      <c r="W31" s="664">
        <f t="shared" si="14"/>
        <v>100</v>
      </c>
      <c r="X31" s="665"/>
      <c r="Y31" s="3414"/>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14" t="s">
        <v>1696</v>
      </c>
      <c r="Q32" s="1262">
        <f t="shared" si="11"/>
        <v>111</v>
      </c>
      <c r="R32" s="666" t="s">
        <v>14</v>
      </c>
      <c r="S32" s="667">
        <f t="shared" si="12"/>
        <v>100</v>
      </c>
      <c r="T32" s="666" t="s">
        <v>14</v>
      </c>
      <c r="U32" s="667">
        <f t="shared" si="13"/>
        <v>100</v>
      </c>
      <c r="V32" s="666" t="s">
        <v>14</v>
      </c>
      <c r="W32" s="667">
        <f t="shared" si="14"/>
        <v>100</v>
      </c>
      <c r="X32" s="1264"/>
      <c r="Y32" s="3414"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02" t="str">
        <f>A35</f>
        <v>成交单价（元/平方米）</v>
      </c>
      <c r="Q35" s="3402"/>
      <c r="R35" s="3403">
        <f>E35</f>
        <v>0</v>
      </c>
      <c r="S35" s="3403"/>
      <c r="T35" s="3403">
        <f>G35</f>
        <v>0</v>
      </c>
      <c r="U35" s="3403"/>
      <c r="V35" s="3403">
        <f>I35</f>
        <v>0</v>
      </c>
      <c r="W35" s="3403"/>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55" t="str">
        <f>A37</f>
        <v>估价对象XX用房的比较价值（楼面单价，元/平方米）</v>
      </c>
      <c r="Q37" s="3456"/>
      <c r="R37" s="3513" t="e">
        <f>IF(F1="售价",ROUND(IF(D36="简单平均",AVERAGE(R36:W36),R36*F36+T36*H36+V36*J36),0),ROUND(IF(D36="简单平均",AVERAGE(R36:V36),R36*F36+T36*H36+V36*J36),1))</f>
        <v>#DIV/0!</v>
      </c>
      <c r="S37" s="3513"/>
      <c r="T37" s="3513"/>
      <c r="U37" s="3513"/>
      <c r="V37" s="3513"/>
      <c r="W37" s="3513"/>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263746</v>
      </c>
      <c r="C2" s="1288" t="s">
        <v>805</v>
      </c>
      <c r="D2" s="1288"/>
      <c r="E2" s="1294"/>
      <c r="F2" s="1295"/>
      <c r="G2" s="2477"/>
      <c r="H2" s="2467"/>
      <c r="I2" s="2467"/>
      <c r="J2" s="2467"/>
      <c r="K2" s="2468"/>
      <c r="L2" s="2467"/>
      <c r="M2" s="2467"/>
    </row>
    <row r="3" spans="1:37" ht="18" customHeight="1" thickBot="1">
      <c r="A3" s="1296" t="s">
        <v>806</v>
      </c>
      <c r="B3" s="1297">
        <f ca="1">IF(ISERROR(B2*10000/F43),0,ROUND(B2*10000/F43,0))</f>
        <v>36580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89" t="s">
        <v>694</v>
      </c>
      <c r="C6" s="1010">
        <f ca="1">ROUND(F6*F8*F7*(1-F9)/10000,0)</f>
        <v>18948</v>
      </c>
      <c r="D6" s="146" t="s">
        <v>2107</v>
      </c>
      <c r="E6" s="293" t="s">
        <v>696</v>
      </c>
      <c r="F6" s="294">
        <f ca="1">INDIRECT("'数据-取费表'!u"&amp;$G$1)</f>
        <v>8</v>
      </c>
      <c r="G6" s="1291"/>
      <c r="H6" s="1005" t="s">
        <v>398</v>
      </c>
      <c r="I6" s="3489" t="s">
        <v>694</v>
      </c>
      <c r="J6" s="292">
        <f ca="1">ROUND(M6*M8*M7*(1-M9)/10000,0)</f>
        <v>0</v>
      </c>
      <c r="K6" s="146" t="s">
        <v>2106</v>
      </c>
      <c r="L6" s="293" t="s">
        <v>696</v>
      </c>
      <c r="M6" s="294">
        <f ca="1">INDIRECT("'数据-取费表'!z"&amp;$G$1)</f>
        <v>0</v>
      </c>
    </row>
    <row r="7" spans="1:37" ht="18" customHeight="1">
      <c r="A7" s="1009"/>
      <c r="B7" s="3490"/>
      <c r="C7" s="1011"/>
      <c r="D7" s="298"/>
      <c r="E7" s="1012" t="s">
        <v>697</v>
      </c>
      <c r="F7" s="294">
        <f ca="1">IF(INDIRECT("'数据-取费表'!ah"&amp;$G$1)="",INDIRECT("'数据-取费表'!k"&amp;$G$1),INDIRECT("'数据-取费表'!ah"&amp;$G$1))</f>
        <v>72100.340000000011</v>
      </c>
      <c r="G7" s="1291"/>
      <c r="H7" s="295"/>
      <c r="I7" s="3490"/>
      <c r="J7" s="297"/>
      <c r="K7" s="298"/>
      <c r="L7" s="293" t="s">
        <v>697</v>
      </c>
      <c r="M7" s="294">
        <f ca="1">F7</f>
        <v>72100.340000000011</v>
      </c>
    </row>
    <row r="8" spans="1:37" ht="18" customHeight="1">
      <c r="A8" s="295"/>
      <c r="B8" s="3490"/>
      <c r="C8" s="297"/>
      <c r="D8" s="298"/>
      <c r="E8" s="293" t="s">
        <v>698</v>
      </c>
      <c r="F8" s="294">
        <f ca="1">INDIRECT("'数据-取费表'!ai"&amp;$G$1)</f>
        <v>365</v>
      </c>
      <c r="G8" s="1291"/>
      <c r="H8" s="295"/>
      <c r="I8" s="3490"/>
      <c r="J8" s="297"/>
      <c r="K8" s="298"/>
      <c r="L8" s="293" t="s">
        <v>698</v>
      </c>
      <c r="M8" s="294">
        <f ca="1">INDIRECT("'数据-取费表'!ai"&amp;$G$1)</f>
        <v>365</v>
      </c>
    </row>
    <row r="9" spans="1:37" ht="18" customHeight="1">
      <c r="A9" s="295"/>
      <c r="B9" s="3491"/>
      <c r="C9" s="297"/>
      <c r="D9" s="298"/>
      <c r="E9" s="293" t="s">
        <v>699</v>
      </c>
      <c r="F9" s="303">
        <f ca="1">INDIRECT("'数据-取费表'!w"&amp;$G$1)</f>
        <v>0.1</v>
      </c>
      <c r="G9" s="1291"/>
      <c r="H9" s="295"/>
      <c r="I9" s="3491"/>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332</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-332</v>
      </c>
      <c r="K25" s="1031" t="s">
        <v>753</v>
      </c>
      <c r="L25" s="1032"/>
      <c r="M25" s="1033"/>
    </row>
    <row r="26" spans="1:37">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3997</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3176.05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110.09</v>
      </c>
      <c r="D37" s="1255" t="s">
        <v>743</v>
      </c>
      <c r="E37" s="293" t="s">
        <v>712</v>
      </c>
      <c r="F37" s="320">
        <f ca="1">INDIRECT("'数据-取费表'!Al"&amp;$G$1)</f>
        <v>2E-3</v>
      </c>
      <c r="G37" s="1291"/>
      <c r="H37" s="2472"/>
      <c r="I37" s="1304"/>
      <c r="J37" s="1305"/>
      <c r="K37" s="2330"/>
      <c r="L37" s="2472"/>
      <c r="M37" s="2472"/>
    </row>
    <row r="38" spans="1:18" ht="18" customHeight="1" thickBot="1">
      <c r="A38" s="1025" t="s">
        <v>683</v>
      </c>
      <c r="B38" s="1026" t="s">
        <v>728</v>
      </c>
      <c r="C38" s="1027">
        <f ca="1">ROUND(C5*F38,2)</f>
        <v>379.44</v>
      </c>
      <c r="D38" s="1028" t="s">
        <v>748</v>
      </c>
      <c r="E38" s="1026" t="s">
        <v>712</v>
      </c>
      <c r="F38" s="1022">
        <f ca="1">INDIRECT("'数据-取费表'!Am"&amp;$G$1)</f>
        <v>0.02</v>
      </c>
      <c r="G38" s="1291"/>
      <c r="H38" s="2472"/>
      <c r="I38" s="1304"/>
      <c r="J38" s="1305"/>
      <c r="K38" s="2470"/>
      <c r="L38" s="2472"/>
      <c r="M38" s="2472"/>
    </row>
    <row r="39" spans="1:18" ht="24.6" customHeight="1" thickTop="1">
      <c r="A39" s="1015" t="s">
        <v>394</v>
      </c>
      <c r="B39" s="1030" t="s">
        <v>752</v>
      </c>
      <c r="C39" s="301">
        <f ca="1">C5-C30</f>
        <v>14975</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260936</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36191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-267095</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260936</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184042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87" t="s">
        <v>837</v>
      </c>
      <c r="L53" s="3488"/>
      <c r="O53" s="1324" t="s">
        <v>409</v>
      </c>
      <c r="P53" s="1325" t="s">
        <v>838</v>
      </c>
      <c r="Q53" s="1326">
        <f ca="1">Q47+Q48</f>
        <v>263746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260936</v>
      </c>
      <c r="R56" s="1326" t="s">
        <v>818</v>
      </c>
    </row>
    <row r="57" spans="1:18" s="1291" customFormat="1" ht="24.7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442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0</v>
      </c>
      <c r="D62" s="910" t="s">
        <v>731</v>
      </c>
      <c r="E62" s="895" t="s">
        <v>732</v>
      </c>
      <c r="F62" s="316">
        <f t="shared" si="0"/>
        <v>18</v>
      </c>
      <c r="I62" s="1366" t="s">
        <v>858</v>
      </c>
      <c r="J62" s="609" t="s">
        <v>859</v>
      </c>
      <c r="K62" s="609" t="s">
        <v>860</v>
      </c>
      <c r="L62" s="609" t="s">
        <v>861</v>
      </c>
      <c r="M62" s="1367" t="s">
        <v>862</v>
      </c>
      <c r="O62" s="1324" t="s">
        <v>409</v>
      </c>
      <c r="P62" s="1325" t="s">
        <v>838</v>
      </c>
      <c r="Q62" s="1326">
        <f ca="1">Q56+Q57</f>
        <v>260936</v>
      </c>
      <c r="R62" s="1326" t="s">
        <v>410</v>
      </c>
    </row>
    <row r="63" spans="1:18" s="1291" customFormat="1" ht="13.5" thickBot="1">
      <c r="A63" s="317"/>
      <c r="B63" s="901"/>
      <c r="C63" s="25"/>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110.09</v>
      </c>
      <c r="D65" s="909" t="s">
        <v>743</v>
      </c>
      <c r="E65" s="895" t="s">
        <v>712</v>
      </c>
      <c r="F65" s="320">
        <f t="shared" ca="1" si="0"/>
        <v>2E-3</v>
      </c>
      <c r="I65" s="1366" t="s">
        <v>867</v>
      </c>
      <c r="J65" s="609">
        <v>40</v>
      </c>
      <c r="K65" s="609">
        <v>30</v>
      </c>
      <c r="L65" s="609">
        <v>50</v>
      </c>
      <c r="M65" s="1368">
        <v>0.02</v>
      </c>
      <c r="O65" s="1324" t="s">
        <v>403</v>
      </c>
      <c r="P65" s="1325" t="s">
        <v>817</v>
      </c>
      <c r="Q65" s="1326">
        <f ca="1">C40+J29</f>
        <v>260936</v>
      </c>
      <c r="R65" s="1326" t="s">
        <v>818</v>
      </c>
    </row>
    <row r="66" spans="1:18" s="1291" customFormat="1" ht="16.5"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-442</v>
      </c>
      <c r="D67" s="908" t="s">
        <v>753</v>
      </c>
      <c r="E67" s="913"/>
      <c r="F67" s="914"/>
      <c r="O67" s="1333" t="s">
        <v>405</v>
      </c>
      <c r="P67" s="1325" t="s">
        <v>850</v>
      </c>
      <c r="Q67" s="1369">
        <f ca="1">L51</f>
        <v>184042</v>
      </c>
      <c r="R67" s="1326" t="s">
        <v>870</v>
      </c>
    </row>
    <row r="68" spans="1:18" s="1291" customFormat="1" ht="16.5" thickBot="1">
      <c r="A68" s="892" t="s">
        <v>395</v>
      </c>
      <c r="B68" s="893" t="s">
        <v>774</v>
      </c>
      <c r="C68" s="292">
        <f ca="1">ROUND(C67*(1-((1+F70)/(1+F68))^F69)/(F68-F70),0)</f>
        <v>-6159</v>
      </c>
      <c r="D68" s="910" t="s">
        <v>758</v>
      </c>
      <c r="E68" s="895" t="s">
        <v>759</v>
      </c>
      <c r="F68" s="303">
        <f ca="1">F40</f>
        <v>0.06</v>
      </c>
      <c r="O68" s="1333" t="s">
        <v>406</v>
      </c>
      <c r="P68" s="1370" t="s">
        <v>871</v>
      </c>
      <c r="Q68" s="1326">
        <f ca="1">ROUND(Q69-Q70*Q71,0)</f>
        <v>11122</v>
      </c>
      <c r="R68" s="1326" t="s">
        <v>414</v>
      </c>
    </row>
    <row r="69" spans="1:18" s="1291" customFormat="1" ht="13.5" thickBot="1">
      <c r="A69" s="896"/>
      <c r="B69" s="897"/>
      <c r="C69" s="297"/>
      <c r="D69" s="915" t="s">
        <v>762</v>
      </c>
      <c r="E69" s="895" t="s">
        <v>763</v>
      </c>
      <c r="F69" s="323">
        <f ca="1">F41</f>
        <v>31.04</v>
      </c>
      <c r="O69" s="1333" t="s">
        <v>411</v>
      </c>
      <c r="P69" s="1370" t="s">
        <v>872</v>
      </c>
      <c r="Q69" s="1326">
        <f ca="1">C39</f>
        <v>14975</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-854</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260936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0.74299999999999999</v>
      </c>
    </row>
    <row r="80" spans="1:18">
      <c r="B80" s="330" t="s">
        <v>800</v>
      </c>
      <c r="C80" s="265">
        <f ca="1">ROUND(C75/C39,3)</f>
        <v>0.25700000000000001</v>
      </c>
    </row>
    <row r="81" spans="2:3">
      <c r="B81" s="261" t="s">
        <v>801</v>
      </c>
      <c r="C81" s="229"/>
    </row>
    <row r="82" spans="2:3">
      <c r="B82" s="264" t="s">
        <v>802</v>
      </c>
      <c r="C82" s="266">
        <f ca="1">1-C83</f>
        <v>0.78900000000000003</v>
      </c>
    </row>
    <row r="83" spans="2:3">
      <c r="B83" s="264" t="s">
        <v>803</v>
      </c>
      <c r="C83" s="265">
        <f ca="1">ROUND(C13/C40,3)</f>
        <v>0.21099999999999999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332241</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33584</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514" t="s">
        <v>1654</v>
      </c>
      <c r="C5" s="3515"/>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68495</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263746</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516" t="s">
        <v>3624</v>
      </c>
      <c r="B1" s="3516" t="s">
        <v>3625</v>
      </c>
      <c r="C1" s="3516" t="s">
        <v>3626</v>
      </c>
      <c r="D1" s="3516" t="s">
        <v>3627</v>
      </c>
      <c r="E1" s="3516" t="s">
        <v>3628</v>
      </c>
      <c r="F1" s="3516" t="s">
        <v>3629</v>
      </c>
      <c r="G1" s="3516" t="s">
        <v>3630</v>
      </c>
      <c r="H1" s="3516" t="s">
        <v>3631</v>
      </c>
      <c r="I1" s="3516" t="s">
        <v>3632</v>
      </c>
      <c r="J1" s="3516" t="s">
        <v>3633</v>
      </c>
      <c r="K1" s="3516" t="s">
        <v>3634</v>
      </c>
      <c r="L1" s="3516" t="s">
        <v>3635</v>
      </c>
      <c r="M1" s="3516" t="s">
        <v>3636</v>
      </c>
      <c r="N1" s="3516" t="s">
        <v>3637</v>
      </c>
      <c r="O1" s="3516" t="s">
        <v>3638</v>
      </c>
      <c r="P1" s="3516" t="s">
        <v>3639</v>
      </c>
      <c r="Q1" s="3516" t="s">
        <v>3640</v>
      </c>
      <c r="R1" s="3516" t="s">
        <v>3641</v>
      </c>
      <c r="S1" s="3516" t="s">
        <v>3642</v>
      </c>
      <c r="T1" s="3516" t="s">
        <v>3643</v>
      </c>
    </row>
    <row r="2" spans="1:20" ht="14.25">
      <c r="A2" s="3516" t="s">
        <v>3617</v>
      </c>
      <c r="B2" s="3516" t="s">
        <v>3644</v>
      </c>
      <c r="C2" s="3516" t="s">
        <v>3645</v>
      </c>
      <c r="D2" s="3516" t="s">
        <v>3646</v>
      </c>
      <c r="E2" s="3516">
        <v>9999.98</v>
      </c>
      <c r="F2" s="3516">
        <v>17599.96</v>
      </c>
      <c r="G2" s="3516">
        <v>1.76</v>
      </c>
      <c r="H2" s="3516" t="s">
        <v>3647</v>
      </c>
      <c r="I2" s="3516" t="s">
        <v>3648</v>
      </c>
      <c r="J2" s="3516" t="s">
        <v>3649</v>
      </c>
      <c r="K2" s="3517">
        <v>45320.000497685185</v>
      </c>
      <c r="L2" s="3517">
        <v>45320.000497685185</v>
      </c>
      <c r="M2" s="3516" t="s">
        <v>3650</v>
      </c>
      <c r="N2" s="3516" t="s">
        <v>3651</v>
      </c>
      <c r="O2" s="3516">
        <v>37700</v>
      </c>
      <c r="P2" s="3516">
        <v>7600</v>
      </c>
      <c r="Q2" s="3517">
        <v>45320.625497685185</v>
      </c>
      <c r="R2" s="3516">
        <v>37700</v>
      </c>
      <c r="S2" s="3516">
        <v>21421</v>
      </c>
      <c r="T2" s="3516">
        <v>0</v>
      </c>
    </row>
    <row r="3" spans="1:20" ht="14.25">
      <c r="A3" s="3516" t="s">
        <v>3652</v>
      </c>
      <c r="B3" s="3516" t="s">
        <v>3644</v>
      </c>
      <c r="C3" s="3516" t="s">
        <v>3653</v>
      </c>
      <c r="D3" s="3516" t="s">
        <v>3646</v>
      </c>
      <c r="E3" s="3516">
        <v>10610.35</v>
      </c>
      <c r="F3" s="3516">
        <v>47747</v>
      </c>
      <c r="G3" s="3516">
        <v>4.5</v>
      </c>
      <c r="H3" s="3516" t="s">
        <v>3647</v>
      </c>
      <c r="I3" s="3516" t="s">
        <v>3648</v>
      </c>
      <c r="J3" s="3516" t="s">
        <v>3649</v>
      </c>
      <c r="K3" s="3517">
        <v>45114.000497685185</v>
      </c>
      <c r="L3" s="3517">
        <v>45114.000497685185</v>
      </c>
      <c r="M3" s="3516" t="s">
        <v>3650</v>
      </c>
      <c r="N3" s="3516" t="s">
        <v>3654</v>
      </c>
      <c r="O3" s="3516">
        <v>134000</v>
      </c>
      <c r="P3" s="3516">
        <v>27000</v>
      </c>
      <c r="Q3" s="3517">
        <v>45116.625497685185</v>
      </c>
      <c r="R3" s="3516">
        <v>134000</v>
      </c>
      <c r="S3" s="3516">
        <v>28065</v>
      </c>
      <c r="T3" s="3516">
        <v>0</v>
      </c>
    </row>
    <row r="4" spans="1:20" ht="14.25">
      <c r="A4" s="3516" t="s">
        <v>3655</v>
      </c>
      <c r="B4" s="3516" t="s">
        <v>3644</v>
      </c>
      <c r="C4" s="3516" t="s">
        <v>3656</v>
      </c>
      <c r="D4" s="3516" t="s">
        <v>3646</v>
      </c>
      <c r="E4" s="3516">
        <v>62796.800000000003</v>
      </c>
      <c r="F4" s="3516">
        <v>275500</v>
      </c>
      <c r="G4" s="3516">
        <v>4.3899999999999997</v>
      </c>
      <c r="H4" s="3516" t="s">
        <v>3647</v>
      </c>
      <c r="I4" s="3516" t="s">
        <v>3648</v>
      </c>
      <c r="J4" s="3516" t="s">
        <v>3649</v>
      </c>
      <c r="K4" s="3517">
        <v>44980.000497685185</v>
      </c>
      <c r="L4" s="3517">
        <v>44980.000497685185</v>
      </c>
      <c r="M4" s="3516" t="s">
        <v>3650</v>
      </c>
      <c r="N4" s="3516" t="s">
        <v>3657</v>
      </c>
      <c r="O4" s="3516">
        <v>635800</v>
      </c>
      <c r="P4" s="3516">
        <v>127500</v>
      </c>
      <c r="Q4" s="3517">
        <v>44980.625497685185</v>
      </c>
      <c r="R4" s="3516">
        <v>635800</v>
      </c>
      <c r="S4" s="3516">
        <v>23078</v>
      </c>
      <c r="T4" s="3516">
        <v>0</v>
      </c>
    </row>
    <row r="5" spans="1:20" ht="14.25">
      <c r="A5" s="3516" t="s">
        <v>3658</v>
      </c>
      <c r="B5" s="3516" t="s">
        <v>3644</v>
      </c>
      <c r="C5" s="3516" t="s">
        <v>3659</v>
      </c>
      <c r="D5" s="3516" t="s">
        <v>3646</v>
      </c>
      <c r="E5" s="3516">
        <v>7289.19</v>
      </c>
      <c r="F5" s="3516">
        <v>21867.57</v>
      </c>
      <c r="G5" s="3516" t="s">
        <v>3660</v>
      </c>
      <c r="H5" s="3516" t="s">
        <v>3647</v>
      </c>
      <c r="I5" s="3516" t="s">
        <v>3661</v>
      </c>
      <c r="J5" s="3516" t="s">
        <v>3649</v>
      </c>
      <c r="K5" s="3517">
        <v>43923.000497685185</v>
      </c>
      <c r="L5" s="3517">
        <v>43923.000497685185</v>
      </c>
      <c r="M5" s="3516" t="s">
        <v>3650</v>
      </c>
      <c r="N5" s="3516" t="s">
        <v>3662</v>
      </c>
      <c r="O5" s="3516">
        <v>35200</v>
      </c>
      <c r="P5" s="3516">
        <v>7100</v>
      </c>
      <c r="Q5" s="3517">
        <v>43922.625497685185</v>
      </c>
      <c r="R5" s="3516">
        <v>35200</v>
      </c>
      <c r="S5" s="3516">
        <v>16097</v>
      </c>
      <c r="T5" s="3516">
        <v>0</v>
      </c>
    </row>
    <row r="12" spans="1:20">
      <c r="B12" s="1404"/>
    </row>
  </sheetData>
  <mergeCells count="100">
    <mergeCell ref="T5"/>
    <mergeCell ref="J5"/>
    <mergeCell ref="K5"/>
    <mergeCell ref="L5"/>
    <mergeCell ref="M5"/>
    <mergeCell ref="N5"/>
    <mergeCell ref="O5"/>
    <mergeCell ref="P5"/>
    <mergeCell ref="Q5"/>
    <mergeCell ref="R5"/>
    <mergeCell ref="F5"/>
    <mergeCell ref="G5"/>
    <mergeCell ref="H5"/>
    <mergeCell ref="I5"/>
    <mergeCell ref="S5"/>
    <mergeCell ref="A5"/>
    <mergeCell ref="B5"/>
    <mergeCell ref="C5"/>
    <mergeCell ref="D5"/>
    <mergeCell ref="E5"/>
    <mergeCell ref="P4"/>
    <mergeCell ref="Q4"/>
    <mergeCell ref="R4"/>
    <mergeCell ref="S4"/>
    <mergeCell ref="T4"/>
    <mergeCell ref="K4"/>
    <mergeCell ref="L4"/>
    <mergeCell ref="M4"/>
    <mergeCell ref="N4"/>
    <mergeCell ref="O4"/>
    <mergeCell ref="F4"/>
    <mergeCell ref="G4"/>
    <mergeCell ref="H4"/>
    <mergeCell ref="I4"/>
    <mergeCell ref="J4"/>
    <mergeCell ref="A4"/>
    <mergeCell ref="B4"/>
    <mergeCell ref="C4"/>
    <mergeCell ref="D4"/>
    <mergeCell ref="E4"/>
    <mergeCell ref="F3"/>
    <mergeCell ref="G3"/>
    <mergeCell ref="H3"/>
    <mergeCell ref="I3"/>
    <mergeCell ref="S3"/>
    <mergeCell ref="J3"/>
    <mergeCell ref="K3"/>
    <mergeCell ref="A3"/>
    <mergeCell ref="B3"/>
    <mergeCell ref="C3"/>
    <mergeCell ref="D3"/>
    <mergeCell ref="E3"/>
    <mergeCell ref="T2"/>
    <mergeCell ref="J1"/>
    <mergeCell ref="K1"/>
    <mergeCell ref="L3"/>
    <mergeCell ref="M3"/>
    <mergeCell ref="N3"/>
    <mergeCell ref="O3"/>
    <mergeCell ref="P3"/>
    <mergeCell ref="Q3"/>
    <mergeCell ref="R3"/>
    <mergeCell ref="T3"/>
    <mergeCell ref="O2"/>
    <mergeCell ref="P2"/>
    <mergeCell ref="Q2"/>
    <mergeCell ref="R2"/>
    <mergeCell ref="S2"/>
    <mergeCell ref="S1"/>
    <mergeCell ref="T1"/>
    <mergeCell ref="A2"/>
    <mergeCell ref="B2"/>
    <mergeCell ref="C2"/>
    <mergeCell ref="D2"/>
    <mergeCell ref="E2"/>
    <mergeCell ref="F2"/>
    <mergeCell ref="G2"/>
    <mergeCell ref="H2"/>
    <mergeCell ref="I2"/>
    <mergeCell ref="J2"/>
    <mergeCell ref="K2"/>
    <mergeCell ref="L2"/>
    <mergeCell ref="M2"/>
    <mergeCell ref="N2"/>
    <mergeCell ref="Q1"/>
    <mergeCell ref="R1"/>
    <mergeCell ref="A1"/>
    <mergeCell ref="B1"/>
    <mergeCell ref="C1"/>
    <mergeCell ref="D1"/>
    <mergeCell ref="E1"/>
    <mergeCell ref="F1"/>
    <mergeCell ref="G1"/>
    <mergeCell ref="H1"/>
    <mergeCell ref="I1"/>
    <mergeCell ref="L1"/>
    <mergeCell ref="M1"/>
    <mergeCell ref="N1"/>
    <mergeCell ref="O1"/>
    <mergeCell ref="P1"/>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61" t="s">
        <v>1775</v>
      </c>
      <c r="Q4" s="3462"/>
      <c r="R4" s="3465" t="s">
        <v>1771</v>
      </c>
      <c r="S4" s="3466"/>
      <c r="T4" s="3465" t="s">
        <v>1772</v>
      </c>
      <c r="U4" s="3466"/>
      <c r="V4" s="3403" t="s">
        <v>1773</v>
      </c>
      <c r="W4" s="3403"/>
      <c r="X4" s="1264"/>
      <c r="Y4" s="3465" t="s">
        <v>1775</v>
      </c>
      <c r="Z4" s="3466"/>
      <c r="AA4" s="3460" t="s">
        <v>1771</v>
      </c>
      <c r="AB4" s="3447" t="s">
        <v>1772</v>
      </c>
      <c r="AC4" s="3460" t="s">
        <v>1773</v>
      </c>
    </row>
    <row r="5" spans="1:29" ht="15">
      <c r="A5" s="347"/>
      <c r="B5" s="348"/>
      <c r="C5" s="3467" t="s">
        <v>1673</v>
      </c>
      <c r="D5" s="3439"/>
      <c r="E5" s="3512" t="s">
        <v>1674</v>
      </c>
      <c r="F5" s="3450"/>
      <c r="G5" s="3467" t="s">
        <v>1675</v>
      </c>
      <c r="H5" s="3439"/>
      <c r="I5" s="3467" t="s">
        <v>1676</v>
      </c>
      <c r="J5" s="3439"/>
      <c r="K5" s="536"/>
      <c r="L5" s="2485"/>
      <c r="M5" s="2486"/>
      <c r="N5" s="2486"/>
      <c r="O5" s="2486"/>
      <c r="P5" s="3463"/>
      <c r="Q5" s="3426"/>
      <c r="R5" s="3431"/>
      <c r="S5" s="3432"/>
      <c r="T5" s="3431"/>
      <c r="U5" s="3432"/>
      <c r="V5" s="3403"/>
      <c r="W5" s="3403"/>
      <c r="X5" s="1264"/>
      <c r="Y5" s="3431"/>
      <c r="Z5" s="3432"/>
      <c r="AA5" s="3447"/>
      <c r="AB5" s="3447"/>
      <c r="AC5" s="3447"/>
    </row>
    <row r="6" spans="1:29" ht="15.75" thickBot="1">
      <c r="A6" s="349"/>
      <c r="B6" s="350"/>
      <c r="C6" s="3518" t="s">
        <v>1918</v>
      </c>
      <c r="D6" s="3519"/>
      <c r="E6" s="3520" t="s">
        <v>1918</v>
      </c>
      <c r="F6" s="3521"/>
      <c r="G6" s="3518" t="s">
        <v>1918</v>
      </c>
      <c r="H6" s="3519"/>
      <c r="I6" s="3518" t="s">
        <v>1918</v>
      </c>
      <c r="J6" s="3519"/>
      <c r="K6" s="536" t="s">
        <v>1678</v>
      </c>
      <c r="L6" s="2485"/>
      <c r="M6" s="2486"/>
      <c r="N6" s="2486"/>
      <c r="O6" s="2486"/>
      <c r="P6" s="3464"/>
      <c r="Q6" s="3428"/>
      <c r="R6" s="3431"/>
      <c r="S6" s="3432"/>
      <c r="T6" s="3433"/>
      <c r="U6" s="3434"/>
      <c r="V6" s="3403"/>
      <c r="W6" s="3403"/>
      <c r="X6" s="1264"/>
      <c r="Y6" s="3433"/>
      <c r="Z6" s="3434"/>
      <c r="AA6" s="3448"/>
      <c r="AB6" s="3448"/>
      <c r="AC6" s="3448"/>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442" t="s">
        <v>1680</v>
      </c>
      <c r="Q7" s="3443"/>
      <c r="R7" s="663" t="s">
        <v>14</v>
      </c>
      <c r="S7" s="664">
        <f t="shared" ref="S7:S15" si="0">F7</f>
        <v>0</v>
      </c>
      <c r="T7" s="663" t="s">
        <v>14</v>
      </c>
      <c r="U7" s="664">
        <f t="shared" ref="U7:U15" si="1">H7</f>
        <v>0</v>
      </c>
      <c r="V7" s="663" t="s">
        <v>14</v>
      </c>
      <c r="W7" s="664">
        <f t="shared" ref="W7:W15" si="2">J7</f>
        <v>0</v>
      </c>
      <c r="X7" s="665"/>
      <c r="Y7" s="3442" t="s">
        <v>1680</v>
      </c>
      <c r="Z7" s="3441"/>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442" t="s">
        <v>1683</v>
      </c>
      <c r="Q8" s="3441"/>
      <c r="R8" s="663" t="s">
        <v>14</v>
      </c>
      <c r="S8" s="664">
        <f t="shared" si="0"/>
        <v>0</v>
      </c>
      <c r="T8" s="663" t="s">
        <v>14</v>
      </c>
      <c r="U8" s="664">
        <f t="shared" si="1"/>
        <v>0</v>
      </c>
      <c r="V8" s="663" t="s">
        <v>14</v>
      </c>
      <c r="W8" s="664">
        <f t="shared" si="2"/>
        <v>0</v>
      </c>
      <c r="X8" s="665"/>
      <c r="Y8" s="3442" t="s">
        <v>1683</v>
      </c>
      <c r="Z8" s="3441"/>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402" t="s">
        <v>1686</v>
      </c>
      <c r="Q9" s="529" t="str">
        <f t="shared" ref="Q9:Q15" si="6">B9</f>
        <v>用途</v>
      </c>
      <c r="R9" s="663" t="s">
        <v>14</v>
      </c>
      <c r="S9" s="664">
        <f t="shared" si="0"/>
        <v>100</v>
      </c>
      <c r="T9" s="663" t="s">
        <v>14</v>
      </c>
      <c r="U9" s="664">
        <f t="shared" si="1"/>
        <v>100</v>
      </c>
      <c r="V9" s="663" t="s">
        <v>14</v>
      </c>
      <c r="W9" s="664">
        <f t="shared" si="2"/>
        <v>100</v>
      </c>
      <c r="X9" s="665"/>
      <c r="Y9" s="3308"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402"/>
      <c r="Q10" s="529" t="str">
        <f t="shared" si="6"/>
        <v>土地使用年限（年）</v>
      </c>
      <c r="R10" s="663" t="s">
        <v>14</v>
      </c>
      <c r="S10" s="664">
        <f t="shared" si="0"/>
        <v>119</v>
      </c>
      <c r="T10" s="663" t="s">
        <v>14</v>
      </c>
      <c r="U10" s="664">
        <f t="shared" si="1"/>
        <v>119</v>
      </c>
      <c r="V10" s="663" t="s">
        <v>14</v>
      </c>
      <c r="W10" s="664">
        <f t="shared" si="2"/>
        <v>119</v>
      </c>
      <c r="X10" s="665"/>
      <c r="Y10" s="3308"/>
      <c r="Z10" s="49" t="str">
        <f t="shared" si="7"/>
        <v>土地使用年限（年）</v>
      </c>
      <c r="AA10" s="49">
        <f t="shared" si="3"/>
        <v>0.84033613445378152</v>
      </c>
      <c r="AB10" s="49">
        <f t="shared" si="4"/>
        <v>0.84033613445378152</v>
      </c>
      <c r="AC10" s="49">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02"/>
      <c r="Q11" s="529" t="str">
        <f t="shared" si="6"/>
        <v>容积率</v>
      </c>
      <c r="R11" s="663" t="s">
        <v>14</v>
      </c>
      <c r="S11" s="664" t="e">
        <f t="shared" si="0"/>
        <v>#N/A</v>
      </c>
      <c r="T11" s="663" t="s">
        <v>14</v>
      </c>
      <c r="U11" s="664" t="e">
        <f t="shared" si="1"/>
        <v>#N/A</v>
      </c>
      <c r="V11" s="663" t="s">
        <v>14</v>
      </c>
      <c r="W11" s="664" t="e">
        <f t="shared" si="2"/>
        <v>#N/A</v>
      </c>
      <c r="X11" s="665"/>
      <c r="Y11" s="3308"/>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02"/>
      <c r="Q12" s="529">
        <f t="shared" si="6"/>
        <v>111</v>
      </c>
      <c r="R12" s="663" t="s">
        <v>14</v>
      </c>
      <c r="S12" s="664">
        <f t="shared" si="0"/>
        <v>100</v>
      </c>
      <c r="T12" s="663" t="s">
        <v>14</v>
      </c>
      <c r="U12" s="664">
        <f t="shared" si="1"/>
        <v>100</v>
      </c>
      <c r="V12" s="663" t="s">
        <v>14</v>
      </c>
      <c r="W12" s="664">
        <f t="shared" si="2"/>
        <v>100</v>
      </c>
      <c r="X12" s="665"/>
      <c r="Y12" s="3308"/>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02"/>
      <c r="Q13" s="529">
        <f t="shared" si="6"/>
        <v>111</v>
      </c>
      <c r="R13" s="663" t="s">
        <v>14</v>
      </c>
      <c r="S13" s="664">
        <f t="shared" si="0"/>
        <v>100</v>
      </c>
      <c r="T13" s="663" t="s">
        <v>14</v>
      </c>
      <c r="U13" s="664">
        <f t="shared" si="1"/>
        <v>100</v>
      </c>
      <c r="V13" s="663" t="s">
        <v>14</v>
      </c>
      <c r="W13" s="664">
        <f t="shared" si="2"/>
        <v>100</v>
      </c>
      <c r="X13" s="665"/>
      <c r="Y13" s="3308"/>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02"/>
      <c r="Q14" s="529">
        <f t="shared" si="6"/>
        <v>111</v>
      </c>
      <c r="R14" s="663" t="s">
        <v>14</v>
      </c>
      <c r="S14" s="664">
        <f t="shared" si="0"/>
        <v>100</v>
      </c>
      <c r="T14" s="663" t="s">
        <v>14</v>
      </c>
      <c r="U14" s="664">
        <f t="shared" si="1"/>
        <v>100</v>
      </c>
      <c r="V14" s="663" t="s">
        <v>14</v>
      </c>
      <c r="W14" s="664">
        <f t="shared" si="2"/>
        <v>100</v>
      </c>
      <c r="X14" s="665"/>
      <c r="Y14" s="3308"/>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09" t="s">
        <v>1691</v>
      </c>
      <c r="Q15" s="1262" t="str">
        <f t="shared" si="6"/>
        <v>产业集聚程度</v>
      </c>
      <c r="R15" s="666" t="s">
        <v>14</v>
      </c>
      <c r="S15" s="667">
        <f t="shared" si="0"/>
        <v>100</v>
      </c>
      <c r="T15" s="666" t="s">
        <v>14</v>
      </c>
      <c r="U15" s="667">
        <f t="shared" si="1"/>
        <v>100</v>
      </c>
      <c r="V15" s="666" t="s">
        <v>14</v>
      </c>
      <c r="W15" s="667">
        <f t="shared" si="2"/>
        <v>100</v>
      </c>
      <c r="X15" s="1264"/>
      <c r="Y15" s="3409"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10"/>
      <c r="Q16" s="1262"/>
      <c r="R16" s="666"/>
      <c r="S16" s="667"/>
      <c r="T16" s="666"/>
      <c r="U16" s="667"/>
      <c r="V16" s="666"/>
      <c r="W16" s="667"/>
      <c r="X16" s="1264"/>
      <c r="Y16" s="3410"/>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10"/>
      <c r="Q18" s="1262"/>
      <c r="R18" s="666"/>
      <c r="S18" s="667"/>
      <c r="T18" s="666"/>
      <c r="U18" s="667"/>
      <c r="V18" s="666"/>
      <c r="W18" s="667"/>
      <c r="X18" s="1264"/>
      <c r="Y18" s="3410"/>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10"/>
      <c r="Q20" s="1262"/>
      <c r="R20" s="666"/>
      <c r="S20" s="667"/>
      <c r="T20" s="666"/>
      <c r="U20" s="667"/>
      <c r="V20" s="666"/>
      <c r="W20" s="667"/>
      <c r="X20" s="1264"/>
      <c r="Y20" s="3410"/>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10"/>
      <c r="Q22" s="1262"/>
      <c r="R22" s="666"/>
      <c r="S22" s="667"/>
      <c r="T22" s="666"/>
      <c r="U22" s="667"/>
      <c r="V22" s="666"/>
      <c r="W22" s="667"/>
      <c r="X22" s="1264"/>
      <c r="Y22" s="3410"/>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10"/>
      <c r="Q23" s="529" t="str">
        <f t="shared" si="8"/>
        <v>公共配套设施</v>
      </c>
      <c r="R23" s="663" t="s">
        <v>14</v>
      </c>
      <c r="S23" s="664">
        <f>F23</f>
        <v>100</v>
      </c>
      <c r="T23" s="663" t="s">
        <v>14</v>
      </c>
      <c r="U23" s="664">
        <f>H23</f>
        <v>100</v>
      </c>
      <c r="V23" s="663" t="s">
        <v>14</v>
      </c>
      <c r="W23" s="664">
        <f>J23</f>
        <v>100</v>
      </c>
      <c r="X23" s="665"/>
      <c r="Y23" s="3410"/>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10"/>
      <c r="Q24" s="529"/>
      <c r="R24" s="663"/>
      <c r="S24" s="664"/>
      <c r="T24" s="663"/>
      <c r="U24" s="664"/>
      <c r="V24" s="663"/>
      <c r="W24" s="664"/>
      <c r="X24" s="665"/>
      <c r="Y24" s="3410"/>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10"/>
      <c r="Q25" s="529" t="str">
        <f t="shared" ref="Q25" si="9">B25</f>
        <v>基础设施水平</v>
      </c>
      <c r="R25" s="663" t="s">
        <v>14</v>
      </c>
      <c r="S25" s="664">
        <f>F25</f>
        <v>100</v>
      </c>
      <c r="T25" s="663" t="s">
        <v>14</v>
      </c>
      <c r="U25" s="664">
        <f>H25</f>
        <v>100</v>
      </c>
      <c r="V25" s="663" t="s">
        <v>14</v>
      </c>
      <c r="W25" s="664">
        <f>J25</f>
        <v>100</v>
      </c>
      <c r="X25" s="665"/>
      <c r="Y25" s="3410"/>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10"/>
      <c r="Q26" s="529"/>
      <c r="R26" s="663"/>
      <c r="S26" s="664"/>
      <c r="T26" s="663"/>
      <c r="U26" s="664"/>
      <c r="V26" s="663"/>
      <c r="W26" s="664"/>
      <c r="X26" s="665"/>
      <c r="Y26" s="3410"/>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10"/>
      <c r="Q29" s="1262"/>
      <c r="R29" s="666"/>
      <c r="S29" s="667"/>
      <c r="T29" s="666"/>
      <c r="U29" s="667"/>
      <c r="V29" s="666"/>
      <c r="W29" s="667"/>
      <c r="X29" s="1264"/>
      <c r="Y29" s="3410"/>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59" t="s">
        <v>1696</v>
      </c>
      <c r="Q32" s="1262">
        <f t="shared" si="8"/>
        <v>111</v>
      </c>
      <c r="R32" s="666" t="s">
        <v>14</v>
      </c>
      <c r="S32" s="667">
        <f t="shared" si="10"/>
        <v>100</v>
      </c>
      <c r="T32" s="666" t="s">
        <v>14</v>
      </c>
      <c r="U32" s="667">
        <f t="shared" si="11"/>
        <v>100</v>
      </c>
      <c r="V32" s="666" t="s">
        <v>14</v>
      </c>
      <c r="W32" s="667">
        <f t="shared" si="12"/>
        <v>100</v>
      </c>
      <c r="X32" s="1264"/>
      <c r="Y32" s="3414"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14"/>
      <c r="Q36" s="1262" t="str">
        <f t="shared" si="14"/>
        <v>宗地开发程度</v>
      </c>
      <c r="R36" s="663" t="s">
        <v>14</v>
      </c>
      <c r="S36" s="664">
        <f t="shared" si="10"/>
        <v>100</v>
      </c>
      <c r="T36" s="663" t="s">
        <v>14</v>
      </c>
      <c r="U36" s="664">
        <f t="shared" si="11"/>
        <v>100</v>
      </c>
      <c r="V36" s="663" t="s">
        <v>14</v>
      </c>
      <c r="W36" s="664">
        <f t="shared" si="12"/>
        <v>100</v>
      </c>
      <c r="X36" s="665"/>
      <c r="Y36" s="3414"/>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14" t="s">
        <v>1696</v>
      </c>
      <c r="Q37" s="1262" t="str">
        <f t="shared" si="14"/>
        <v>工程地质条件</v>
      </c>
      <c r="R37" s="666" t="s">
        <v>14</v>
      </c>
      <c r="S37" s="667">
        <f t="shared" si="10"/>
        <v>100</v>
      </c>
      <c r="T37" s="666" t="s">
        <v>14</v>
      </c>
      <c r="U37" s="667">
        <f t="shared" si="11"/>
        <v>100</v>
      </c>
      <c r="V37" s="666" t="s">
        <v>14</v>
      </c>
      <c r="W37" s="667">
        <f t="shared" si="12"/>
        <v>100</v>
      </c>
      <c r="X37" s="1264"/>
      <c r="Y37" s="3414"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402" t="str">
        <f>A41</f>
        <v>成交单价</v>
      </c>
      <c r="Q41" s="3402"/>
      <c r="R41" s="3403">
        <f>E41</f>
        <v>0</v>
      </c>
      <c r="S41" s="3403"/>
      <c r="T41" s="3403">
        <f>G41</f>
        <v>0</v>
      </c>
      <c r="U41" s="3403"/>
      <c r="V41" s="3403">
        <f>I41</f>
        <v>0</v>
      </c>
      <c r="W41" s="3403"/>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402" t="str">
        <f>A42</f>
        <v>比较价值（元/平方米）</v>
      </c>
      <c r="Q42" s="3402"/>
      <c r="R42" s="3454" t="e">
        <f>ROUND(PRODUCT(R41,AA7:AA40),0)</f>
        <v>#DIV/0!</v>
      </c>
      <c r="S42" s="3454"/>
      <c r="T42" s="3454" t="e">
        <f>ROUND(PRODUCT(T41,AB7:AB40),0)</f>
        <v>#DIV/0!</v>
      </c>
      <c r="U42" s="3454"/>
      <c r="V42" s="3454" t="e">
        <f>ROUND(PRODUCT(V41,AC7:AC40),0)</f>
        <v>#DIV/0!</v>
      </c>
      <c r="W42" s="3454"/>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55" t="str">
        <f>A43</f>
        <v>估价对象XX用房的比较价值（楼面单价，元/平方米）</v>
      </c>
      <c r="Q43" s="3456"/>
      <c r="R43" s="3457" t="e">
        <f>ROUND(IF(D42="简单平均",AVERAGE(R42:W42),R42*F42+T42*H42+V42*J42),0)</f>
        <v>#DIV/0!</v>
      </c>
      <c r="S43" s="3457"/>
      <c r="T43" s="3457"/>
      <c r="U43" s="3457"/>
      <c r="V43" s="3457"/>
      <c r="W43" s="3457"/>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419" t="s">
        <v>1886</v>
      </c>
      <c r="H50" s="3458"/>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401"/>
      <c r="H51" s="3402"/>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390"/>
      <c r="B4" s="3223" t="s">
        <v>917</v>
      </c>
      <c r="C4" s="3223"/>
      <c r="D4" s="3223"/>
      <c r="E4" s="1390"/>
    </row>
    <row r="5" spans="1:5" ht="16.5" thickTop="1">
      <c r="B5" s="3221" t="s">
        <v>909</v>
      </c>
      <c r="C5" s="1391" t="s">
        <v>910</v>
      </c>
      <c r="D5" s="796">
        <f ca="1">结果表!H101</f>
        <v>457058</v>
      </c>
    </row>
    <row r="6" spans="1:5" ht="15.75">
      <c r="B6" s="3221"/>
      <c r="C6" s="1391" t="s">
        <v>911</v>
      </c>
      <c r="D6" s="796" t="str">
        <f ca="1">NUMBERSTRING(INT(D5*10000),2)&amp;"元整"</f>
        <v>肆拾伍亿柒仟零伍拾捌万元整</v>
      </c>
    </row>
    <row r="7" spans="1:5" ht="15.75">
      <c r="B7" s="3226"/>
      <c r="C7" s="1392" t="s">
        <v>912</v>
      </c>
      <c r="D7" s="797">
        <f ca="1">结果表!H102</f>
        <v>46201</v>
      </c>
    </row>
    <row r="8" spans="1:5" ht="15.75">
      <c r="B8" s="3227" t="str">
        <f>结果表!E103</f>
        <v>2.估价师知悉的法定优先受偿款</v>
      </c>
      <c r="C8" s="1393" t="s">
        <v>913</v>
      </c>
      <c r="D8" s="797">
        <f>结果表!H103</f>
        <v>0</v>
      </c>
    </row>
    <row r="9" spans="1:5" ht="15.75">
      <c r="B9" s="322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20" t="str">
        <f>结果表!E107</f>
        <v>3.房地产抵押价值</v>
      </c>
      <c r="C13" s="1396" t="s">
        <v>910</v>
      </c>
      <c r="D13" s="799">
        <f ca="1">结果表!H107</f>
        <v>457058</v>
      </c>
    </row>
    <row r="14" spans="1:5" ht="15.75">
      <c r="B14" s="3221"/>
      <c r="C14" s="1391" t="s">
        <v>911</v>
      </c>
      <c r="D14" s="796" t="str">
        <f ca="1">NUMBERSTRING(INT(D13*10000),2)&amp;"元整"</f>
        <v>肆拾伍亿柒仟零伍拾捌万元整</v>
      </c>
    </row>
    <row r="15" spans="1:5" ht="15">
      <c r="B15" s="3226"/>
      <c r="C15" s="1392" t="s">
        <v>921</v>
      </c>
      <c r="D15" s="805">
        <f ca="1">结果表!H108</f>
        <v>46201</v>
      </c>
    </row>
    <row r="16" spans="1:5" ht="15">
      <c r="B16" s="3227" t="str">
        <f>结果表!E109</f>
        <v>——</v>
      </c>
      <c r="C16" s="1396" t="s">
        <v>922</v>
      </c>
      <c r="D16" s="1397" t="str">
        <f>结果表!H109</f>
        <v>——</v>
      </c>
    </row>
    <row r="17" spans="1:5" ht="15.75">
      <c r="B17" s="3228"/>
      <c r="C17" s="1391" t="s">
        <v>923</v>
      </c>
      <c r="D17" s="796" t="e">
        <f>NUMBERSTRING(INT(D16*10000),2)&amp;"元整"</f>
        <v>#VALUE!</v>
      </c>
    </row>
    <row r="18" spans="1:5" ht="15">
      <c r="B18" s="3229"/>
      <c r="C18" s="1392" t="s">
        <v>912</v>
      </c>
      <c r="D18" s="805" t="str">
        <f>结果表!H110</f>
        <v>——</v>
      </c>
    </row>
    <row r="19" spans="1:5" ht="15.75">
      <c r="B19" s="3220" t="str">
        <f>结果表!E111</f>
        <v>4.抵押净值</v>
      </c>
      <c r="C19" s="1396" t="s">
        <v>910</v>
      </c>
      <c r="D19" s="797">
        <f ca="1">结果表!H111</f>
        <v>273409</v>
      </c>
    </row>
    <row r="20" spans="1:5" ht="15.75">
      <c r="B20" s="3221"/>
      <c r="C20" s="1391" t="s">
        <v>923</v>
      </c>
      <c r="D20" s="796" t="str">
        <f ca="1">NUMBERSTRING(INT(D19*10000),2)&amp;"元整"</f>
        <v>贰拾柒亿叁仟肆佰零玖万元整</v>
      </c>
    </row>
    <row r="21" spans="1:5" ht="15.75" thickBot="1">
      <c r="B21" s="3222"/>
      <c r="C21" s="1398" t="s">
        <v>921</v>
      </c>
      <c r="D21" s="806">
        <f ca="1">结果表!H112</f>
        <v>27637</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25" t="s">
        <v>2082</v>
      </c>
      <c r="D1" s="3526"/>
      <c r="E1" s="3526"/>
      <c r="F1" s="3526"/>
      <c r="G1" s="3526"/>
      <c r="H1" s="3526"/>
      <c r="I1" s="3526"/>
      <c r="J1" s="3526"/>
      <c r="K1" s="3526"/>
      <c r="L1" s="3526"/>
      <c r="M1" s="3526"/>
      <c r="N1" s="3526"/>
      <c r="O1" s="3526"/>
      <c r="P1" s="3526"/>
      <c r="Q1" s="3526"/>
      <c r="R1" s="3526"/>
      <c r="S1" s="3527"/>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522" t="s">
        <v>27</v>
      </c>
      <c r="D22" s="3523"/>
      <c r="E22" s="3523"/>
      <c r="F22" s="3523"/>
      <c r="G22" s="3523"/>
      <c r="H22" s="3523"/>
      <c r="I22" s="3523"/>
      <c r="J22" s="3523"/>
      <c r="K22" s="3523"/>
      <c r="L22" s="3523"/>
      <c r="M22" s="3523"/>
      <c r="N22" s="3523"/>
      <c r="O22" s="3523"/>
      <c r="P22" s="3523"/>
      <c r="Q22" s="3524"/>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5"/>
  <sheetViews>
    <sheetView zoomScale="85" zoomScaleNormal="85" workbookViewId="0">
      <pane ySplit="1" topLeftCell="A84" activePane="bottomLeft" state="frozen"/>
      <selection pane="bottomLeft" activeCell="D119" sqref="D119"/>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3751</v>
      </c>
      <c r="P1" s="3143" t="s">
        <v>3752</v>
      </c>
      <c r="Q1" s="3143" t="s">
        <v>3753</v>
      </c>
      <c r="R1" s="3143" t="s">
        <v>3754</v>
      </c>
      <c r="S1" s="3143" t="s">
        <v>3755</v>
      </c>
      <c r="T1" s="3143" t="s">
        <v>3756</v>
      </c>
      <c r="U1" s="3143" t="s">
        <v>3757</v>
      </c>
    </row>
    <row r="2" spans="1:21">
      <c r="A2" s="3143"/>
      <c r="B2" s="3143"/>
      <c r="C2" s="3143"/>
      <c r="D2" s="3143"/>
      <c r="E2" s="3143"/>
      <c r="F2" s="3143"/>
      <c r="G2" s="3143"/>
      <c r="H2" s="3143"/>
      <c r="I2" s="3143"/>
      <c r="J2" s="3143"/>
      <c r="K2" s="3143"/>
      <c r="L2" s="3143"/>
      <c r="M2" s="3143"/>
      <c r="N2" s="3143"/>
      <c r="O2" s="3187">
        <v>45657</v>
      </c>
      <c r="P2" s="3187">
        <v>46022</v>
      </c>
      <c r="Q2" s="3187">
        <v>46387</v>
      </c>
      <c r="R2" s="3187">
        <v>46752</v>
      </c>
      <c r="S2" s="3187">
        <v>47118</v>
      </c>
      <c r="T2" s="3187">
        <v>47483</v>
      </c>
      <c r="U2" s="3187">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8">
        <f>H5</f>
        <v>18641001.600000001</v>
      </c>
      <c r="Q5" s="3188">
        <f>P5</f>
        <v>18641001.600000001</v>
      </c>
      <c r="R5" s="3188">
        <f t="shared" ref="R5:T5" si="0">Q5</f>
        <v>18641001.600000001</v>
      </c>
      <c r="S5" s="3188">
        <f t="shared" si="0"/>
        <v>18641001.600000001</v>
      </c>
      <c r="T5" s="3188">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6:N65" si="1">H6/F6/365</f>
        <v>7.8904109589041083</v>
      </c>
      <c r="O6">
        <f t="shared" ref="O6:O10" si="2">ROUND(H6/365*($O$2-$D$124),2)</f>
        <v>405826.01</v>
      </c>
      <c r="P6" s="3188">
        <f t="shared" ref="P6:P10" si="3">H6</f>
        <v>2598710.4</v>
      </c>
      <c r="Q6" s="3188">
        <f t="shared" ref="Q6:T6" si="4">P6</f>
        <v>2598710.4</v>
      </c>
      <c r="R6" s="3188">
        <f t="shared" si="4"/>
        <v>2598710.4</v>
      </c>
      <c r="S6" s="3188">
        <f t="shared" si="4"/>
        <v>2598710.4</v>
      </c>
      <c r="T6" s="3188">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8">
        <f t="shared" si="3"/>
        <v>2984745.6</v>
      </c>
      <c r="Q7" s="3188">
        <f t="shared" ref="Q7:T7" si="6">P7</f>
        <v>2984745.6</v>
      </c>
      <c r="R7" s="3188">
        <f t="shared" si="6"/>
        <v>2984745.6</v>
      </c>
      <c r="S7" s="3188">
        <f t="shared" si="6"/>
        <v>2984745.6</v>
      </c>
      <c r="T7" s="3188">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8">
        <f t="shared" si="3"/>
        <v>3735302.4</v>
      </c>
      <c r="Q8" s="3188">
        <f t="shared" ref="Q8:T8" si="7">P8</f>
        <v>3735302.4</v>
      </c>
      <c r="R8" s="3188">
        <f t="shared" si="7"/>
        <v>3735302.4</v>
      </c>
      <c r="S8" s="3188">
        <f t="shared" si="7"/>
        <v>3735302.4</v>
      </c>
      <c r="T8" s="3188">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8">
        <f t="shared" si="3"/>
        <v>1969516.8</v>
      </c>
      <c r="Q9" s="3188">
        <f t="shared" ref="Q9:T9" si="8">P9</f>
        <v>1969516.8</v>
      </c>
      <c r="R9" s="3188">
        <f t="shared" si="8"/>
        <v>1969516.8</v>
      </c>
      <c r="S9" s="3188">
        <f t="shared" si="8"/>
        <v>1969516.8</v>
      </c>
      <c r="T9" s="3188">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8">
        <f t="shared" si="3"/>
        <v>5435948.8799999999</v>
      </c>
      <c r="Q10" s="3188">
        <f t="shared" ref="Q10:T10" si="9">P10</f>
        <v>5435948.8799999999</v>
      </c>
      <c r="R10" s="3188">
        <f t="shared" si="9"/>
        <v>5435948.8799999999</v>
      </c>
      <c r="S10" s="3188">
        <f t="shared" si="9"/>
        <v>5435948.8799999999</v>
      </c>
      <c r="T10" s="3188">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8">
        <f t="shared" ref="P16:P17" si="17">H16</f>
        <v>454056.48</v>
      </c>
      <c r="Q16" s="3188">
        <f t="shared" ref="Q16:T16" si="18">P16</f>
        <v>454056.48</v>
      </c>
      <c r="R16" s="3188">
        <f t="shared" si="18"/>
        <v>454056.48</v>
      </c>
      <c r="S16" s="3188">
        <f t="shared" si="18"/>
        <v>454056.48</v>
      </c>
      <c r="T16" s="3188">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8">
        <f t="shared" si="17"/>
        <v>1236970.32</v>
      </c>
      <c r="Q17" s="3188">
        <f t="shared" ref="Q17:T17" si="20">P17</f>
        <v>1236970.32</v>
      </c>
      <c r="R17" s="3188">
        <f t="shared" si="20"/>
        <v>1236970.32</v>
      </c>
      <c r="S17" s="3188">
        <f t="shared" si="20"/>
        <v>1236970.32</v>
      </c>
      <c r="T17" s="3188">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8">
        <f t="shared" ref="Q21:T21" si="29">P21</f>
        <v>378252</v>
      </c>
      <c r="R21" s="3188">
        <f t="shared" si="29"/>
        <v>378252</v>
      </c>
      <c r="S21" s="3188">
        <f t="shared" si="29"/>
        <v>378252</v>
      </c>
      <c r="T21" s="3188">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8">
        <f t="shared" ref="Q22:T22" si="31">P22</f>
        <v>410913</v>
      </c>
      <c r="R22" s="3188">
        <f t="shared" si="31"/>
        <v>410913</v>
      </c>
      <c r="S22" s="3188">
        <f t="shared" si="31"/>
        <v>410913</v>
      </c>
      <c r="T22" s="3188">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8">
        <f t="shared" ref="P23:P52" si="32">H23</f>
        <v>942701.04</v>
      </c>
      <c r="Q23" s="3188">
        <f t="shared" ref="Q23:T23" si="33">P23</f>
        <v>942701.04</v>
      </c>
      <c r="R23" s="3188">
        <f t="shared" si="33"/>
        <v>942701.04</v>
      </c>
      <c r="S23" s="3188">
        <f t="shared" si="33"/>
        <v>942701.04</v>
      </c>
      <c r="T23" s="3188">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8">
        <f t="shared" si="32"/>
        <v>484282.2</v>
      </c>
      <c r="Q24" s="3188">
        <f t="shared" ref="Q24:T24" si="34">P24</f>
        <v>484282.2</v>
      </c>
      <c r="R24" s="3188">
        <f t="shared" si="34"/>
        <v>484282.2</v>
      </c>
      <c r="S24" s="3188">
        <f t="shared" si="34"/>
        <v>484282.2</v>
      </c>
      <c r="T24" s="3188">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8">
        <f t="shared" si="32"/>
        <v>838972.8</v>
      </c>
      <c r="Q25" s="3188">
        <f t="shared" ref="Q25:T25" si="35">P25</f>
        <v>838972.8</v>
      </c>
      <c r="R25" s="3188">
        <f t="shared" si="35"/>
        <v>838972.8</v>
      </c>
      <c r="S25" s="3188">
        <f t="shared" si="35"/>
        <v>838972.8</v>
      </c>
      <c r="T25" s="3188">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8">
        <f t="shared" si="32"/>
        <v>1268668.8</v>
      </c>
      <c r="Q26" s="3188">
        <f t="shared" ref="Q26:T26" si="36">P26</f>
        <v>1268668.8</v>
      </c>
      <c r="R26" s="3188">
        <f t="shared" si="36"/>
        <v>1268668.8</v>
      </c>
      <c r="S26" s="3188">
        <f t="shared" si="36"/>
        <v>1268668.8</v>
      </c>
      <c r="T26" s="3188">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8">
        <f t="shared" si="32"/>
        <v>4498243.2</v>
      </c>
      <c r="Q27" s="3188">
        <f t="shared" ref="Q27:T27" si="37">P27</f>
        <v>4498243.2</v>
      </c>
      <c r="R27" s="3188">
        <f t="shared" si="37"/>
        <v>4498243.2</v>
      </c>
      <c r="S27" s="3188">
        <f t="shared" si="37"/>
        <v>4498243.2</v>
      </c>
      <c r="T27" s="3188">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8">
        <f t="shared" si="32"/>
        <v>3035635.2</v>
      </c>
      <c r="Q28" s="3188">
        <f t="shared" ref="Q28:T28" si="38">P28</f>
        <v>3035635.2</v>
      </c>
      <c r="R28" s="3188">
        <f t="shared" si="38"/>
        <v>3035635.2</v>
      </c>
      <c r="S28" s="3188">
        <f t="shared" si="38"/>
        <v>3035635.2</v>
      </c>
      <c r="T28" s="3188">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8">
        <f t="shared" si="32"/>
        <v>2410567.2000000002</v>
      </c>
      <c r="Q29" s="3188">
        <f t="shared" ref="Q29:T29" si="39">P29</f>
        <v>2410567.2000000002</v>
      </c>
      <c r="R29" s="3188">
        <f t="shared" si="39"/>
        <v>2410567.2000000002</v>
      </c>
      <c r="S29" s="3188">
        <f t="shared" si="39"/>
        <v>2410567.2000000002</v>
      </c>
      <c r="T29" s="3188">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8">
        <f t="shared" si="32"/>
        <v>484091.4</v>
      </c>
      <c r="Q30" s="3188">
        <f t="shared" ref="Q30:T30" si="40">P30</f>
        <v>484091.4</v>
      </c>
      <c r="R30" s="3188">
        <f t="shared" si="40"/>
        <v>484091.4</v>
      </c>
      <c r="S30" s="3188">
        <f t="shared" si="40"/>
        <v>484091.4</v>
      </c>
      <c r="T30" s="3188">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8">
        <f t="shared" si="32"/>
        <v>830995.2</v>
      </c>
      <c r="Q31" s="3188">
        <f t="shared" ref="Q31:T31" si="41">P31</f>
        <v>830995.2</v>
      </c>
      <c r="R31" s="3188">
        <f t="shared" si="41"/>
        <v>830995.2</v>
      </c>
      <c r="S31" s="3188">
        <f t="shared" si="41"/>
        <v>830995.2</v>
      </c>
      <c r="T31" s="3188">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8">
        <f t="shared" si="32"/>
        <v>672048</v>
      </c>
      <c r="Q32" s="3188">
        <f t="shared" ref="Q32:T32" si="42">P32</f>
        <v>672048</v>
      </c>
      <c r="R32" s="3188">
        <f t="shared" si="42"/>
        <v>672048</v>
      </c>
      <c r="S32" s="3188">
        <f t="shared" si="42"/>
        <v>672048</v>
      </c>
      <c r="T32" s="3188">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8">
        <f t="shared" si="32"/>
        <v>8076614.4000000004</v>
      </c>
      <c r="Q33" s="3188">
        <f t="shared" ref="Q33:T33" si="43">P33</f>
        <v>8076614.4000000004</v>
      </c>
      <c r="R33" s="3188">
        <f t="shared" si="43"/>
        <v>8076614.4000000004</v>
      </c>
      <c r="S33" s="3188">
        <f t="shared" si="43"/>
        <v>8076614.4000000004</v>
      </c>
      <c r="T33" s="3188">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8">
        <f t="shared" si="32"/>
        <v>305827.20000000001</v>
      </c>
      <c r="Q34" s="3188">
        <f t="shared" ref="Q34:T34" si="44">P34</f>
        <v>305827.20000000001</v>
      </c>
      <c r="R34" s="3188">
        <f t="shared" si="44"/>
        <v>305827.20000000001</v>
      </c>
      <c r="S34" s="3188">
        <f t="shared" si="44"/>
        <v>305827.20000000001</v>
      </c>
      <c r="T34" s="3188">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8">
        <f t="shared" si="32"/>
        <v>303685.2</v>
      </c>
      <c r="Q35" s="3188">
        <f t="shared" ref="Q35:T35" si="45">P35</f>
        <v>303685.2</v>
      </c>
      <c r="R35" s="3188">
        <f t="shared" si="45"/>
        <v>303685.2</v>
      </c>
      <c r="S35" s="3188">
        <f t="shared" si="45"/>
        <v>303685.2</v>
      </c>
      <c r="T35" s="3188">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8">
        <f t="shared" si="32"/>
        <v>731505.6</v>
      </c>
      <c r="Q36" s="3188">
        <f t="shared" ref="Q36:T36" si="46">P36</f>
        <v>731505.6</v>
      </c>
      <c r="R36" s="3188">
        <f t="shared" si="46"/>
        <v>731505.6</v>
      </c>
      <c r="S36" s="3188">
        <f t="shared" si="46"/>
        <v>731505.6</v>
      </c>
      <c r="T36" s="3188">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8">
        <f t="shared" si="32"/>
        <v>3935962.8</v>
      </c>
      <c r="Q37" s="3188">
        <f t="shared" ref="Q37:T37" si="47">P37</f>
        <v>3935962.8</v>
      </c>
      <c r="R37" s="3188">
        <f t="shared" si="47"/>
        <v>3935962.8</v>
      </c>
      <c r="S37" s="3188">
        <f t="shared" si="47"/>
        <v>3935962.8</v>
      </c>
      <c r="T37" s="3188">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8">
        <f t="shared" si="32"/>
        <v>378252</v>
      </c>
      <c r="Q38" s="3188">
        <f t="shared" ref="Q38:T38" si="48">P38</f>
        <v>378252</v>
      </c>
      <c r="R38" s="3188">
        <f t="shared" si="48"/>
        <v>378252</v>
      </c>
      <c r="S38" s="3188">
        <f t="shared" si="48"/>
        <v>378252</v>
      </c>
      <c r="T38" s="3188">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8">
        <f t="shared" si="32"/>
        <v>2273443.2000000002</v>
      </c>
      <c r="Q39" s="3188">
        <f t="shared" ref="Q39:T39" si="49">P39</f>
        <v>2273443.2000000002</v>
      </c>
      <c r="R39" s="3188">
        <f t="shared" si="49"/>
        <v>2273443.2000000002</v>
      </c>
      <c r="S39" s="3188">
        <f t="shared" si="49"/>
        <v>2273443.2000000002</v>
      </c>
      <c r="T39" s="3188">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8">
        <f t="shared" si="32"/>
        <v>1315162.8</v>
      </c>
      <c r="Q40" s="3188">
        <f t="shared" ref="Q40:T40" si="50">P40</f>
        <v>1315162.8</v>
      </c>
      <c r="R40" s="3188">
        <f t="shared" si="50"/>
        <v>1315162.8</v>
      </c>
      <c r="S40" s="3188">
        <f t="shared" si="50"/>
        <v>1315162.8</v>
      </c>
      <c r="T40" s="3188">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8">
        <f t="shared" si="32"/>
        <v>653049</v>
      </c>
      <c r="Q41" s="3188">
        <f t="shared" ref="Q41:T41" si="51">P41</f>
        <v>653049</v>
      </c>
      <c r="R41" s="3188">
        <f t="shared" si="51"/>
        <v>653049</v>
      </c>
      <c r="S41" s="3188">
        <f t="shared" si="51"/>
        <v>653049</v>
      </c>
      <c r="T41" s="3188">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8">
        <f t="shared" si="32"/>
        <v>783756</v>
      </c>
      <c r="Q42" s="3188">
        <f t="shared" ref="Q42:T42" si="52">P42</f>
        <v>783756</v>
      </c>
      <c r="R42" s="3188">
        <f t="shared" si="52"/>
        <v>783756</v>
      </c>
      <c r="S42" s="3188">
        <f t="shared" si="52"/>
        <v>783756</v>
      </c>
      <c r="T42" s="3188">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8">
        <f t="shared" si="32"/>
        <v>410373</v>
      </c>
      <c r="Q43" s="3188">
        <f t="shared" ref="Q43:T43" si="53">P43</f>
        <v>410373</v>
      </c>
      <c r="R43" s="3188">
        <f t="shared" si="53"/>
        <v>410373</v>
      </c>
      <c r="S43" s="3188">
        <f t="shared" si="53"/>
        <v>410373</v>
      </c>
      <c r="T43" s="3188">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8">
        <f t="shared" si="32"/>
        <v>410508</v>
      </c>
      <c r="Q44" s="3188">
        <f t="shared" ref="Q44:T44" si="54">P44</f>
        <v>410508</v>
      </c>
      <c r="R44" s="3188">
        <f t="shared" si="54"/>
        <v>410508</v>
      </c>
      <c r="S44" s="3188">
        <f t="shared" si="54"/>
        <v>410508</v>
      </c>
      <c r="T44" s="3188">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8">
        <f t="shared" si="32"/>
        <v>816183</v>
      </c>
      <c r="Q45" s="3188">
        <f t="shared" ref="Q45:T45" si="55">P45</f>
        <v>816183</v>
      </c>
      <c r="R45" s="3188">
        <f t="shared" si="55"/>
        <v>816183</v>
      </c>
      <c r="S45" s="3188">
        <f t="shared" si="55"/>
        <v>816183</v>
      </c>
      <c r="T45" s="3188">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8">
        <f t="shared" si="32"/>
        <v>411021</v>
      </c>
      <c r="Q46" s="3188">
        <f t="shared" ref="Q46:T46" si="56">P46</f>
        <v>411021</v>
      </c>
      <c r="R46" s="3188">
        <f t="shared" si="56"/>
        <v>411021</v>
      </c>
      <c r="S46" s="3188">
        <f t="shared" si="56"/>
        <v>411021</v>
      </c>
      <c r="T46" s="3188">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8">
        <f t="shared" si="32"/>
        <v>369306</v>
      </c>
      <c r="Q47" s="3188">
        <f t="shared" ref="Q47:T47" si="57">P47</f>
        <v>369306</v>
      </c>
      <c r="R47" s="3188">
        <f t="shared" si="57"/>
        <v>369306</v>
      </c>
      <c r="S47" s="3188">
        <f t="shared" si="57"/>
        <v>369306</v>
      </c>
      <c r="T47" s="3188">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8">
        <f t="shared" si="32"/>
        <v>411102</v>
      </c>
      <c r="Q48" s="3188">
        <f t="shared" ref="Q48:T48" si="58">P48</f>
        <v>411102</v>
      </c>
      <c r="R48" s="3188">
        <f t="shared" si="58"/>
        <v>411102</v>
      </c>
      <c r="S48" s="3188">
        <f t="shared" si="58"/>
        <v>411102</v>
      </c>
      <c r="T48" s="3188">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8">
        <f t="shared" si="32"/>
        <v>327834</v>
      </c>
      <c r="Q49" s="3188">
        <f t="shared" ref="Q49:T49" si="59">P49</f>
        <v>327834</v>
      </c>
      <c r="R49" s="3188">
        <f t="shared" si="59"/>
        <v>327834</v>
      </c>
      <c r="S49" s="3188">
        <f t="shared" si="59"/>
        <v>327834</v>
      </c>
      <c r="T49" s="3188">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8">
        <f t="shared" si="32"/>
        <v>409752</v>
      </c>
      <c r="Q50" s="3188">
        <f t="shared" ref="Q50:T50" si="60">P50</f>
        <v>409752</v>
      </c>
      <c r="R50" s="3188">
        <f t="shared" si="60"/>
        <v>409752</v>
      </c>
      <c r="S50" s="3188">
        <f t="shared" si="60"/>
        <v>409752</v>
      </c>
      <c r="T50" s="3188">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8">
        <f t="shared" si="32"/>
        <v>12473055</v>
      </c>
      <c r="Q51" s="3188">
        <f t="shared" ref="Q51:T51" si="61">P51</f>
        <v>12473055</v>
      </c>
      <c r="R51" s="3188">
        <f t="shared" si="61"/>
        <v>12473055</v>
      </c>
      <c r="S51" s="3188">
        <f t="shared" si="61"/>
        <v>12473055</v>
      </c>
      <c r="T51" s="3188">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8">
        <f t="shared" si="32"/>
        <v>396264</v>
      </c>
      <c r="Q52" s="3188">
        <f t="shared" ref="Q52:T52" si="62">P52</f>
        <v>396264</v>
      </c>
      <c r="R52" s="3188">
        <f t="shared" si="62"/>
        <v>396264</v>
      </c>
      <c r="S52" s="3188">
        <f t="shared" si="62"/>
        <v>396264</v>
      </c>
      <c r="T52" s="3188">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8">
        <f t="shared" ref="P54:P56" si="63">H54</f>
        <v>2265714.7200000002</v>
      </c>
      <c r="Q54" s="3188">
        <f t="shared" ref="Q54:T54" si="64">P54</f>
        <v>2265714.7200000002</v>
      </c>
      <c r="R54" s="3188">
        <f t="shared" si="64"/>
        <v>2265714.7200000002</v>
      </c>
      <c r="S54" s="3188">
        <f t="shared" si="64"/>
        <v>2265714.7200000002</v>
      </c>
      <c r="T54" s="3188">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8">
        <f t="shared" si="63"/>
        <v>442325.02</v>
      </c>
      <c r="Q55" s="3188">
        <f t="shared" ref="Q55:T55" si="65">P55</f>
        <v>442325.02</v>
      </c>
      <c r="R55" s="3188">
        <f t="shared" si="65"/>
        <v>442325.02</v>
      </c>
      <c r="S55" s="3188">
        <f t="shared" si="65"/>
        <v>442325.02</v>
      </c>
      <c r="T55" s="3188">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8">
        <f t="shared" si="63"/>
        <v>1737765.62</v>
      </c>
      <c r="Q56" s="3188">
        <f t="shared" ref="Q56:T56" si="66">P56</f>
        <v>1737765.62</v>
      </c>
      <c r="R56" s="3188">
        <f t="shared" si="66"/>
        <v>1737765.62</v>
      </c>
      <c r="S56" s="3188">
        <f t="shared" si="66"/>
        <v>1737765.62</v>
      </c>
      <c r="T56" s="3188">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8">
        <f t="shared" ref="P60:P61" si="74">H60</f>
        <v>609512.4</v>
      </c>
      <c r="Q60" s="3188">
        <f t="shared" ref="Q60:T60" si="75">P60</f>
        <v>609512.4</v>
      </c>
      <c r="R60" s="3188">
        <f t="shared" si="75"/>
        <v>609512.4</v>
      </c>
      <c r="S60" s="3188">
        <f t="shared" si="75"/>
        <v>609512.4</v>
      </c>
      <c r="T60" s="3188">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8">
        <f t="shared" si="74"/>
        <v>348566.4</v>
      </c>
      <c r="Q61" s="3188">
        <f t="shared" ref="Q61:T61" si="76">P61</f>
        <v>348566.4</v>
      </c>
      <c r="R61" s="3188">
        <f t="shared" si="76"/>
        <v>348566.4</v>
      </c>
      <c r="S61" s="3188">
        <f t="shared" si="76"/>
        <v>348566.4</v>
      </c>
      <c r="T61" s="3188">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8">
        <f t="shared" ref="P63:P65" si="77">H63</f>
        <v>949935.6</v>
      </c>
      <c r="Q63" s="3188">
        <f t="shared" ref="Q63:T63" si="78">P63</f>
        <v>949935.6</v>
      </c>
      <c r="R63" s="3188">
        <f t="shared" si="78"/>
        <v>949935.6</v>
      </c>
      <c r="S63" s="3188">
        <f t="shared" si="78"/>
        <v>949935.6</v>
      </c>
      <c r="T63" s="3188">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8">
        <f t="shared" si="77"/>
        <v>461894.40000000002</v>
      </c>
      <c r="Q64" s="3188">
        <f t="shared" ref="Q64:T64" si="79">P64</f>
        <v>461894.40000000002</v>
      </c>
      <c r="R64" s="3188">
        <f t="shared" si="79"/>
        <v>461894.40000000002</v>
      </c>
      <c r="S64" s="3188">
        <f t="shared" si="79"/>
        <v>461894.40000000002</v>
      </c>
      <c r="T64" s="3188">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8">
        <f t="shared" si="77"/>
        <v>465879.6</v>
      </c>
      <c r="Q65" s="3188">
        <f t="shared" ref="Q65:T65" si="80">P65</f>
        <v>465879.6</v>
      </c>
      <c r="R65" s="3188">
        <f t="shared" si="80"/>
        <v>465879.6</v>
      </c>
      <c r="S65" s="3188">
        <f t="shared" si="80"/>
        <v>465879.6</v>
      </c>
      <c r="T65" s="3188">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8">
        <f t="shared" ref="P69:P73" si="89">H69</f>
        <v>381175.2</v>
      </c>
      <c r="Q69" s="3188">
        <f t="shared" ref="Q69:T69" si="90">P69</f>
        <v>381175.2</v>
      </c>
      <c r="R69" s="3188">
        <f t="shared" si="90"/>
        <v>381175.2</v>
      </c>
      <c r="S69" s="3188">
        <f t="shared" si="90"/>
        <v>381175.2</v>
      </c>
      <c r="T69" s="3188">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8">
        <f t="shared" si="89"/>
        <v>383241.6</v>
      </c>
      <c r="Q70" s="3188">
        <f t="shared" ref="Q70:T70" si="91">P70</f>
        <v>383241.6</v>
      </c>
      <c r="R70" s="3188">
        <f t="shared" si="91"/>
        <v>383241.6</v>
      </c>
      <c r="S70" s="3188">
        <f t="shared" si="91"/>
        <v>383241.6</v>
      </c>
      <c r="T70" s="3188">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8">
        <f t="shared" si="89"/>
        <v>2405390.4</v>
      </c>
      <c r="Q71" s="3188">
        <f t="shared" ref="Q71:T71" si="92">P71</f>
        <v>2405390.4</v>
      </c>
      <c r="R71" s="3188">
        <f t="shared" si="92"/>
        <v>2405390.4</v>
      </c>
      <c r="S71" s="3188">
        <f t="shared" si="92"/>
        <v>2405390.4</v>
      </c>
      <c r="T71" s="3188">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8">
        <f t="shared" si="89"/>
        <v>459306</v>
      </c>
      <c r="Q72" s="3188">
        <f t="shared" ref="Q72:T72" si="93">P72</f>
        <v>459306</v>
      </c>
      <c r="R72" s="3188">
        <f t="shared" si="93"/>
        <v>459306</v>
      </c>
      <c r="S72" s="3188">
        <f t="shared" si="93"/>
        <v>459306</v>
      </c>
      <c r="T72" s="3188">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8">
        <f t="shared" si="89"/>
        <v>876729.6</v>
      </c>
      <c r="Q73" s="3188">
        <f t="shared" ref="Q73:T73" si="94">P73</f>
        <v>876729.6</v>
      </c>
      <c r="R73" s="3188">
        <f t="shared" si="94"/>
        <v>876729.6</v>
      </c>
      <c r="S73" s="3188">
        <f t="shared" si="94"/>
        <v>876729.6</v>
      </c>
      <c r="T73" s="3188">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8">
        <f t="shared" ref="P75:P76" si="95">H75</f>
        <v>449560.08</v>
      </c>
      <c r="Q75" s="3188">
        <f t="shared" ref="Q75:T75" si="96">P75</f>
        <v>449560.08</v>
      </c>
      <c r="R75" s="3188">
        <f t="shared" si="96"/>
        <v>449560.08</v>
      </c>
      <c r="S75" s="3188">
        <f t="shared" si="96"/>
        <v>449560.08</v>
      </c>
      <c r="T75" s="3188">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8">
        <f t="shared" si="95"/>
        <v>1397502</v>
      </c>
      <c r="Q76" s="3188">
        <f t="shared" ref="Q76:T76" si="97">P76</f>
        <v>1397502</v>
      </c>
      <c r="R76" s="3188">
        <f t="shared" si="97"/>
        <v>1397502</v>
      </c>
      <c r="S76" s="3188">
        <f t="shared" si="97"/>
        <v>1397502</v>
      </c>
      <c r="T76" s="3188">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8">
        <f t="shared" ref="P78:P82" si="98">H78</f>
        <v>1951470.72</v>
      </c>
      <c r="Q78" s="3188">
        <f t="shared" ref="Q78:T78" si="99">P78</f>
        <v>1951470.72</v>
      </c>
      <c r="R78" s="3188">
        <f t="shared" si="99"/>
        <v>1951470.72</v>
      </c>
      <c r="S78" s="3188">
        <f t="shared" si="99"/>
        <v>1951470.72</v>
      </c>
      <c r="T78" s="3188">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8">
        <f t="shared" si="98"/>
        <v>927363.6</v>
      </c>
      <c r="Q79" s="3188">
        <f t="shared" ref="Q79:T79" si="100">P79</f>
        <v>927363.6</v>
      </c>
      <c r="R79" s="3188">
        <f t="shared" si="100"/>
        <v>927363.6</v>
      </c>
      <c r="S79" s="3188">
        <f t="shared" si="100"/>
        <v>927363.6</v>
      </c>
      <c r="T79" s="3188">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8">
        <f t="shared" si="98"/>
        <v>436636.8</v>
      </c>
      <c r="Q80" s="3188">
        <f t="shared" ref="Q80:T80" si="101">P80</f>
        <v>436636.8</v>
      </c>
      <c r="R80" s="3188">
        <f t="shared" si="101"/>
        <v>436636.8</v>
      </c>
      <c r="S80" s="3188">
        <f t="shared" si="101"/>
        <v>436636.8</v>
      </c>
      <c r="T80" s="3188">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8">
        <f t="shared" si="98"/>
        <v>436780.79999999999</v>
      </c>
      <c r="Q81" s="3188">
        <f t="shared" ref="Q81:T81" si="102">P81</f>
        <v>436780.79999999999</v>
      </c>
      <c r="R81" s="3188">
        <f t="shared" si="102"/>
        <v>436780.79999999999</v>
      </c>
      <c r="S81" s="3188">
        <f t="shared" si="102"/>
        <v>436780.79999999999</v>
      </c>
      <c r="T81" s="3188">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8">
        <f t="shared" si="98"/>
        <v>436924.8</v>
      </c>
      <c r="Q82" s="3188">
        <f t="shared" ref="Q82:T82" si="103">P82</f>
        <v>436924.8</v>
      </c>
      <c r="R82" s="3188">
        <f t="shared" si="103"/>
        <v>436924.8</v>
      </c>
      <c r="S82" s="3188">
        <f t="shared" si="103"/>
        <v>436924.8</v>
      </c>
      <c r="T82" s="3188">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4: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8">
        <f t="shared" ref="P86:P88" si="111">H86</f>
        <v>454963.74</v>
      </c>
      <c r="Q86" s="3188">
        <f t="shared" ref="Q86:T86" si="112">P86</f>
        <v>454963.74</v>
      </c>
      <c r="R86" s="3188">
        <f t="shared" si="112"/>
        <v>454963.74</v>
      </c>
      <c r="S86" s="3188">
        <f t="shared" si="112"/>
        <v>454963.74</v>
      </c>
      <c r="T86" s="3188">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8">
        <f t="shared" si="111"/>
        <v>72270</v>
      </c>
      <c r="Q87" s="3188">
        <f t="shared" ref="Q87:T87" si="114">P87</f>
        <v>72270</v>
      </c>
      <c r="R87" s="3188">
        <f t="shared" si="114"/>
        <v>72270</v>
      </c>
      <c r="S87" s="3188">
        <f t="shared" si="114"/>
        <v>72270</v>
      </c>
      <c r="T87" s="3188">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8">
        <f t="shared" si="111"/>
        <v>3670282.89</v>
      </c>
      <c r="Q88" s="3188">
        <f t="shared" ref="Q88:T88" si="115">P88</f>
        <v>3670282.89</v>
      </c>
      <c r="R88" s="3188">
        <f t="shared" si="115"/>
        <v>3670282.89</v>
      </c>
      <c r="S88" s="3188">
        <f t="shared" si="115"/>
        <v>3670282.89</v>
      </c>
      <c r="T88" s="3188">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5"/>
      <c r="J90" s="3185"/>
      <c r="K90" s="1404"/>
      <c r="L90" s="1404"/>
      <c r="N90" s="3163"/>
    </row>
    <row r="91" spans="1:21">
      <c r="I91" s="3185"/>
      <c r="J91" s="3185"/>
      <c r="K91" s="1404"/>
      <c r="L91" s="1404"/>
      <c r="N91" s="3163"/>
      <c r="O91" s="3143" t="s">
        <v>3751</v>
      </c>
      <c r="P91" s="3143" t="s">
        <v>3752</v>
      </c>
      <c r="Q91" s="3143" t="s">
        <v>3753</v>
      </c>
      <c r="R91" s="3143" t="s">
        <v>3754</v>
      </c>
      <c r="S91" s="3143" t="s">
        <v>3755</v>
      </c>
      <c r="T91" s="3143" t="s">
        <v>3756</v>
      </c>
      <c r="U91" s="3143" t="s">
        <v>3757</v>
      </c>
    </row>
    <row r="92" spans="1:21">
      <c r="O92" s="3187">
        <v>45657</v>
      </c>
      <c r="P92" s="3187">
        <v>46022</v>
      </c>
      <c r="Q92" s="3187">
        <v>46387</v>
      </c>
      <c r="R92" s="3187">
        <v>46752</v>
      </c>
      <c r="S92" s="3187">
        <v>47118</v>
      </c>
      <c r="T92" s="3187">
        <v>47483</v>
      </c>
      <c r="U92" s="3187">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8">
        <f>H93</f>
        <v>3635381.75</v>
      </c>
      <c r="Q93" s="3188">
        <f>P93</f>
        <v>3635381.75</v>
      </c>
      <c r="R93" s="3188">
        <f t="shared" ref="R93:T93" si="117">Q93</f>
        <v>3635381.75</v>
      </c>
      <c r="S93" s="3188">
        <f t="shared" si="117"/>
        <v>3635381.75</v>
      </c>
      <c r="T93" s="3188">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8">
        <f>H94</f>
        <v>2296926.96</v>
      </c>
      <c r="Q94" s="3188">
        <f t="shared" ref="Q94:T94" si="118">P94</f>
        <v>2296926.96</v>
      </c>
      <c r="R94" s="3188">
        <f t="shared" si="118"/>
        <v>2296926.96</v>
      </c>
      <c r="S94" s="3188">
        <f t="shared" si="118"/>
        <v>2296926.96</v>
      </c>
      <c r="T94" s="3188">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3770</v>
      </c>
      <c r="M95">
        <v>1</v>
      </c>
      <c r="N95" s="3163"/>
      <c r="P95" s="3188"/>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8">
        <f>H96</f>
        <v>2480036.85</v>
      </c>
      <c r="Q96" s="3188">
        <f t="shared" ref="Q96:T96" si="119">P96</f>
        <v>2480036.85</v>
      </c>
      <c r="R96" s="3188">
        <f t="shared" si="119"/>
        <v>2480036.85</v>
      </c>
      <c r="S96" s="3188">
        <f t="shared" si="119"/>
        <v>2480036.85</v>
      </c>
      <c r="T96" s="3188">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8">
        <f>H97</f>
        <v>3429189.6</v>
      </c>
      <c r="Q97" s="3188">
        <f t="shared" ref="Q97:T97" si="120">P97</f>
        <v>3429189.6</v>
      </c>
      <c r="R97" s="3188">
        <f t="shared" si="120"/>
        <v>3429189.6</v>
      </c>
      <c r="S97" s="3188">
        <f t="shared" si="120"/>
        <v>3429189.6</v>
      </c>
      <c r="T97" s="3188">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8">
        <f>ROUND(E98*$G$131*(1-$G$128)^2*(1+$G$127)*365,2)</f>
        <v>3213726.73</v>
      </c>
      <c r="R98" s="3188">
        <f>ROUND(E98*$G$131*(1-$G$128)^3*(1+$G$127)*365,2)</f>
        <v>2892354.06</v>
      </c>
      <c r="S98" s="3188">
        <f>ROUND(E98*$G$131*(1-$G$128)^4*(1+$G$127)*365,2)</f>
        <v>2603118.66</v>
      </c>
      <c r="T98" s="3188">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8">
        <f>ROUND(E99*$G$131*(1-$G$128)^2*(1+$G$127)*365,2)</f>
        <v>5326247.92</v>
      </c>
      <c r="R99" s="3188">
        <f>ROUND(E99*$G$131*(1-$G$128)^3*(1+$G$127)*365,2)</f>
        <v>4793623.13</v>
      </c>
      <c r="S99" s="3188">
        <f>ROUND(E99*$G$131*(1-$G$128)^4*(1+$G$127)*365,2)</f>
        <v>4314260.82</v>
      </c>
      <c r="T99" s="3188">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8">
        <f t="shared" ref="P100:P109" si="122">H100</f>
        <v>1152000</v>
      </c>
      <c r="Q100" s="3188">
        <f t="shared" ref="Q100:T100" si="123">P100</f>
        <v>1152000</v>
      </c>
      <c r="R100" s="3188">
        <f t="shared" si="123"/>
        <v>1152000</v>
      </c>
      <c r="S100" s="3188">
        <f t="shared" si="123"/>
        <v>1152000</v>
      </c>
      <c r="T100" s="3188">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8">
        <f t="shared" si="122"/>
        <v>5789145.5999999996</v>
      </c>
      <c r="Q101" s="3188">
        <f t="shared" ref="Q101:T101" si="125">P101</f>
        <v>5789145.5999999996</v>
      </c>
      <c r="R101" s="3188">
        <f t="shared" si="125"/>
        <v>5789145.5999999996</v>
      </c>
      <c r="S101" s="3188">
        <f t="shared" si="125"/>
        <v>5789145.5999999996</v>
      </c>
      <c r="T101" s="3188">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8">
        <f t="shared" si="122"/>
        <v>141177.60000000001</v>
      </c>
      <c r="Q102" s="3188">
        <f t="shared" ref="Q102:T102" si="126">P102</f>
        <v>141177.60000000001</v>
      </c>
      <c r="R102" s="3188">
        <f t="shared" si="126"/>
        <v>141177.60000000001</v>
      </c>
      <c r="S102" s="3188">
        <f t="shared" si="126"/>
        <v>141177.60000000001</v>
      </c>
      <c r="T102" s="3188">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8">
        <f t="shared" si="122"/>
        <v>72000</v>
      </c>
      <c r="Q103" s="3188">
        <f t="shared" ref="Q103:T103" si="127">P103</f>
        <v>72000</v>
      </c>
      <c r="R103" s="3188">
        <f t="shared" si="127"/>
        <v>72000</v>
      </c>
      <c r="S103" s="3188">
        <f t="shared" si="127"/>
        <v>72000</v>
      </c>
      <c r="T103" s="3188">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8">
        <f t="shared" si="122"/>
        <v>4465474.5</v>
      </c>
      <c r="Q104" s="3188">
        <f t="shared" ref="Q104:T104" si="128">P104</f>
        <v>4465474.5</v>
      </c>
      <c r="R104" s="3188">
        <f t="shared" si="128"/>
        <v>4465474.5</v>
      </c>
      <c r="S104" s="3188">
        <f t="shared" si="128"/>
        <v>4465474.5</v>
      </c>
      <c r="T104" s="3188">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8">
        <f t="shared" si="122"/>
        <v>652537.92000000004</v>
      </c>
      <c r="Q105" s="3188">
        <f t="shared" ref="Q105:T105" si="129">P105</f>
        <v>652537.92000000004</v>
      </c>
      <c r="R105" s="3188">
        <f t="shared" si="129"/>
        <v>652537.92000000004</v>
      </c>
      <c r="S105" s="3188">
        <f t="shared" si="129"/>
        <v>652537.92000000004</v>
      </c>
      <c r="T105" s="3188">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8">
        <f t="shared" si="122"/>
        <v>1056246</v>
      </c>
      <c r="Q106" s="3188">
        <f t="shared" ref="Q106:T106" si="130">P106</f>
        <v>1056246</v>
      </c>
      <c r="R106" s="3188">
        <f t="shared" si="130"/>
        <v>1056246</v>
      </c>
      <c r="S106" s="3188">
        <f t="shared" si="130"/>
        <v>1056246</v>
      </c>
      <c r="T106" s="3188">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8">
        <f t="shared" si="122"/>
        <v>2022292.68</v>
      </c>
      <c r="Q107" s="3188">
        <f t="shared" ref="Q107:T107" si="131">P107</f>
        <v>2022292.68</v>
      </c>
      <c r="R107" s="3188">
        <f t="shared" si="131"/>
        <v>2022292.68</v>
      </c>
      <c r="S107" s="3188">
        <f t="shared" si="131"/>
        <v>2022292.68</v>
      </c>
      <c r="T107" s="3188">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8">
        <f t="shared" si="122"/>
        <v>620175.12</v>
      </c>
      <c r="Q108" s="3188">
        <f t="shared" ref="Q108:T108" si="132">P108</f>
        <v>620175.12</v>
      </c>
      <c r="R108" s="3188">
        <f t="shared" si="132"/>
        <v>620175.12</v>
      </c>
      <c r="S108" s="3188">
        <f t="shared" si="132"/>
        <v>620175.12</v>
      </c>
      <c r="T108" s="3188">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8">
        <f t="shared" si="122"/>
        <v>378861.7</v>
      </c>
      <c r="Q109" s="3188">
        <f t="shared" ref="Q109:T109" si="133">P109</f>
        <v>378861.7</v>
      </c>
      <c r="R109" s="3188">
        <f t="shared" si="133"/>
        <v>378861.7</v>
      </c>
      <c r="S109" s="3188">
        <f t="shared" si="133"/>
        <v>378861.7</v>
      </c>
      <c r="T109" s="3188">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3770</v>
      </c>
      <c r="M110">
        <v>2</v>
      </c>
      <c r="N110" s="3163"/>
    </row>
    <row r="111" spans="1:21">
      <c r="A111" s="3147" t="s">
        <v>3570</v>
      </c>
      <c r="B111" s="3147" t="s">
        <v>3400</v>
      </c>
      <c r="C111" s="3147"/>
      <c r="D111" s="3147"/>
      <c r="E111" s="3147">
        <v>0</v>
      </c>
      <c r="F111" s="3147">
        <v>0</v>
      </c>
      <c r="G111" s="3147"/>
      <c r="H111" s="3147"/>
      <c r="I111" s="3147"/>
      <c r="J111" s="3147"/>
      <c r="K111" s="1404" t="s">
        <v>3594</v>
      </c>
      <c r="L111" s="1404" t="s">
        <v>3770</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8">
        <f>ROUND(F112*$G$131*(1-$G$128)^2*(1+$G$127)*365,2)</f>
        <v>1593428.74</v>
      </c>
      <c r="R112" s="3188">
        <f>ROUND(F112*$G$131*(1-$G$128)^3*(1+$G$127)*365,2)</f>
        <v>1434085.86</v>
      </c>
      <c r="S112" s="3188">
        <f>ROUND(F112*$G$131*(1-$G$128)^4*(1+$G$127)*365,2)</f>
        <v>1290677.28</v>
      </c>
      <c r="T112" s="3188">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8">
        <f>ROUND(E113*$G$131*(1-$G$128)^2*(1+$G$127)*365,2)</f>
        <v>4344977</v>
      </c>
      <c r="R113" s="3188">
        <f>ROUND(E113*$G$131*(1-$G$128)^3*(1+$G$127)*365,2)</f>
        <v>3910479.3</v>
      </c>
      <c r="S113" s="3188">
        <f>ROUND(E113*$G$131*(1-$G$128)^4*(1+$G$127)*365,2)</f>
        <v>3519431.37</v>
      </c>
      <c r="T113" s="3188">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3770</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8">
        <f>ROUND(E115*$G$131*(1-$G$128)^2*(1+$G$127)*365,2)</f>
        <v>5635624.4199999999</v>
      </c>
      <c r="R115" s="3188">
        <f>ROUND(E115*$G$131*(1-$G$128)^3*(1+$G$127)*365,2)</f>
        <v>5072061.9800000004</v>
      </c>
      <c r="S115" s="3188">
        <f>ROUND(E115*$G$131*(1-$G$128)^4*(1+$G$127)*365,2)</f>
        <v>4564855.78</v>
      </c>
      <c r="T115" s="3188">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3770</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8">
        <f>ROUND(E117*$G$131*(1-$G$128)^2*(1+$G$127)*365,2)</f>
        <v>3978550.82</v>
      </c>
      <c r="R117" s="3188">
        <f>ROUND(E117*$G$131*(1-$G$128)^3*(1+$G$127)*365,2)</f>
        <v>3580695.73</v>
      </c>
      <c r="S117" s="3188">
        <f>ROUND(E117*$G$131*(1-$G$128)^4*(1+$G$127)*365,2)</f>
        <v>3222626.16</v>
      </c>
      <c r="T117" s="3188">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8">
        <f t="shared" ref="P118:T118" si="135">O118</f>
        <v>70579.8</v>
      </c>
      <c r="Q118" s="3188">
        <f t="shared" si="135"/>
        <v>70579.8</v>
      </c>
      <c r="R118" s="3188">
        <f t="shared" si="135"/>
        <v>70579.8</v>
      </c>
      <c r="S118" s="3188">
        <f t="shared" si="135"/>
        <v>70579.8</v>
      </c>
      <c r="T118" s="3188">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8">
        <f>ROUND(E119*$G$131*(1-$G$128)^2*(1+$G$127)*365,2)</f>
        <v>334291.63</v>
      </c>
      <c r="R119" s="3188">
        <f>ROUND(E119*$G$131*(1-$G$128)^3*(1+$G$127)*365,2)</f>
        <v>300862.46999999997</v>
      </c>
      <c r="S119" s="3188">
        <f>ROUND(E119*$G$131*(1-$G$128)^4*(1+$G$127)*365,2)</f>
        <v>270776.21999999997</v>
      </c>
      <c r="T119" s="3188">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8">
        <f t="shared" ref="P120:T120" si="137">O120</f>
        <v>356803.13</v>
      </c>
      <c r="Q120" s="3188">
        <f t="shared" si="137"/>
        <v>356803.13</v>
      </c>
      <c r="R120" s="3188">
        <f t="shared" si="137"/>
        <v>356803.13</v>
      </c>
      <c r="S120" s="3188">
        <f t="shared" si="137"/>
        <v>356803.13</v>
      </c>
      <c r="T120" s="3188">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8">
        <f t="shared" ref="P121:T121" si="138">O121</f>
        <v>14989.1</v>
      </c>
      <c r="Q121" s="3188">
        <f t="shared" si="138"/>
        <v>14989.1</v>
      </c>
      <c r="R121" s="3188">
        <f t="shared" si="138"/>
        <v>14989.1</v>
      </c>
      <c r="S121" s="3188">
        <f t="shared" si="138"/>
        <v>14989.1</v>
      </c>
      <c r="T121" s="3188">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3745</v>
      </c>
      <c r="D124" s="3185">
        <f>项目基本情况!D3</f>
        <v>45600</v>
      </c>
      <c r="F124" s="1404" t="s">
        <v>3745</v>
      </c>
      <c r="G124" s="3185">
        <f>D124</f>
        <v>45600</v>
      </c>
    </row>
    <row r="125" spans="1:21">
      <c r="C125" s="1404" t="s">
        <v>3746</v>
      </c>
      <c r="D125" s="3185">
        <v>47557</v>
      </c>
      <c r="F125" s="1404" t="s">
        <v>3761</v>
      </c>
      <c r="G125" s="3185">
        <v>47557</v>
      </c>
    </row>
    <row r="126" spans="1:21">
      <c r="C126" s="1404" t="s">
        <v>3747</v>
      </c>
      <c r="D126">
        <f>ROUND((D125-D124)/365,2)</f>
        <v>5.36</v>
      </c>
      <c r="F126" s="1404" t="s">
        <v>3762</v>
      </c>
      <c r="G126">
        <f>ROUND((G125-G124)/365,2)</f>
        <v>5.36</v>
      </c>
    </row>
    <row r="127" spans="1:21">
      <c r="C127" s="1404" t="s">
        <v>3748</v>
      </c>
      <c r="D127" s="3186">
        <v>0.02</v>
      </c>
      <c r="F127" s="1404" t="s">
        <v>3748</v>
      </c>
      <c r="G127" s="3186">
        <v>0.02</v>
      </c>
    </row>
    <row r="128" spans="1:21">
      <c r="C128" s="1404" t="s">
        <v>3749</v>
      </c>
      <c r="D128" s="3186">
        <v>0.1</v>
      </c>
      <c r="F128" s="1404" t="s">
        <v>3749</v>
      </c>
      <c r="G128" s="3186">
        <v>0.1</v>
      </c>
    </row>
    <row r="129" spans="3:9">
      <c r="C129" s="1404" t="s">
        <v>3750</v>
      </c>
      <c r="D129">
        <v>8.5</v>
      </c>
      <c r="F129" s="1404"/>
    </row>
    <row r="130" spans="3:9">
      <c r="C130" s="1404" t="s">
        <v>3758</v>
      </c>
      <c r="D130">
        <f>SUM(O89:U89)</f>
        <v>1122086854.9900002</v>
      </c>
      <c r="F130" s="1404" t="s">
        <v>3771</v>
      </c>
      <c r="G130">
        <v>15</v>
      </c>
    </row>
    <row r="131" spans="3:9">
      <c r="C131" s="1404" t="s">
        <v>3759</v>
      </c>
      <c r="D131">
        <f>ROUND(D130/(SUM(E3:E88)+C86+C87)/D126/365,2)</f>
        <v>7.89</v>
      </c>
      <c r="F131" s="1404" t="s">
        <v>3772</v>
      </c>
      <c r="G131">
        <v>9</v>
      </c>
    </row>
    <row r="132" spans="3:9">
      <c r="C132" s="1404" t="s">
        <v>3760</v>
      </c>
      <c r="D132">
        <f>ROUND(D129*(1+D127)^6,2)</f>
        <v>9.57</v>
      </c>
      <c r="F132" s="1404" t="s">
        <v>3773</v>
      </c>
      <c r="G132">
        <v>6.5</v>
      </c>
    </row>
    <row r="133" spans="3:9">
      <c r="C133" s="1404" t="s">
        <v>3775</v>
      </c>
      <c r="D133" s="3192">
        <f>SUM(E3:E88)+C86+C87</f>
        <v>72720.140000000014</v>
      </c>
      <c r="F133" s="1404" t="s">
        <v>3767</v>
      </c>
      <c r="G133">
        <f>SUM(O122:U122)</f>
        <v>272853206.73000008</v>
      </c>
    </row>
    <row r="134" spans="3:9">
      <c r="F134" s="1404" t="s">
        <v>3768</v>
      </c>
      <c r="G134">
        <f>ROUND(G133/(SUM(E93:E121)+C121+F112+C103)/G126/365,2)</f>
        <v>5.92</v>
      </c>
    </row>
    <row r="135" spans="3:9">
      <c r="F135" s="1404" t="s">
        <v>3769</v>
      </c>
      <c r="G135">
        <f>ROUND(I141*(1+G127)^6,2)</f>
        <v>8.86</v>
      </c>
    </row>
    <row r="136" spans="3:9">
      <c r="F136" s="1404" t="s">
        <v>3774</v>
      </c>
      <c r="G136">
        <f>SUM(E93:E121)+C121+F112+C103</f>
        <v>23564.51</v>
      </c>
    </row>
    <row r="137" spans="3:9">
      <c r="G137" t="s">
        <v>3763</v>
      </c>
      <c r="H137" s="1404" t="s">
        <v>3766</v>
      </c>
      <c r="I137" s="1404" t="s">
        <v>3750</v>
      </c>
    </row>
    <row r="138" spans="3:9">
      <c r="F138" s="1404" t="s">
        <v>3764</v>
      </c>
      <c r="G138">
        <f>面积!B6</f>
        <v>12527.07</v>
      </c>
      <c r="H138">
        <v>1</v>
      </c>
      <c r="I138">
        <v>10</v>
      </c>
    </row>
    <row r="139" spans="3:9">
      <c r="F139" s="1404" t="s">
        <v>3765</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2">
        <f>D133</f>
        <v>72720.140000000014</v>
      </c>
      <c r="F144">
        <f>G136</f>
        <v>23564.51</v>
      </c>
    </row>
    <row r="145" spans="3:7">
      <c r="C145">
        <f>'数据-汇总表'!F20</f>
        <v>72100.340000000011</v>
      </c>
      <c r="F145">
        <f>'数据-基础表'!I13</f>
        <v>26828.22</v>
      </c>
      <c r="G145">
        <f>F144/F145</f>
        <v>0.87834787399238556</v>
      </c>
    </row>
  </sheetData>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0" zoomScale="70" zoomScaleNormal="70" workbookViewId="0">
      <selection activeCell="N41" sqref="N41"/>
    </sheetView>
  </sheetViews>
  <sheetFormatPr defaultRowHeight="13.5"/>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
  <sheetViews>
    <sheetView zoomScaleNormal="100" workbookViewId="0">
      <selection activeCell="M6" sqref="M6"/>
    </sheetView>
  </sheetViews>
  <sheetFormatPr defaultRowHeight="13.5"/>
  <cols>
    <col min="1" max="1" width="9" customWidth="1"/>
    <col min="8" max="8" width="11.5" customWidth="1"/>
    <col min="9" max="9" width="10.5" bestFit="1" customWidth="1"/>
    <col min="12" max="12" width="10.5" bestFit="1" customWidth="1"/>
  </cols>
  <sheetData>
    <row r="1" spans="1:23" ht="54">
      <c r="A1" s="3180" t="s">
        <v>3728</v>
      </c>
      <c r="B1" s="3180" t="s">
        <v>3729</v>
      </c>
      <c r="C1" s="3180" t="s">
        <v>3723</v>
      </c>
      <c r="D1" s="3180" t="s">
        <v>3730</v>
      </c>
      <c r="E1" s="3180" t="s">
        <v>3731</v>
      </c>
      <c r="F1" s="3180" t="s">
        <v>3724</v>
      </c>
      <c r="G1" s="3180" t="s">
        <v>3724</v>
      </c>
      <c r="H1" s="3180" t="s">
        <v>3727</v>
      </c>
      <c r="I1" s="3181">
        <v>45104</v>
      </c>
      <c r="J1" s="3180" t="s">
        <v>3725</v>
      </c>
      <c r="K1" s="3180" t="s">
        <v>3726</v>
      </c>
      <c r="L1" s="3182">
        <v>48000</v>
      </c>
      <c r="M1" s="3182">
        <v>45388</v>
      </c>
      <c r="N1" s="3182">
        <v>10575.42</v>
      </c>
      <c r="O1" s="3180" t="s">
        <v>3732</v>
      </c>
      <c r="P1" s="3180" t="s">
        <v>3733</v>
      </c>
    </row>
    <row r="2" spans="1:23" s="1155" customFormat="1" ht="57">
      <c r="A2" s="3184" t="s">
        <v>3740</v>
      </c>
      <c r="B2" s="3212" t="s">
        <v>3823</v>
      </c>
      <c r="C2" s="3176" t="s">
        <v>3723</v>
      </c>
      <c r="D2" s="3176" t="s">
        <v>3741</v>
      </c>
      <c r="E2" s="3176" t="s">
        <v>3742</v>
      </c>
      <c r="F2" s="3176" t="s">
        <v>3724</v>
      </c>
      <c r="G2" s="3176" t="s">
        <v>3724</v>
      </c>
      <c r="H2" s="3176" t="s">
        <v>3743</v>
      </c>
      <c r="I2" s="3177">
        <v>44896</v>
      </c>
      <c r="J2" s="3176" t="s">
        <v>3725</v>
      </c>
      <c r="K2" s="3176" t="s">
        <v>3726</v>
      </c>
      <c r="L2" s="3178">
        <v>95422.38</v>
      </c>
      <c r="M2" s="3179">
        <v>48663</v>
      </c>
      <c r="N2" s="3179">
        <v>19609</v>
      </c>
      <c r="O2" s="3176" t="s">
        <v>633</v>
      </c>
      <c r="P2" s="3176" t="s">
        <v>3744</v>
      </c>
    </row>
    <row r="3" spans="1:23" ht="14.25">
      <c r="A3" s="3176"/>
      <c r="B3" s="3176"/>
      <c r="C3" s="3176"/>
      <c r="D3" s="3176"/>
      <c r="E3" s="3176"/>
      <c r="F3" s="3176"/>
      <c r="G3" s="3176"/>
      <c r="H3" s="3176"/>
      <c r="I3" s="3177"/>
      <c r="J3" s="3176"/>
      <c r="K3" s="3176"/>
      <c r="L3" s="3178"/>
      <c r="M3" s="3179"/>
      <c r="N3" s="3179"/>
      <c r="O3" s="3176"/>
      <c r="P3" s="3176"/>
    </row>
    <row r="4" spans="1:23" s="3207" customFormat="1" ht="48">
      <c r="A4" s="3197" t="s">
        <v>2635</v>
      </c>
      <c r="B4" s="3197" t="s">
        <v>3789</v>
      </c>
      <c r="C4" s="3197" t="s">
        <v>3790</v>
      </c>
      <c r="D4" s="3197" t="s">
        <v>3791</v>
      </c>
      <c r="E4" s="3197" t="s">
        <v>3792</v>
      </c>
      <c r="F4" s="3197" t="s">
        <v>3793</v>
      </c>
      <c r="G4" s="3197" t="s">
        <v>3794</v>
      </c>
      <c r="H4" s="3197" t="s">
        <v>3795</v>
      </c>
      <c r="I4" s="3197" t="s">
        <v>3796</v>
      </c>
      <c r="J4" s="3205" t="s">
        <v>3797</v>
      </c>
      <c r="K4" s="3197" t="s">
        <v>3798</v>
      </c>
      <c r="L4" s="3197" t="s">
        <v>3799</v>
      </c>
      <c r="M4" s="3197" t="s">
        <v>3800</v>
      </c>
      <c r="N4" s="3197" t="s">
        <v>3801</v>
      </c>
      <c r="O4" s="3197" t="s">
        <v>3802</v>
      </c>
      <c r="P4" s="3206" t="s">
        <v>3803</v>
      </c>
      <c r="Q4" s="3197" t="s">
        <v>3804</v>
      </c>
      <c r="R4" s="3197" t="s">
        <v>3805</v>
      </c>
      <c r="S4" s="3197" t="s">
        <v>3806</v>
      </c>
      <c r="T4" s="3197" t="s">
        <v>3807</v>
      </c>
      <c r="U4" s="3197" t="s">
        <v>3808</v>
      </c>
      <c r="V4" s="3197" t="s">
        <v>3809</v>
      </c>
      <c r="W4" s="3197" t="s">
        <v>3810</v>
      </c>
    </row>
    <row r="5" spans="1:23" s="3208" customFormat="1" ht="80.45" customHeight="1">
      <c r="A5" s="3197"/>
      <c r="B5" s="3197" t="s">
        <v>3780</v>
      </c>
      <c r="C5" s="3197" t="s">
        <v>3781</v>
      </c>
      <c r="D5" s="3198" t="s">
        <v>2712</v>
      </c>
      <c r="E5" s="3198" t="s">
        <v>3782</v>
      </c>
      <c r="F5" s="3198" t="s">
        <v>3783</v>
      </c>
      <c r="G5" s="3197" t="s">
        <v>3784</v>
      </c>
      <c r="H5" s="3198"/>
      <c r="I5" s="3198">
        <v>10575.42</v>
      </c>
      <c r="J5" s="3199">
        <v>8879.14</v>
      </c>
      <c r="K5" s="3198">
        <v>1696.2800000000002</v>
      </c>
      <c r="L5" s="3198">
        <v>46940.2</v>
      </c>
      <c r="M5" s="3200">
        <v>44386</v>
      </c>
      <c r="N5" s="3201">
        <v>52865.705462465958</v>
      </c>
      <c r="O5" s="3198" t="s">
        <v>3785</v>
      </c>
      <c r="P5" s="3202">
        <v>45078</v>
      </c>
      <c r="Q5" s="3197" t="s">
        <v>3786</v>
      </c>
      <c r="R5" s="3198" t="s">
        <v>3787</v>
      </c>
      <c r="S5" s="3198"/>
      <c r="T5" s="3203">
        <v>0</v>
      </c>
      <c r="U5" s="3198"/>
      <c r="V5" s="3204" t="e">
        <v>#DIV/0!</v>
      </c>
      <c r="W5" s="3198" t="s">
        <v>3788</v>
      </c>
    </row>
    <row r="6" spans="1:23" ht="132">
      <c r="B6" s="3197" t="s">
        <v>3812</v>
      </c>
      <c r="C6" s="3197" t="s">
        <v>3813</v>
      </c>
      <c r="D6" s="3198" t="s">
        <v>3814</v>
      </c>
      <c r="E6" s="3198" t="s">
        <v>3815</v>
      </c>
      <c r="F6" s="3198" t="s">
        <v>3816</v>
      </c>
      <c r="G6" s="3197" t="s">
        <v>3817</v>
      </c>
      <c r="H6" s="3198"/>
      <c r="I6" s="3198">
        <v>8985.25</v>
      </c>
      <c r="J6" s="3199">
        <v>6747.06</v>
      </c>
      <c r="K6" s="3199">
        <v>2238.1899999999996</v>
      </c>
      <c r="L6" s="3198">
        <v>34000.19</v>
      </c>
      <c r="M6" s="3200">
        <v>37840</v>
      </c>
      <c r="N6" s="3201">
        <v>50392.600629014712</v>
      </c>
      <c r="O6" s="3198" t="s">
        <v>43</v>
      </c>
      <c r="P6" s="3211">
        <v>44805</v>
      </c>
      <c r="Q6" s="3197" t="s">
        <v>3818</v>
      </c>
      <c r="R6" s="3198" t="s">
        <v>3819</v>
      </c>
      <c r="S6" s="3198"/>
      <c r="T6" s="3203">
        <v>0</v>
      </c>
      <c r="U6" s="3208"/>
      <c r="V6" s="3204" t="e">
        <v>#DIV/0!</v>
      </c>
      <c r="W6" s="3198" t="s">
        <v>3820</v>
      </c>
    </row>
    <row r="7" spans="1:23">
      <c r="K7">
        <f>K6/(J6+K6)</f>
        <v>0.24909601847472243</v>
      </c>
      <c r="N7">
        <f>L6/J6</f>
        <v>5.0392600629014712</v>
      </c>
    </row>
  </sheetData>
  <phoneticPr fontId="135"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37" t="s">
        <v>2598</v>
      </c>
      <c r="B20" s="3532" t="s">
        <v>2619</v>
      </c>
      <c r="C20" s="2841" t="s">
        <v>2430</v>
      </c>
      <c r="D20" s="2842"/>
      <c r="E20" s="2843">
        <v>1</v>
      </c>
      <c r="F20" s="2844" t="s">
        <v>2431</v>
      </c>
      <c r="G20" s="2844"/>
    </row>
    <row r="21" spans="1:13" ht="19.5" customHeight="1">
      <c r="A21" s="3538"/>
      <c r="B21" s="3531"/>
      <c r="C21" s="2845" t="s">
        <v>2432</v>
      </c>
      <c r="D21" s="2846"/>
      <c r="E21" s="2847">
        <v>1</v>
      </c>
      <c r="F21" s="2844" t="s">
        <v>2433</v>
      </c>
      <c r="G21" s="2844"/>
    </row>
    <row r="22" spans="1:13" ht="19.5" customHeight="1">
      <c r="A22" s="3538"/>
      <c r="B22" s="3531"/>
      <c r="C22" s="2845" t="s">
        <v>2434</v>
      </c>
      <c r="D22" s="2846"/>
      <c r="E22" s="2847">
        <v>0.9</v>
      </c>
      <c r="F22" s="2844" t="s">
        <v>2435</v>
      </c>
      <c r="G22" s="2844"/>
    </row>
    <row r="23" spans="1:13" ht="19.5" customHeight="1">
      <c r="A23" s="3538"/>
      <c r="B23" s="3531"/>
      <c r="C23" s="2845" t="s">
        <v>2436</v>
      </c>
      <c r="D23" s="2846"/>
      <c r="E23" s="2847">
        <v>0.9</v>
      </c>
      <c r="F23" s="2844" t="s">
        <v>2437</v>
      </c>
      <c r="G23" s="2844"/>
    </row>
    <row r="24" spans="1:13" ht="19.5" customHeight="1">
      <c r="A24" s="3538"/>
      <c r="B24" s="3531"/>
      <c r="C24" s="2845" t="s">
        <v>2438</v>
      </c>
      <c r="D24" s="2846"/>
      <c r="E24" s="2847">
        <v>0.8</v>
      </c>
      <c r="F24" s="2844" t="s">
        <v>2439</v>
      </c>
      <c r="G24" s="2844"/>
    </row>
    <row r="25" spans="1:13" ht="19.5" customHeight="1" thickBot="1">
      <c r="A25" s="3539"/>
      <c r="B25" s="3533"/>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34" t="s">
        <v>2622</v>
      </c>
      <c r="B27" s="3532" t="s">
        <v>2603</v>
      </c>
      <c r="C27" s="2841" t="s">
        <v>2443</v>
      </c>
      <c r="D27" s="2842"/>
      <c r="E27" s="2843">
        <v>1</v>
      </c>
      <c r="F27" s="2844" t="s">
        <v>2444</v>
      </c>
      <c r="G27" s="2844"/>
    </row>
    <row r="28" spans="1:13" ht="19.5" customHeight="1">
      <c r="A28" s="3535"/>
      <c r="B28" s="3531"/>
      <c r="C28" s="2845" t="s">
        <v>2445</v>
      </c>
      <c r="D28" s="2846"/>
      <c r="E28" s="2847">
        <v>1</v>
      </c>
      <c r="F28" s="2844" t="s">
        <v>2446</v>
      </c>
      <c r="G28" s="2844"/>
    </row>
    <row r="29" spans="1:13" ht="19.5" customHeight="1">
      <c r="A29" s="3535"/>
      <c r="B29" s="3531"/>
      <c r="C29" s="2845" t="s">
        <v>2447</v>
      </c>
      <c r="D29" s="2846"/>
      <c r="E29" s="2847">
        <v>0.8</v>
      </c>
      <c r="F29" s="2844" t="s">
        <v>2448</v>
      </c>
      <c r="G29" s="2844"/>
    </row>
    <row r="30" spans="1:13" ht="19.5" customHeight="1">
      <c r="A30" s="3535"/>
      <c r="B30" s="3531"/>
      <c r="C30" s="2845" t="s">
        <v>2449</v>
      </c>
      <c r="D30" s="2846"/>
      <c r="E30" s="2847">
        <v>0.8</v>
      </c>
      <c r="F30" s="2844" t="s">
        <v>2450</v>
      </c>
      <c r="G30" s="2844"/>
    </row>
    <row r="31" spans="1:13" ht="19.5" customHeight="1">
      <c r="A31" s="3535"/>
      <c r="B31" s="3531"/>
      <c r="C31" s="2845" t="s">
        <v>2451</v>
      </c>
      <c r="D31" s="2846"/>
      <c r="E31" s="2847">
        <v>0.8</v>
      </c>
      <c r="F31" s="2844" t="s">
        <v>2452</v>
      </c>
      <c r="G31" s="2844"/>
    </row>
    <row r="32" spans="1:13" ht="19.5" customHeight="1">
      <c r="A32" s="3535"/>
      <c r="B32" s="3531"/>
      <c r="C32" s="2845" t="s">
        <v>2453</v>
      </c>
      <c r="D32" s="2846"/>
      <c r="E32" s="2847">
        <v>0.7</v>
      </c>
      <c r="F32" s="2844" t="s">
        <v>2454</v>
      </c>
      <c r="G32" s="2844"/>
    </row>
    <row r="33" spans="1:7" ht="19.5" customHeight="1">
      <c r="A33" s="3535"/>
      <c r="B33" s="3531"/>
      <c r="C33" s="2845" t="s">
        <v>2455</v>
      </c>
      <c r="D33" s="2846"/>
      <c r="E33" s="2847">
        <v>0.8</v>
      </c>
      <c r="F33" s="2844" t="s">
        <v>2456</v>
      </c>
      <c r="G33" s="2844"/>
    </row>
    <row r="34" spans="1:7" ht="19.5" customHeight="1">
      <c r="A34" s="3535"/>
      <c r="B34" s="3531"/>
      <c r="C34" s="2845" t="s">
        <v>2457</v>
      </c>
      <c r="D34" s="2846"/>
      <c r="E34" s="2847">
        <v>0.6</v>
      </c>
      <c r="F34" s="2844" t="s">
        <v>2458</v>
      </c>
      <c r="G34" s="2844"/>
    </row>
    <row r="35" spans="1:7" ht="19.5" customHeight="1">
      <c r="A35" s="3535"/>
      <c r="B35" s="3531"/>
      <c r="C35" s="2845" t="s">
        <v>2459</v>
      </c>
      <c r="D35" s="2846"/>
      <c r="E35" s="2847">
        <v>0.2</v>
      </c>
      <c r="F35" s="2844" t="s">
        <v>2460</v>
      </c>
      <c r="G35" s="2844"/>
    </row>
    <row r="36" spans="1:7" ht="19.5" customHeight="1">
      <c r="A36" s="3535"/>
      <c r="B36" s="3531"/>
      <c r="C36" s="2845" t="s">
        <v>2461</v>
      </c>
      <c r="D36" s="2846"/>
      <c r="E36" s="2847">
        <v>0.2</v>
      </c>
      <c r="F36" s="2844" t="s">
        <v>2462</v>
      </c>
      <c r="G36" s="2844"/>
    </row>
    <row r="37" spans="1:7" ht="19.5" customHeight="1">
      <c r="A37" s="3535"/>
      <c r="B37" s="3529" t="s">
        <v>2623</v>
      </c>
      <c r="C37" s="2845" t="s">
        <v>2463</v>
      </c>
      <c r="D37" s="2846"/>
      <c r="E37" s="2847">
        <v>0.6</v>
      </c>
      <c r="F37" s="2844" t="s">
        <v>2464</v>
      </c>
      <c r="G37" s="2844"/>
    </row>
    <row r="38" spans="1:7" ht="19.5" customHeight="1">
      <c r="A38" s="3535"/>
      <c r="B38" s="3531"/>
      <c r="C38" s="2845" t="s">
        <v>2465</v>
      </c>
      <c r="D38" s="2846"/>
      <c r="E38" s="2847">
        <v>0.6</v>
      </c>
      <c r="F38" s="2844" t="s">
        <v>2466</v>
      </c>
      <c r="G38" s="2844"/>
    </row>
    <row r="39" spans="1:7" ht="19.5" customHeight="1" thickBot="1">
      <c r="A39" s="3536"/>
      <c r="B39" s="3533"/>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37" t="s">
        <v>2601</v>
      </c>
      <c r="B41" s="3532" t="s">
        <v>2625</v>
      </c>
      <c r="C41" s="2841" t="s">
        <v>2470</v>
      </c>
      <c r="D41" s="2842"/>
      <c r="E41" s="2843">
        <v>1</v>
      </c>
      <c r="F41" s="2844" t="s">
        <v>2471</v>
      </c>
      <c r="G41" s="2844"/>
    </row>
    <row r="42" spans="1:7" ht="19.5" customHeight="1">
      <c r="A42" s="3538"/>
      <c r="B42" s="3531"/>
      <c r="C42" s="2845" t="s">
        <v>2472</v>
      </c>
      <c r="D42" s="2846"/>
      <c r="E42" s="2847">
        <v>1</v>
      </c>
      <c r="F42" s="2844" t="s">
        <v>2473</v>
      </c>
      <c r="G42" s="2844"/>
    </row>
    <row r="43" spans="1:7" ht="19.5" customHeight="1">
      <c r="A43" s="3538"/>
      <c r="B43" s="3530"/>
      <c r="C43" s="2845" t="s">
        <v>2474</v>
      </c>
      <c r="D43" s="2846"/>
      <c r="E43" s="2847">
        <v>1.5</v>
      </c>
      <c r="F43" s="2844" t="s">
        <v>2475</v>
      </c>
      <c r="G43" s="2844"/>
    </row>
    <row r="44" spans="1:7" ht="19.5" customHeight="1">
      <c r="A44" s="3538"/>
      <c r="B44" s="2856" t="s">
        <v>2626</v>
      </c>
      <c r="C44" s="2845" t="s">
        <v>2627</v>
      </c>
      <c r="D44" s="2846"/>
      <c r="E44" s="2847">
        <v>2</v>
      </c>
      <c r="F44" s="2844" t="s">
        <v>2476</v>
      </c>
      <c r="G44" s="2844"/>
    </row>
    <row r="45" spans="1:7" ht="19.5" customHeight="1">
      <c r="A45" s="3538"/>
      <c r="B45" s="3529" t="s">
        <v>2628</v>
      </c>
      <c r="C45" s="2845" t="s">
        <v>2477</v>
      </c>
      <c r="D45" s="2846"/>
      <c r="E45" s="2847">
        <v>1</v>
      </c>
      <c r="F45" s="2844" t="s">
        <v>2478</v>
      </c>
      <c r="G45" s="2844"/>
    </row>
    <row r="46" spans="1:7" ht="19.5" customHeight="1">
      <c r="A46" s="3538"/>
      <c r="B46" s="3531"/>
      <c r="C46" s="2845" t="s">
        <v>2479</v>
      </c>
      <c r="D46" s="2846"/>
      <c r="E46" s="2847">
        <v>1</v>
      </c>
      <c r="F46" s="2844" t="s">
        <v>2480</v>
      </c>
      <c r="G46" s="2844"/>
    </row>
    <row r="47" spans="1:7" ht="19.5" customHeight="1">
      <c r="A47" s="3538"/>
      <c r="B47" s="3531"/>
      <c r="C47" s="2845" t="s">
        <v>2481</v>
      </c>
      <c r="D47" s="2846"/>
      <c r="E47" s="2847">
        <v>1</v>
      </c>
      <c r="F47" s="2844" t="s">
        <v>2482</v>
      </c>
      <c r="G47" s="2844"/>
    </row>
    <row r="48" spans="1:7" ht="19.5" customHeight="1">
      <c r="A48" s="3538"/>
      <c r="B48" s="3531"/>
      <c r="C48" s="2845" t="s">
        <v>2483</v>
      </c>
      <c r="D48" s="2846"/>
      <c r="E48" s="2847">
        <v>1</v>
      </c>
      <c r="F48" s="2844" t="s">
        <v>2484</v>
      </c>
      <c r="G48" s="2844"/>
    </row>
    <row r="49" spans="1:7" ht="19.5" customHeight="1">
      <c r="A49" s="3538"/>
      <c r="B49" s="3531"/>
      <c r="C49" s="2845" t="s">
        <v>2485</v>
      </c>
      <c r="D49" s="2846"/>
      <c r="E49" s="2847">
        <v>1</v>
      </c>
      <c r="F49" s="2844" t="s">
        <v>2486</v>
      </c>
      <c r="G49" s="2844"/>
    </row>
    <row r="50" spans="1:7" ht="19.5" customHeight="1">
      <c r="A50" s="3538"/>
      <c r="B50" s="3531"/>
      <c r="C50" s="2845" t="s">
        <v>2487</v>
      </c>
      <c r="D50" s="2846"/>
      <c r="E50" s="2847">
        <v>1</v>
      </c>
      <c r="F50" s="2844" t="s">
        <v>2488</v>
      </c>
      <c r="G50" s="2844"/>
    </row>
    <row r="51" spans="1:7" ht="19.5" customHeight="1" thickBot="1">
      <c r="A51" s="3539"/>
      <c r="B51" s="3533"/>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29" t="s">
        <v>2642</v>
      </c>
      <c r="C73" s="2830" t="s">
        <v>2643</v>
      </c>
      <c r="D73" s="2830" t="s">
        <v>2644</v>
      </c>
      <c r="E73" s="2856">
        <v>0.2</v>
      </c>
      <c r="F73" s="2856">
        <v>25</v>
      </c>
    </row>
    <row r="74" spans="1:7" ht="24">
      <c r="A74" s="2856">
        <v>2</v>
      </c>
      <c r="B74" s="3531"/>
      <c r="C74" s="2830" t="s">
        <v>2645</v>
      </c>
      <c r="D74" s="2830" t="s">
        <v>2646</v>
      </c>
      <c r="E74" s="2856">
        <v>0.2</v>
      </c>
      <c r="F74" s="2856">
        <v>25</v>
      </c>
    </row>
    <row r="75" spans="1:7" ht="24">
      <c r="A75" s="2856">
        <v>3</v>
      </c>
      <c r="B75" s="3531"/>
      <c r="C75" s="2830" t="s">
        <v>2647</v>
      </c>
      <c r="D75" s="2830" t="s">
        <v>2648</v>
      </c>
      <c r="E75" s="2856">
        <v>0.2</v>
      </c>
      <c r="F75" s="2856">
        <v>25</v>
      </c>
    </row>
    <row r="76" spans="1:7" ht="13.5">
      <c r="A76" s="2856">
        <v>4</v>
      </c>
      <c r="B76" s="3531"/>
      <c r="C76" s="2830" t="s">
        <v>2649</v>
      </c>
      <c r="D76" s="2830" t="s">
        <v>2650</v>
      </c>
      <c r="E76" s="2856">
        <v>0.15</v>
      </c>
      <c r="F76" s="2856">
        <v>20</v>
      </c>
    </row>
    <row r="77" spans="1:7" ht="24">
      <c r="A77" s="2856">
        <v>5</v>
      </c>
      <c r="B77" s="3531"/>
      <c r="C77" s="2830" t="s">
        <v>2651</v>
      </c>
      <c r="D77" s="2830" t="s">
        <v>2652</v>
      </c>
      <c r="E77" s="2856">
        <v>0.15</v>
      </c>
      <c r="F77" s="2856">
        <v>20</v>
      </c>
    </row>
    <row r="78" spans="1:7" ht="24">
      <c r="A78" s="2856">
        <v>6</v>
      </c>
      <c r="B78" s="3531"/>
      <c r="C78" s="2830" t="s">
        <v>2653</v>
      </c>
      <c r="D78" s="2830" t="s">
        <v>2654</v>
      </c>
      <c r="E78" s="2856">
        <v>0.15</v>
      </c>
      <c r="F78" s="2856">
        <v>20</v>
      </c>
    </row>
    <row r="79" spans="1:7" ht="24">
      <c r="A79" s="2856">
        <v>7</v>
      </c>
      <c r="B79" s="3531"/>
      <c r="C79" s="2830" t="s">
        <v>2655</v>
      </c>
      <c r="D79" s="2830" t="s">
        <v>2656</v>
      </c>
      <c r="E79" s="2856">
        <v>0.15</v>
      </c>
      <c r="F79" s="2856">
        <v>20</v>
      </c>
    </row>
    <row r="80" spans="1:7" ht="24">
      <c r="A80" s="2856">
        <v>8</v>
      </c>
      <c r="B80" s="3531"/>
      <c r="C80" s="2830" t="s">
        <v>2657</v>
      </c>
      <c r="D80" s="2830" t="s">
        <v>2658</v>
      </c>
      <c r="E80" s="2856">
        <v>0.1</v>
      </c>
      <c r="F80" s="2856">
        <v>15</v>
      </c>
    </row>
    <row r="81" spans="1:6" ht="24">
      <c r="A81" s="2856">
        <v>9</v>
      </c>
      <c r="B81" s="3531"/>
      <c r="C81" s="2830" t="s">
        <v>2659</v>
      </c>
      <c r="D81" s="2830" t="s">
        <v>2660</v>
      </c>
      <c r="E81" s="2856">
        <v>0.1</v>
      </c>
      <c r="F81" s="2856">
        <v>15</v>
      </c>
    </row>
    <row r="82" spans="1:6" ht="24">
      <c r="A82" s="2856">
        <v>10</v>
      </c>
      <c r="B82" s="3531"/>
      <c r="C82" s="2830" t="s">
        <v>2661</v>
      </c>
      <c r="D82" s="2830" t="s">
        <v>2662</v>
      </c>
      <c r="E82" s="2856">
        <v>0.1</v>
      </c>
      <c r="F82" s="2856">
        <v>15</v>
      </c>
    </row>
    <row r="83" spans="1:6" ht="24">
      <c r="A83" s="2856">
        <v>11</v>
      </c>
      <c r="B83" s="3531"/>
      <c r="C83" s="2830" t="s">
        <v>2663</v>
      </c>
      <c r="D83" s="2830" t="s">
        <v>2664</v>
      </c>
      <c r="E83" s="2856">
        <v>0.1</v>
      </c>
      <c r="F83" s="2856">
        <v>15</v>
      </c>
    </row>
    <row r="84" spans="1:6" ht="24">
      <c r="A84" s="2856">
        <v>12</v>
      </c>
      <c r="B84" s="3531"/>
      <c r="C84" s="2830" t="s">
        <v>2665</v>
      </c>
      <c r="D84" s="2830" t="s">
        <v>2666</v>
      </c>
      <c r="E84" s="2856">
        <v>0.1</v>
      </c>
      <c r="F84" s="2856">
        <v>15</v>
      </c>
    </row>
    <row r="85" spans="1:6" ht="13.5">
      <c r="A85" s="2856">
        <v>13</v>
      </c>
      <c r="B85" s="3531"/>
      <c r="C85" s="2830" t="s">
        <v>2667</v>
      </c>
      <c r="D85" s="2830" t="s">
        <v>2668</v>
      </c>
      <c r="E85" s="2856">
        <v>0.1</v>
      </c>
      <c r="F85" s="2856">
        <v>15</v>
      </c>
    </row>
    <row r="86" spans="1:6" ht="13.5">
      <c r="A86" s="2856">
        <v>14</v>
      </c>
      <c r="B86" s="3531"/>
      <c r="C86" s="2830" t="s">
        <v>2669</v>
      </c>
      <c r="D86" s="2830" t="s">
        <v>2670</v>
      </c>
      <c r="E86" s="2856">
        <v>0.1</v>
      </c>
      <c r="F86" s="2856">
        <v>15</v>
      </c>
    </row>
    <row r="87" spans="1:6" ht="13.5">
      <c r="A87" s="2856">
        <v>15</v>
      </c>
      <c r="B87" s="3531"/>
      <c r="C87" s="2830" t="s">
        <v>2671</v>
      </c>
      <c r="D87" s="2830" t="s">
        <v>2672</v>
      </c>
      <c r="E87" s="2856">
        <v>0.1</v>
      </c>
      <c r="F87" s="2856">
        <v>15</v>
      </c>
    </row>
    <row r="88" spans="1:6" ht="24">
      <c r="A88" s="2856">
        <v>16</v>
      </c>
      <c r="B88" s="3531"/>
      <c r="C88" s="2830" t="s">
        <v>2673</v>
      </c>
      <c r="D88" s="2830" t="s">
        <v>2674</v>
      </c>
      <c r="E88" s="2856">
        <v>0.1</v>
      </c>
      <c r="F88" s="2856">
        <v>15</v>
      </c>
    </row>
    <row r="89" spans="1:6" ht="24">
      <c r="A89" s="2856">
        <v>17</v>
      </c>
      <c r="B89" s="3530"/>
      <c r="C89" s="2830" t="s">
        <v>2675</v>
      </c>
      <c r="D89" s="2830" t="s">
        <v>2676</v>
      </c>
      <c r="E89" s="2856">
        <v>0.1</v>
      </c>
      <c r="F89" s="2856">
        <v>15</v>
      </c>
    </row>
    <row r="90" spans="1:6" ht="13.5">
      <c r="A90" s="2856">
        <v>18</v>
      </c>
      <c r="B90" s="3529" t="s">
        <v>2677</v>
      </c>
      <c r="C90" s="2830" t="s">
        <v>2678</v>
      </c>
      <c r="D90" s="2830" t="s">
        <v>2679</v>
      </c>
      <c r="E90" s="2856">
        <v>0.2</v>
      </c>
      <c r="F90" s="2856">
        <v>25</v>
      </c>
    </row>
    <row r="91" spans="1:6" ht="24">
      <c r="A91" s="2856">
        <v>19</v>
      </c>
      <c r="B91" s="3531"/>
      <c r="C91" s="2830" t="s">
        <v>2680</v>
      </c>
      <c r="D91" s="2830" t="s">
        <v>2681</v>
      </c>
      <c r="E91" s="2856">
        <v>0.2</v>
      </c>
      <c r="F91" s="2856">
        <v>25</v>
      </c>
    </row>
    <row r="92" spans="1:6" ht="13.5">
      <c r="A92" s="2856">
        <v>20</v>
      </c>
      <c r="B92" s="3531"/>
      <c r="C92" s="2830" t="s">
        <v>2682</v>
      </c>
      <c r="D92" s="2830" t="s">
        <v>2683</v>
      </c>
      <c r="E92" s="2856">
        <v>0.15</v>
      </c>
      <c r="F92" s="2856">
        <v>20</v>
      </c>
    </row>
    <row r="93" spans="1:6" ht="13.5">
      <c r="A93" s="2856">
        <v>21</v>
      </c>
      <c r="B93" s="3531"/>
      <c r="C93" s="2830" t="s">
        <v>2684</v>
      </c>
      <c r="D93" s="2830" t="s">
        <v>2685</v>
      </c>
      <c r="E93" s="2856">
        <v>0.15</v>
      </c>
      <c r="F93" s="2856">
        <v>20</v>
      </c>
    </row>
    <row r="94" spans="1:6" ht="13.5">
      <c r="A94" s="2856">
        <v>22</v>
      </c>
      <c r="B94" s="3531"/>
      <c r="C94" s="2830" t="s">
        <v>2686</v>
      </c>
      <c r="D94" s="2830" t="s">
        <v>2687</v>
      </c>
      <c r="E94" s="2856">
        <v>0.15</v>
      </c>
      <c r="F94" s="2856">
        <v>20</v>
      </c>
    </row>
    <row r="95" spans="1:6" ht="36">
      <c r="A95" s="2856">
        <v>23</v>
      </c>
      <c r="B95" s="3531"/>
      <c r="C95" s="2830" t="s">
        <v>2688</v>
      </c>
      <c r="D95" s="2830" t="s">
        <v>2689</v>
      </c>
      <c r="E95" s="2856">
        <v>0.15</v>
      </c>
      <c r="F95" s="2856">
        <v>20</v>
      </c>
    </row>
    <row r="96" spans="1:6" ht="13.5">
      <c r="A96" s="2856">
        <v>24</v>
      </c>
      <c r="B96" s="3531"/>
      <c r="C96" s="2830" t="s">
        <v>2690</v>
      </c>
      <c r="D96" s="2830" t="s">
        <v>2691</v>
      </c>
      <c r="E96" s="2856">
        <v>0.1</v>
      </c>
      <c r="F96" s="2856">
        <v>15</v>
      </c>
    </row>
    <row r="97" spans="1:6" ht="13.5">
      <c r="A97" s="2856">
        <v>25</v>
      </c>
      <c r="B97" s="3531"/>
      <c r="C97" s="2830" t="s">
        <v>2692</v>
      </c>
      <c r="D97" s="2830" t="s">
        <v>2693</v>
      </c>
      <c r="E97" s="2856">
        <v>0.1</v>
      </c>
      <c r="F97" s="2856">
        <v>15</v>
      </c>
    </row>
    <row r="98" spans="1:6" ht="24">
      <c r="A98" s="2856">
        <v>26</v>
      </c>
      <c r="B98" s="3531"/>
      <c r="C98" s="2830" t="s">
        <v>2694</v>
      </c>
      <c r="D98" s="2830" t="s">
        <v>2695</v>
      </c>
      <c r="E98" s="2856">
        <v>0.1</v>
      </c>
      <c r="F98" s="2856">
        <v>15</v>
      </c>
    </row>
    <row r="99" spans="1:6" ht="24">
      <c r="A99" s="2856">
        <v>27</v>
      </c>
      <c r="B99" s="3531"/>
      <c r="C99" s="2830" t="s">
        <v>2696</v>
      </c>
      <c r="D99" s="2830" t="s">
        <v>2697</v>
      </c>
      <c r="E99" s="2856">
        <v>0.1</v>
      </c>
      <c r="F99" s="2856">
        <v>15</v>
      </c>
    </row>
    <row r="100" spans="1:6" ht="13.5">
      <c r="A100" s="2856">
        <v>28</v>
      </c>
      <c r="B100" s="3531"/>
      <c r="C100" s="2830" t="s">
        <v>2698</v>
      </c>
      <c r="D100" s="2830" t="s">
        <v>2699</v>
      </c>
      <c r="E100" s="2856">
        <v>0.1</v>
      </c>
      <c r="F100" s="2856">
        <v>15</v>
      </c>
    </row>
    <row r="101" spans="1:6" ht="13.5">
      <c r="A101" s="2856">
        <v>29</v>
      </c>
      <c r="B101" s="3531"/>
      <c r="C101" s="2830" t="s">
        <v>2700</v>
      </c>
      <c r="D101" s="2830" t="s">
        <v>2701</v>
      </c>
      <c r="E101" s="2856">
        <v>0.1</v>
      </c>
      <c r="F101" s="2856">
        <v>15</v>
      </c>
    </row>
    <row r="102" spans="1:6" ht="13.5">
      <c r="A102" s="2856">
        <v>30</v>
      </c>
      <c r="B102" s="3531"/>
      <c r="C102" s="2830" t="s">
        <v>2702</v>
      </c>
      <c r="D102" s="2830" t="s">
        <v>2703</v>
      </c>
      <c r="E102" s="2856">
        <v>0.1</v>
      </c>
      <c r="F102" s="2856">
        <v>15</v>
      </c>
    </row>
    <row r="103" spans="1:6" ht="24">
      <c r="A103" s="2856">
        <v>31</v>
      </c>
      <c r="B103" s="3531"/>
      <c r="C103" s="2830" t="s">
        <v>2704</v>
      </c>
      <c r="D103" s="2830" t="s">
        <v>2705</v>
      </c>
      <c r="E103" s="2856">
        <v>0.1</v>
      </c>
      <c r="F103" s="2856">
        <v>15</v>
      </c>
    </row>
    <row r="104" spans="1:6" ht="24">
      <c r="A104" s="2856">
        <v>32</v>
      </c>
      <c r="B104" s="3531"/>
      <c r="C104" s="2830" t="s">
        <v>2706</v>
      </c>
      <c r="D104" s="2830" t="s">
        <v>2707</v>
      </c>
      <c r="E104" s="2856">
        <v>0.1</v>
      </c>
      <c r="F104" s="2856">
        <v>15</v>
      </c>
    </row>
    <row r="105" spans="1:6" ht="24">
      <c r="A105" s="2856">
        <v>33</v>
      </c>
      <c r="B105" s="3531"/>
      <c r="C105" s="2830" t="s">
        <v>2708</v>
      </c>
      <c r="D105" s="2830" t="s">
        <v>2709</v>
      </c>
      <c r="E105" s="2856">
        <v>0.1</v>
      </c>
      <c r="F105" s="2856">
        <v>15</v>
      </c>
    </row>
    <row r="106" spans="1:6" ht="24">
      <c r="A106" s="2856">
        <v>34</v>
      </c>
      <c r="B106" s="3530"/>
      <c r="C106" s="2830" t="s">
        <v>2710</v>
      </c>
      <c r="D106" s="2830" t="s">
        <v>2711</v>
      </c>
      <c r="E106" s="2856">
        <v>0.1</v>
      </c>
      <c r="F106" s="2856">
        <v>15</v>
      </c>
    </row>
    <row r="107" spans="1:6" ht="24">
      <c r="A107" s="2856">
        <v>35</v>
      </c>
      <c r="B107" s="3529" t="s">
        <v>2712</v>
      </c>
      <c r="C107" s="2856" t="s">
        <v>2713</v>
      </c>
      <c r="D107" s="2830" t="s">
        <v>2714</v>
      </c>
      <c r="E107" s="2856">
        <v>0.15</v>
      </c>
      <c r="F107" s="2856">
        <v>20</v>
      </c>
    </row>
    <row r="108" spans="1:6" ht="13.5">
      <c r="A108" s="2856">
        <v>36</v>
      </c>
      <c r="B108" s="3531"/>
      <c r="C108" s="2856" t="s">
        <v>2715</v>
      </c>
      <c r="D108" s="2830" t="s">
        <v>2716</v>
      </c>
      <c r="E108" s="2856">
        <v>0.15</v>
      </c>
      <c r="F108" s="2856">
        <v>20</v>
      </c>
    </row>
    <row r="109" spans="1:6" ht="13.5">
      <c r="A109" s="2856">
        <v>37</v>
      </c>
      <c r="B109" s="3531"/>
      <c r="C109" s="2856" t="s">
        <v>2717</v>
      </c>
      <c r="D109" s="2830" t="s">
        <v>2718</v>
      </c>
      <c r="E109" s="2856">
        <v>0.15</v>
      </c>
      <c r="F109" s="2856">
        <v>20</v>
      </c>
    </row>
    <row r="110" spans="1:6" ht="13.5">
      <c r="A110" s="2856">
        <v>38</v>
      </c>
      <c r="B110" s="3531"/>
      <c r="C110" s="2856" t="s">
        <v>2719</v>
      </c>
      <c r="D110" s="2830" t="s">
        <v>2720</v>
      </c>
      <c r="E110" s="2856">
        <v>0.1</v>
      </c>
      <c r="F110" s="2856">
        <v>15</v>
      </c>
    </row>
    <row r="111" spans="1:6" ht="24">
      <c r="A111" s="2856">
        <v>39</v>
      </c>
      <c r="B111" s="3531"/>
      <c r="C111" s="2856" t="s">
        <v>2721</v>
      </c>
      <c r="D111" s="2830" t="s">
        <v>2722</v>
      </c>
      <c r="E111" s="2856">
        <v>0.1</v>
      </c>
      <c r="F111" s="2856">
        <v>15</v>
      </c>
    </row>
    <row r="112" spans="1:6" ht="24">
      <c r="A112" s="2856">
        <v>40</v>
      </c>
      <c r="B112" s="3530"/>
      <c r="C112" s="2856" t="s">
        <v>2723</v>
      </c>
      <c r="D112" s="2830" t="s">
        <v>2724</v>
      </c>
      <c r="E112" s="2856">
        <v>0.1</v>
      </c>
      <c r="F112" s="2856">
        <v>15</v>
      </c>
    </row>
    <row r="113" spans="1:6" ht="13.5">
      <c r="A113" s="2856">
        <v>41</v>
      </c>
      <c r="B113" s="3528" t="s">
        <v>2725</v>
      </c>
      <c r="C113" s="2856" t="s">
        <v>2726</v>
      </c>
      <c r="D113" s="2830" t="s">
        <v>2727</v>
      </c>
      <c r="E113" s="2856">
        <v>0.1</v>
      </c>
      <c r="F113" s="2856">
        <v>15</v>
      </c>
    </row>
    <row r="114" spans="1:6" ht="13.5">
      <c r="A114" s="2856">
        <v>42</v>
      </c>
      <c r="B114" s="3528"/>
      <c r="C114" s="2856" t="s">
        <v>2728</v>
      </c>
      <c r="D114" s="2830" t="s">
        <v>2729</v>
      </c>
      <c r="E114" s="2856">
        <v>0.1</v>
      </c>
      <c r="F114" s="2856">
        <v>15</v>
      </c>
    </row>
    <row r="115" spans="1:6" ht="24">
      <c r="A115" s="2856">
        <v>43</v>
      </c>
      <c r="B115" s="3528"/>
      <c r="C115" s="2856" t="s">
        <v>2730</v>
      </c>
      <c r="D115" s="2830" t="s">
        <v>2731</v>
      </c>
      <c r="E115" s="2856">
        <v>0.1</v>
      </c>
      <c r="F115" s="2856">
        <v>15</v>
      </c>
    </row>
    <row r="116" spans="1:6" ht="13.5">
      <c r="A116" s="2856">
        <v>44</v>
      </c>
      <c r="B116" s="3529" t="s">
        <v>2732</v>
      </c>
      <c r="C116" s="2856" t="s">
        <v>2733</v>
      </c>
      <c r="D116" s="2830" t="s">
        <v>2734</v>
      </c>
      <c r="E116" s="2856">
        <v>0.1</v>
      </c>
      <c r="F116" s="2856">
        <v>15</v>
      </c>
    </row>
    <row r="117" spans="1:6" ht="24">
      <c r="A117" s="2856">
        <v>45</v>
      </c>
      <c r="B117" s="3530"/>
      <c r="C117" s="2830" t="s">
        <v>2735</v>
      </c>
      <c r="D117" s="2830" t="s">
        <v>2736</v>
      </c>
      <c r="E117" s="2856">
        <v>0.1</v>
      </c>
      <c r="F117" s="2856">
        <v>15</v>
      </c>
    </row>
    <row r="118" spans="1:6" ht="24">
      <c r="A118" s="2856">
        <v>46</v>
      </c>
      <c r="B118" s="3529" t="s">
        <v>2737</v>
      </c>
      <c r="C118" s="2856" t="s">
        <v>2738</v>
      </c>
      <c r="D118" s="2830" t="s">
        <v>2739</v>
      </c>
      <c r="E118" s="2856">
        <v>0.1</v>
      </c>
      <c r="F118" s="2856">
        <v>15</v>
      </c>
    </row>
    <row r="119" spans="1:6" ht="24">
      <c r="A119" s="2856">
        <v>47</v>
      </c>
      <c r="B119" s="3530"/>
      <c r="C119" s="2856" t="s">
        <v>2740</v>
      </c>
      <c r="D119" s="2830" t="s">
        <v>2741</v>
      </c>
      <c r="E119" s="2856">
        <v>0.1</v>
      </c>
      <c r="F119" s="2856">
        <v>15</v>
      </c>
    </row>
    <row r="120" spans="1:6" ht="13.5">
      <c r="A120" s="2856">
        <v>48</v>
      </c>
      <c r="B120" s="3529" t="s">
        <v>2742</v>
      </c>
      <c r="C120" s="2856" t="s">
        <v>2743</v>
      </c>
      <c r="D120" s="2830" t="s">
        <v>2744</v>
      </c>
      <c r="E120" s="2856">
        <v>0.1</v>
      </c>
      <c r="F120" s="2856">
        <v>15</v>
      </c>
    </row>
    <row r="121" spans="1:6" ht="13.5">
      <c r="A121" s="2856">
        <v>49</v>
      </c>
      <c r="B121" s="3530"/>
      <c r="C121" s="2856" t="s">
        <v>2745</v>
      </c>
      <c r="D121" s="2830" t="s">
        <v>2746</v>
      </c>
      <c r="E121" s="2856">
        <v>0.1</v>
      </c>
      <c r="F121" s="2856">
        <v>15</v>
      </c>
    </row>
    <row r="122" spans="1:6" ht="24">
      <c r="A122" s="2856">
        <v>50</v>
      </c>
      <c r="B122" s="3528" t="s">
        <v>2747</v>
      </c>
      <c r="C122" s="2856" t="s">
        <v>2748</v>
      </c>
      <c r="D122" s="2830" t="s">
        <v>2749</v>
      </c>
      <c r="E122" s="2856">
        <v>0.1</v>
      </c>
      <c r="F122" s="2856">
        <v>15</v>
      </c>
    </row>
    <row r="123" spans="1:6" ht="24">
      <c r="A123" s="2856">
        <v>51</v>
      </c>
      <c r="B123" s="3528"/>
      <c r="C123" s="2856" t="s">
        <v>2750</v>
      </c>
      <c r="D123" s="2830" t="s">
        <v>2751</v>
      </c>
      <c r="E123" s="2856">
        <v>0.1</v>
      </c>
      <c r="F123" s="2856">
        <v>15</v>
      </c>
    </row>
    <row r="124" spans="1:6" ht="24">
      <c r="A124" s="2856">
        <v>52</v>
      </c>
      <c r="B124" s="3528" t="s">
        <v>2752</v>
      </c>
      <c r="C124" s="2856" t="s">
        <v>2753</v>
      </c>
      <c r="D124" s="2830" t="s">
        <v>2754</v>
      </c>
      <c r="E124" s="2856">
        <v>0.1</v>
      </c>
      <c r="F124" s="2856">
        <v>15</v>
      </c>
    </row>
    <row r="125" spans="1:6" ht="24">
      <c r="A125" s="2856">
        <v>53</v>
      </c>
      <c r="B125" s="3528"/>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28" t="s">
        <v>2760</v>
      </c>
      <c r="C127" s="2856" t="s">
        <v>2761</v>
      </c>
      <c r="D127" s="2830" t="s">
        <v>2762</v>
      </c>
      <c r="E127" s="2856">
        <v>0.1</v>
      </c>
      <c r="F127" s="2856">
        <v>15</v>
      </c>
    </row>
    <row r="128" spans="1:6" ht="13.5">
      <c r="A128" s="2856">
        <v>56</v>
      </c>
      <c r="B128" s="3528"/>
      <c r="C128" s="2856" t="s">
        <v>2763</v>
      </c>
      <c r="D128" s="2830" t="s">
        <v>2764</v>
      </c>
      <c r="E128" s="2856">
        <v>0.1</v>
      </c>
      <c r="F128" s="2856">
        <v>15</v>
      </c>
    </row>
    <row r="129" spans="1:6" ht="24">
      <c r="A129" s="2856">
        <v>57</v>
      </c>
      <c r="B129" s="3528"/>
      <c r="C129" s="2856" t="s">
        <v>2765</v>
      </c>
      <c r="D129" s="2830" t="s">
        <v>2766</v>
      </c>
      <c r="E129" s="2856">
        <v>0.1</v>
      </c>
      <c r="F129" s="2856">
        <v>15</v>
      </c>
    </row>
    <row r="130" spans="1:6" ht="24">
      <c r="A130" s="2856">
        <v>58</v>
      </c>
      <c r="B130" s="3528" t="s">
        <v>2767</v>
      </c>
      <c r="C130" s="2856" t="s">
        <v>2768</v>
      </c>
      <c r="D130" s="2830" t="s">
        <v>2769</v>
      </c>
      <c r="E130" s="2856">
        <v>0.1</v>
      </c>
      <c r="F130" s="2856">
        <v>15</v>
      </c>
    </row>
    <row r="131" spans="1:6" ht="13.5">
      <c r="A131" s="2856">
        <v>59</v>
      </c>
      <c r="B131" s="3528"/>
      <c r="C131" s="2856" t="s">
        <v>2770</v>
      </c>
      <c r="D131" s="2830" t="s">
        <v>2771</v>
      </c>
      <c r="E131" s="2856">
        <v>0.1</v>
      </c>
      <c r="F131" s="2856">
        <v>15</v>
      </c>
    </row>
    <row r="132" spans="1:6" ht="13.5">
      <c r="A132" s="2856">
        <v>60</v>
      </c>
      <c r="B132" s="3529" t="s">
        <v>2772</v>
      </c>
      <c r="C132" s="2856" t="s">
        <v>2773</v>
      </c>
      <c r="D132" s="2830" t="s">
        <v>2774</v>
      </c>
      <c r="E132" s="2856">
        <v>0.1</v>
      </c>
      <c r="F132" s="2856">
        <v>15</v>
      </c>
    </row>
    <row r="133" spans="1:6" ht="13.5">
      <c r="A133" s="2856">
        <v>61</v>
      </c>
      <c r="B133" s="3530"/>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28" t="s">
        <v>2780</v>
      </c>
      <c r="C135" s="2856" t="s">
        <v>2781</v>
      </c>
      <c r="D135" s="2830" t="s">
        <v>2782</v>
      </c>
      <c r="E135" s="2856">
        <v>0.1</v>
      </c>
      <c r="F135" s="2856">
        <v>15</v>
      </c>
    </row>
    <row r="136" spans="1:6" ht="13.5">
      <c r="A136" s="2856">
        <v>64</v>
      </c>
      <c r="B136" s="3528"/>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t="e">
        <f>SUMPRODUCT((A95:A184=ROUNDDOWN('基准地价修正-商业'!G3,1))*(B94:M94='基准地价修正-商业'!G2)*(B95:M184))</f>
        <v>#DIV/0!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t="e">
        <f>SUMPRODUCT((A371:A460=ROUNDDOWN('基准地价修正-商业'!G3,1))*(B370:M370='基准地价修正-商业'!G2)*(B371:M460))</f>
        <v>#DIV/0!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51" t="s">
        <v>94</v>
      </c>
    </row>
    <row r="43" spans="1:7" ht="13.5" customHeight="1">
      <c r="A43" s="733" t="s">
        <v>347</v>
      </c>
      <c r="B43" s="206" t="s">
        <v>426</v>
      </c>
      <c r="C43" s="229">
        <f ca="1">ROUND(IF('数据-取费表'!B22&lt;=1,C39*F22*'数据-取费表'!B21/2,C39*(POWER((1+F22),'数据-取费表'!B21/2)-1)),0)</f>
        <v>52</v>
      </c>
      <c r="D43" s="229"/>
      <c r="E43" s="229"/>
      <c r="F43" s="230"/>
      <c r="G43" s="3452"/>
    </row>
    <row r="44" spans="1:7" ht="13.5" customHeight="1">
      <c r="A44" s="733" t="s">
        <v>348</v>
      </c>
      <c r="B44" s="206" t="s">
        <v>428</v>
      </c>
      <c r="C44" s="229">
        <f ca="1">ROUND(IF('数据-取费表'!B22&lt;=1,C40*F22*'数据-取费表'!B21/2,C40*(POWER((1+F22),'数据-取费表'!B21/2)-1)),4)</f>
        <v>1.1999999999999999E-3</v>
      </c>
      <c r="D44" s="229"/>
      <c r="E44" s="229"/>
      <c r="F44" s="230"/>
      <c r="G44" s="3453"/>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
      <c r="B55" s="261" t="s">
        <v>39</v>
      </c>
      <c r="C55" s="262"/>
    </row>
    <row r="56" spans="1:7">
      <c r="B56" s="264" t="s">
        <v>40</v>
      </c>
      <c r="C56" s="265">
        <f ca="1">ROUND(C51/C52,3)</f>
        <v>0.70399999999999996</v>
      </c>
    </row>
    <row r="57" spans="1:7">
      <c r="B57" s="264" t="s">
        <v>41</v>
      </c>
      <c r="C57" s="266">
        <f ca="1">1-C56</f>
        <v>0.29600000000000004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42" t="s">
        <v>2830</v>
      </c>
      <c r="B1" s="3542"/>
      <c r="C1" s="3542"/>
      <c r="D1" s="3542"/>
      <c r="E1" s="3542"/>
      <c r="F1" s="3542"/>
      <c r="G1" s="3543"/>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40"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41"/>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44" t="s">
        <v>3172</v>
      </c>
      <c r="B1" s="3544"/>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45" t="s">
        <v>3223</v>
      </c>
      <c r="B1" s="3545"/>
      <c r="C1" s="3545"/>
      <c r="D1" s="3545"/>
      <c r="E1" s="3545"/>
      <c r="F1" s="3546"/>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928</v>
      </c>
      <c r="B2" s="3238" t="s">
        <v>929</v>
      </c>
      <c r="C2" s="3238" t="s">
        <v>930</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3"/>
      <c r="B3" s="3233"/>
      <c r="C3" s="3233"/>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0</v>
      </c>
      <c r="D4" s="800" t="e">
        <f ca="1">结果表!D118</f>
        <v>#DIV/0!</v>
      </c>
      <c r="E4" s="800" t="e">
        <f ca="1">结果表!E118</f>
        <v>#DIV/0!</v>
      </c>
      <c r="F4" s="800" t="e">
        <f ca="1">结果表!F118</f>
        <v>#DIV/0!</v>
      </c>
      <c r="G4" s="800" t="e">
        <f ca="1">结果表!G118</f>
        <v>#DIV/0!</v>
      </c>
      <c r="H4" s="800">
        <f ca="1">结果表!H118</f>
        <v>457058</v>
      </c>
      <c r="I4" s="800">
        <f ca="1">结果表!I118</f>
        <v>46201</v>
      </c>
    </row>
    <row r="5" spans="1:9" ht="30" customHeight="1">
      <c r="A5" s="3233" t="s">
        <v>927</v>
      </c>
      <c r="B5" s="3233"/>
      <c r="C5" s="3233"/>
      <c r="D5" s="3233" t="e">
        <f ca="1">结果表!D119</f>
        <v>#DIV/0!</v>
      </c>
      <c r="E5" s="3233"/>
      <c r="F5" s="3233" t="e">
        <f ca="1">结果表!F119</f>
        <v>#DIV/0!</v>
      </c>
      <c r="G5" s="3233"/>
      <c r="H5" s="3233" t="str">
        <f ca="1">结果表!H119</f>
        <v>肆拾伍亿柒仟零伍拾捌万元整</v>
      </c>
      <c r="I5" s="3233"/>
    </row>
    <row r="6" spans="1:9" ht="15.75">
      <c r="A6" s="3232" t="str">
        <f>结果表!A120</f>
        <v>估价师知悉的法定优先受偿款</v>
      </c>
      <c r="B6" s="3232"/>
      <c r="C6" s="3232"/>
      <c r="D6" s="3232">
        <f>结果表!D120</f>
        <v>0</v>
      </c>
      <c r="E6" s="3232"/>
      <c r="F6" s="3232"/>
      <c r="G6" s="3232"/>
      <c r="H6" s="3232"/>
      <c r="I6" s="3232"/>
    </row>
    <row r="7" spans="1:9" ht="15">
      <c r="A7" s="3233" t="s">
        <v>927</v>
      </c>
      <c r="B7" s="3233"/>
      <c r="C7" s="3233"/>
      <c r="D7" s="3234" t="str">
        <f>结果表!D121</f>
        <v>零元整</v>
      </c>
      <c r="E7" s="3235"/>
      <c r="F7" s="3235"/>
      <c r="G7" s="3235"/>
      <c r="H7" s="3235"/>
      <c r="I7" s="3236"/>
    </row>
    <row r="8" spans="1:9" ht="15.75">
      <c r="A8" s="3232" t="str">
        <f>结果表!A122</f>
        <v>房地产抵押价值</v>
      </c>
      <c r="B8" s="3232"/>
      <c r="C8" s="3232"/>
      <c r="D8" s="3232">
        <f ca="1">结果表!D122</f>
        <v>457058</v>
      </c>
      <c r="E8" s="3232"/>
      <c r="F8" s="3232"/>
      <c r="G8" s="3232"/>
      <c r="H8" s="3232"/>
      <c r="I8" s="3232"/>
    </row>
    <row r="9" spans="1:9" ht="15">
      <c r="A9" s="3233" t="s">
        <v>927</v>
      </c>
      <c r="B9" s="3233"/>
      <c r="C9" s="3233"/>
      <c r="D9" s="3233" t="str">
        <f ca="1">结果表!D123</f>
        <v>肆拾伍亿柒仟零伍拾捌万元整</v>
      </c>
      <c r="E9" s="3233"/>
      <c r="F9" s="3233"/>
      <c r="G9" s="3233"/>
      <c r="H9" s="3233"/>
      <c r="I9" s="3233"/>
    </row>
    <row r="10" spans="1:9" ht="15.75">
      <c r="A10" s="3232" t="str">
        <f>结果表!A124</f>
        <v/>
      </c>
      <c r="B10" s="3232"/>
      <c r="C10" s="3232"/>
      <c r="D10" s="3232" t="str">
        <f>结果表!D124</f>
        <v>——</v>
      </c>
      <c r="E10" s="3232"/>
      <c r="F10" s="3232"/>
      <c r="G10" s="3232"/>
      <c r="H10" s="3232"/>
      <c r="I10" s="3232"/>
    </row>
    <row r="11" spans="1:9" ht="15">
      <c r="A11" s="3233" t="s">
        <v>927</v>
      </c>
      <c r="B11" s="3233"/>
      <c r="C11" s="3233"/>
      <c r="D11" s="3233" t="e">
        <f>结果表!D125</f>
        <v>#VALUE!</v>
      </c>
      <c r="E11" s="3233"/>
      <c r="F11" s="3233"/>
      <c r="G11" s="3233"/>
      <c r="H11" s="3233"/>
      <c r="I11" s="3233"/>
    </row>
    <row r="12" spans="1:9" ht="15.75">
      <c r="A12" s="3232" t="str">
        <f>结果表!A126</f>
        <v>抵押净值</v>
      </c>
      <c r="B12" s="3232"/>
      <c r="C12" s="3232"/>
      <c r="D12" s="3232">
        <f ca="1">结果表!D126</f>
        <v>273409</v>
      </c>
      <c r="E12" s="3232"/>
      <c r="F12" s="3232"/>
      <c r="G12" s="3232"/>
      <c r="H12" s="3232"/>
      <c r="I12" s="3232"/>
    </row>
    <row r="13" spans="1:9" ht="15.75" thickBot="1">
      <c r="A13" s="3230" t="s">
        <v>927</v>
      </c>
      <c r="B13" s="3230"/>
      <c r="C13" s="3230"/>
      <c r="D13" s="3230" t="str">
        <f ca="1">结果表!D127</f>
        <v>贰拾柒亿叁仟肆佰零玖万元整</v>
      </c>
      <c r="E13" s="3230"/>
      <c r="F13" s="3230"/>
      <c r="G13" s="3230"/>
      <c r="H13" s="3230"/>
      <c r="I13" s="3230"/>
    </row>
    <row r="14" spans="1:9" ht="15" thickTop="1">
      <c r="A14" s="3231" t="s">
        <v>932</v>
      </c>
      <c r="B14" s="3231"/>
      <c r="C14" s="3231"/>
      <c r="D14" s="3231"/>
      <c r="E14" s="3231"/>
      <c r="F14" s="3231"/>
      <c r="G14" s="3231"/>
      <c r="H14" s="3231"/>
      <c r="I14" s="3231"/>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47" t="s">
        <v>456</v>
      </c>
      <c r="S1" s="3548"/>
      <c r="T1" s="3548"/>
      <c r="U1" s="3548"/>
      <c r="V1" s="3548"/>
      <c r="W1" s="3548"/>
      <c r="X1" s="2895"/>
      <c r="Y1" s="3547" t="s">
        <v>457</v>
      </c>
      <c r="Z1" s="3548"/>
      <c r="AA1" s="3548"/>
      <c r="AB1" s="3548"/>
      <c r="AC1" s="3548"/>
      <c r="AD1" s="3548"/>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47" t="s">
        <v>2818</v>
      </c>
      <c r="S26" s="3548"/>
      <c r="T26" s="3548"/>
      <c r="U26" s="3548"/>
      <c r="V26" s="3548"/>
      <c r="W26" s="3548"/>
      <c r="X26" s="2895"/>
      <c r="Y26" s="3547" t="s">
        <v>2819</v>
      </c>
      <c r="Z26" s="3548"/>
      <c r="AA26" s="3548"/>
      <c r="AB26" s="3548"/>
      <c r="AC26" s="3548"/>
      <c r="AD26" s="3548"/>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52" t="s">
        <v>452</v>
      </c>
      <c r="C1" s="3552"/>
      <c r="D1" s="3552"/>
      <c r="E1" s="3552"/>
      <c r="F1" s="3552"/>
      <c r="G1" s="3548" t="s">
        <v>453</v>
      </c>
      <c r="H1" s="3548"/>
      <c r="I1" s="3548"/>
      <c r="J1" s="3548"/>
      <c r="K1" s="3548"/>
      <c r="L1" s="3548"/>
      <c r="N1" s="3548" t="s">
        <v>454</v>
      </c>
      <c r="O1" s="3548"/>
      <c r="P1" s="3548"/>
      <c r="Q1" s="3548"/>
      <c r="S1" s="3548" t="s">
        <v>455</v>
      </c>
      <c r="T1" s="3548"/>
      <c r="U1" s="3548"/>
      <c r="V1" s="3548"/>
      <c r="X1" s="3547" t="s">
        <v>456</v>
      </c>
      <c r="Y1" s="3548"/>
      <c r="Z1" s="3548"/>
      <c r="AA1" s="3548"/>
      <c r="AB1" s="3548"/>
      <c r="AD1" s="3547" t="s">
        <v>457</v>
      </c>
      <c r="AE1" s="3548"/>
      <c r="AF1" s="3548"/>
      <c r="AG1" s="3548"/>
      <c r="AH1" s="354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5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5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5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5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5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L23"/>
  <sheetViews>
    <sheetView topLeftCell="D1" workbookViewId="0">
      <selection activeCell="L9" sqref="L9:L18"/>
    </sheetView>
  </sheetViews>
  <sheetFormatPr defaultRowHeight="13.5"/>
  <cols>
    <col min="1" max="12" width="15.5" customWidth="1"/>
  </cols>
  <sheetData>
    <row r="9" spans="1:12" ht="14.25" thickBot="1">
      <c r="A9" s="3213">
        <v>45195</v>
      </c>
      <c r="B9" s="3214" t="s">
        <v>3829</v>
      </c>
      <c r="C9" s="3214" t="s">
        <v>633</v>
      </c>
      <c r="D9" s="3214" t="s">
        <v>633</v>
      </c>
      <c r="E9" s="3214">
        <v>8</v>
      </c>
      <c r="F9" s="3214">
        <v>801</v>
      </c>
      <c r="G9" s="3214" t="s">
        <v>3830</v>
      </c>
      <c r="H9" s="3214" t="s">
        <v>21</v>
      </c>
      <c r="I9" s="3214" t="s">
        <v>3826</v>
      </c>
      <c r="J9" s="3215">
        <v>897.54</v>
      </c>
      <c r="K9" s="3215">
        <v>4487.7</v>
      </c>
      <c r="L9" s="3215">
        <v>50000</v>
      </c>
    </row>
    <row r="10" spans="1:12" ht="14.25" thickBot="1">
      <c r="A10" s="3213">
        <v>45195</v>
      </c>
      <c r="B10" s="3214" t="s">
        <v>3829</v>
      </c>
      <c r="C10" s="3214" t="s">
        <v>633</v>
      </c>
      <c r="D10" s="3214" t="s">
        <v>633</v>
      </c>
      <c r="E10" s="3214">
        <v>6</v>
      </c>
      <c r="F10" s="3214">
        <v>601</v>
      </c>
      <c r="G10" s="3214" t="s">
        <v>3830</v>
      </c>
      <c r="H10" s="3214" t="s">
        <v>21</v>
      </c>
      <c r="I10" s="3214" t="s">
        <v>3826</v>
      </c>
      <c r="J10" s="3215">
        <v>897.54</v>
      </c>
      <c r="K10" s="3215">
        <v>4487.7</v>
      </c>
      <c r="L10" s="3215">
        <v>50000</v>
      </c>
    </row>
    <row r="11" spans="1:12" ht="14.25" thickBot="1">
      <c r="A11" s="3213">
        <v>45195</v>
      </c>
      <c r="B11" s="3214" t="s">
        <v>3829</v>
      </c>
      <c r="C11" s="3214" t="s">
        <v>633</v>
      </c>
      <c r="D11" s="3214" t="s">
        <v>633</v>
      </c>
      <c r="E11" s="3214">
        <v>5</v>
      </c>
      <c r="F11" s="3214">
        <v>501</v>
      </c>
      <c r="G11" s="3214" t="s">
        <v>3830</v>
      </c>
      <c r="H11" s="3214" t="s">
        <v>21</v>
      </c>
      <c r="I11" s="3214" t="s">
        <v>3826</v>
      </c>
      <c r="J11" s="3215">
        <v>897.54</v>
      </c>
      <c r="K11" s="3215">
        <v>4487.7</v>
      </c>
      <c r="L11" s="3215">
        <v>50000</v>
      </c>
    </row>
    <row r="12" spans="1:12" ht="14.25" thickBot="1">
      <c r="A12" s="3213">
        <v>45195</v>
      </c>
      <c r="B12" s="3214" t="s">
        <v>3829</v>
      </c>
      <c r="C12" s="3214" t="s">
        <v>633</v>
      </c>
      <c r="D12" s="3214" t="s">
        <v>633</v>
      </c>
      <c r="E12" s="3214">
        <v>4</v>
      </c>
      <c r="F12" s="3214">
        <v>401</v>
      </c>
      <c r="G12" s="3214" t="s">
        <v>3830</v>
      </c>
      <c r="H12" s="3214" t="s">
        <v>21</v>
      </c>
      <c r="I12" s="3214" t="s">
        <v>3826</v>
      </c>
      <c r="J12" s="3215">
        <v>897.54</v>
      </c>
      <c r="K12" s="3215">
        <v>4487.7</v>
      </c>
      <c r="L12" s="3215">
        <v>50000</v>
      </c>
    </row>
    <row r="13" spans="1:12" ht="14.25" thickBot="1">
      <c r="A13" s="3213">
        <v>45195</v>
      </c>
      <c r="B13" s="3214" t="s">
        <v>3829</v>
      </c>
      <c r="C13" s="3214" t="s">
        <v>633</v>
      </c>
      <c r="D13" s="3214" t="s">
        <v>633</v>
      </c>
      <c r="E13" s="3214">
        <v>10</v>
      </c>
      <c r="F13" s="3214">
        <v>1001</v>
      </c>
      <c r="G13" s="3214" t="s">
        <v>3830</v>
      </c>
      <c r="H13" s="3214" t="s">
        <v>21</v>
      </c>
      <c r="I13" s="3214" t="s">
        <v>3826</v>
      </c>
      <c r="J13" s="3215">
        <v>897.54</v>
      </c>
      <c r="K13" s="3215">
        <v>4487.7</v>
      </c>
      <c r="L13" s="3215">
        <v>50000</v>
      </c>
    </row>
    <row r="14" spans="1:12" ht="14.25" thickBot="1">
      <c r="A14" s="3213">
        <v>45195</v>
      </c>
      <c r="B14" s="3214" t="s">
        <v>3829</v>
      </c>
      <c r="C14" s="3214" t="s">
        <v>633</v>
      </c>
      <c r="D14" s="3214" t="s">
        <v>633</v>
      </c>
      <c r="E14" s="3214">
        <v>9</v>
      </c>
      <c r="F14" s="3214">
        <v>901</v>
      </c>
      <c r="G14" s="3214" t="s">
        <v>3830</v>
      </c>
      <c r="H14" s="3214" t="s">
        <v>21</v>
      </c>
      <c r="I14" s="3214" t="s">
        <v>3826</v>
      </c>
      <c r="J14" s="3215">
        <v>897.54</v>
      </c>
      <c r="K14" s="3215">
        <v>4487.7</v>
      </c>
      <c r="L14" s="3215">
        <v>50000</v>
      </c>
    </row>
    <row r="15" spans="1:12" ht="14.25" thickBot="1">
      <c r="A15" s="3213">
        <v>45195</v>
      </c>
      <c r="B15" s="3214" t="s">
        <v>3829</v>
      </c>
      <c r="C15" s="3214" t="s">
        <v>633</v>
      </c>
      <c r="D15" s="3214" t="s">
        <v>633</v>
      </c>
      <c r="E15" s="3214">
        <v>3</v>
      </c>
      <c r="F15" s="3214">
        <v>301</v>
      </c>
      <c r="G15" s="3214" t="s">
        <v>3830</v>
      </c>
      <c r="H15" s="3214" t="s">
        <v>21</v>
      </c>
      <c r="I15" s="3214" t="s">
        <v>3826</v>
      </c>
      <c r="J15" s="3215">
        <v>897.54</v>
      </c>
      <c r="K15" s="3215">
        <v>4487.7</v>
      </c>
      <c r="L15" s="3215">
        <v>50000</v>
      </c>
    </row>
    <row r="16" spans="1:12" ht="14.25" thickBot="1">
      <c r="A16" s="3213">
        <v>45195</v>
      </c>
      <c r="B16" s="3214" t="s">
        <v>3829</v>
      </c>
      <c r="C16" s="3214" t="s">
        <v>633</v>
      </c>
      <c r="D16" s="3214" t="s">
        <v>633</v>
      </c>
      <c r="E16" s="3214">
        <v>7</v>
      </c>
      <c r="F16" s="3214">
        <v>701</v>
      </c>
      <c r="G16" s="3214" t="s">
        <v>3830</v>
      </c>
      <c r="H16" s="3214" t="s">
        <v>21</v>
      </c>
      <c r="I16" s="3214" t="s">
        <v>3826</v>
      </c>
      <c r="J16" s="3215">
        <v>897.54</v>
      </c>
      <c r="K16" s="3215">
        <v>4487.7</v>
      </c>
      <c r="L16" s="3215">
        <v>50000</v>
      </c>
    </row>
    <row r="17" spans="1:12" ht="14.25" thickBot="1">
      <c r="A17" s="3213">
        <v>45195</v>
      </c>
      <c r="B17" s="3214" t="s">
        <v>3829</v>
      </c>
      <c r="C17" s="3214" t="s">
        <v>633</v>
      </c>
      <c r="D17" s="3214" t="s">
        <v>633</v>
      </c>
      <c r="E17" s="3214">
        <v>2</v>
      </c>
      <c r="F17" s="3214">
        <v>201</v>
      </c>
      <c r="G17" s="3214" t="s">
        <v>3830</v>
      </c>
      <c r="H17" s="3214" t="s">
        <v>21</v>
      </c>
      <c r="I17" s="3214" t="s">
        <v>3826</v>
      </c>
      <c r="J17" s="3215">
        <v>897.54</v>
      </c>
      <c r="K17" s="3215">
        <v>4487.7</v>
      </c>
      <c r="L17" s="3215">
        <v>50000</v>
      </c>
    </row>
    <row r="18" spans="1:12" ht="14.25" thickBot="1">
      <c r="A18" s="3213">
        <v>45195</v>
      </c>
      <c r="B18" s="3214" t="s">
        <v>3829</v>
      </c>
      <c r="C18" s="3214" t="s">
        <v>633</v>
      </c>
      <c r="D18" s="3214" t="s">
        <v>633</v>
      </c>
      <c r="E18" s="3214">
        <v>1</v>
      </c>
      <c r="F18" s="3214">
        <v>101</v>
      </c>
      <c r="G18" s="3214" t="s">
        <v>3830</v>
      </c>
      <c r="H18" s="3214" t="s">
        <v>673</v>
      </c>
      <c r="I18" s="3214" t="s">
        <v>3826</v>
      </c>
      <c r="J18" s="3215">
        <v>801.28</v>
      </c>
      <c r="K18" s="3215">
        <v>4006.4</v>
      </c>
      <c r="L18" s="3215">
        <v>50000</v>
      </c>
    </row>
    <row r="20" spans="1:12" ht="14.25" thickBot="1">
      <c r="A20" s="3213">
        <v>45181</v>
      </c>
      <c r="B20" s="3214" t="s">
        <v>3829</v>
      </c>
      <c r="C20" s="3214" t="s">
        <v>633</v>
      </c>
      <c r="D20" s="3214" t="s">
        <v>633</v>
      </c>
      <c r="E20" s="3214">
        <v>-1</v>
      </c>
      <c r="F20" s="3214">
        <v>-101</v>
      </c>
      <c r="G20" s="3214" t="s">
        <v>3830</v>
      </c>
      <c r="H20" s="3214" t="s">
        <v>673</v>
      </c>
      <c r="I20" s="3214" t="s">
        <v>3826</v>
      </c>
      <c r="J20" s="3215">
        <v>838.45</v>
      </c>
      <c r="K20" s="3215">
        <v>1257.68</v>
      </c>
      <c r="L20" s="3215">
        <v>15000</v>
      </c>
    </row>
    <row r="21" spans="1:12" ht="14.25" thickBot="1">
      <c r="A21" s="3213">
        <v>45195</v>
      </c>
      <c r="B21" s="3214" t="s">
        <v>3829</v>
      </c>
      <c r="C21" s="3214" t="s">
        <v>633</v>
      </c>
      <c r="D21" s="3214" t="s">
        <v>633</v>
      </c>
      <c r="E21" s="3214">
        <v>-1</v>
      </c>
      <c r="F21" s="3214">
        <v>-102</v>
      </c>
      <c r="G21" s="3214" t="s">
        <v>3830</v>
      </c>
      <c r="H21" s="3214" t="s">
        <v>673</v>
      </c>
      <c r="I21" s="3214" t="s">
        <v>3826</v>
      </c>
      <c r="J21" s="3215">
        <v>857.83</v>
      </c>
      <c r="K21" s="3215">
        <v>1286.75</v>
      </c>
      <c r="L21" s="3215">
        <v>15000</v>
      </c>
    </row>
    <row r="22" spans="1:12">
      <c r="J22">
        <f>SUM(J9:J21)</f>
        <v>10575.42</v>
      </c>
      <c r="K22">
        <f>SUM(K9:K21)</f>
        <v>46940.13</v>
      </c>
      <c r="L22">
        <f>ROUND(K22/J22*10000,0)</f>
        <v>44386</v>
      </c>
    </row>
    <row r="23" spans="1:12">
      <c r="K23" s="3218">
        <f>(K21+K20)/K22</f>
        <v>5.4205857546623763E-2</v>
      </c>
      <c r="L23">
        <f>ROUND(K22/SUM(J9:J18)*10000,0)</f>
        <v>52866</v>
      </c>
    </row>
  </sheetData>
  <phoneticPr fontId="135"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35"/>
  <sheetViews>
    <sheetView workbookViewId="0">
      <selection activeCell="L23" sqref="L23"/>
    </sheetView>
  </sheetViews>
  <sheetFormatPr defaultRowHeight="13.5"/>
  <cols>
    <col min="1" max="1" width="11.875" customWidth="1"/>
    <col min="2" max="12" width="12.5" customWidth="1"/>
  </cols>
  <sheetData>
    <row r="7" spans="1:12" ht="14.25" thickBot="1">
      <c r="A7" s="3213">
        <v>44907</v>
      </c>
      <c r="B7" s="3214" t="s">
        <v>3824</v>
      </c>
      <c r="C7" s="3214" t="s">
        <v>633</v>
      </c>
      <c r="D7" s="3214" t="s">
        <v>633</v>
      </c>
      <c r="E7" s="3214">
        <v>12</v>
      </c>
      <c r="F7" s="3214">
        <v>1201</v>
      </c>
      <c r="G7" s="3214" t="s">
        <v>3825</v>
      </c>
      <c r="H7" s="3214" t="s">
        <v>21</v>
      </c>
      <c r="I7" s="3214" t="s">
        <v>3826</v>
      </c>
      <c r="J7" s="3215">
        <v>873.03</v>
      </c>
      <c r="K7" s="3215">
        <v>4266.76</v>
      </c>
      <c r="L7" s="3215">
        <v>48873</v>
      </c>
    </row>
    <row r="8" spans="1:12" ht="14.25" thickBot="1">
      <c r="A8" s="3213">
        <v>44906</v>
      </c>
      <c r="B8" s="3214" t="s">
        <v>3824</v>
      </c>
      <c r="C8" s="3214" t="s">
        <v>633</v>
      </c>
      <c r="D8" s="3214" t="s">
        <v>633</v>
      </c>
      <c r="E8" s="3214">
        <v>4</v>
      </c>
      <c r="F8" s="3214">
        <v>401</v>
      </c>
      <c r="G8" s="3214" t="s">
        <v>3825</v>
      </c>
      <c r="H8" s="3214" t="s">
        <v>21</v>
      </c>
      <c r="I8" s="3214" t="s">
        <v>3826</v>
      </c>
      <c r="J8" s="3215">
        <v>873.6</v>
      </c>
      <c r="K8" s="3215">
        <v>4269.55</v>
      </c>
      <c r="L8" s="3215">
        <v>48873</v>
      </c>
    </row>
    <row r="9" spans="1:12" ht="14.25" thickBot="1">
      <c r="A9" s="3213">
        <v>44906</v>
      </c>
      <c r="B9" s="3214" t="s">
        <v>3824</v>
      </c>
      <c r="C9" s="3214" t="s">
        <v>633</v>
      </c>
      <c r="D9" s="3214" t="s">
        <v>633</v>
      </c>
      <c r="E9" s="3214">
        <v>6</v>
      </c>
      <c r="F9" s="3214">
        <v>602</v>
      </c>
      <c r="G9" s="3214" t="s">
        <v>3825</v>
      </c>
      <c r="H9" s="3214" t="s">
        <v>21</v>
      </c>
      <c r="I9" s="3214" t="s">
        <v>3826</v>
      </c>
      <c r="J9" s="3215">
        <v>846.05</v>
      </c>
      <c r="K9" s="3215">
        <v>4134.8999999999996</v>
      </c>
      <c r="L9" s="3215">
        <v>48873</v>
      </c>
    </row>
    <row r="10" spans="1:12" ht="14.25" thickBot="1">
      <c r="A10" s="3213">
        <v>44906</v>
      </c>
      <c r="B10" s="3214" t="s">
        <v>3824</v>
      </c>
      <c r="C10" s="3214" t="s">
        <v>633</v>
      </c>
      <c r="D10" s="3214" t="s">
        <v>633</v>
      </c>
      <c r="E10" s="3214">
        <v>9</v>
      </c>
      <c r="F10" s="3214">
        <v>902</v>
      </c>
      <c r="G10" s="3214" t="s">
        <v>3825</v>
      </c>
      <c r="H10" s="3214" t="s">
        <v>21</v>
      </c>
      <c r="I10" s="3214" t="s">
        <v>3826</v>
      </c>
      <c r="J10" s="3215">
        <v>843.1</v>
      </c>
      <c r="K10" s="3215">
        <v>4120.4799999999996</v>
      </c>
      <c r="L10" s="3215">
        <v>48873</v>
      </c>
    </row>
    <row r="11" spans="1:12" ht="14.25" thickBot="1">
      <c r="A11" s="3213">
        <v>44906</v>
      </c>
      <c r="B11" s="3214" t="s">
        <v>3824</v>
      </c>
      <c r="C11" s="3214" t="s">
        <v>633</v>
      </c>
      <c r="D11" s="3214" t="s">
        <v>633</v>
      </c>
      <c r="E11" s="3214">
        <v>2</v>
      </c>
      <c r="F11" s="3214">
        <v>202</v>
      </c>
      <c r="G11" s="3214" t="s">
        <v>3825</v>
      </c>
      <c r="H11" s="3214" t="s">
        <v>21</v>
      </c>
      <c r="I11" s="3214" t="s">
        <v>3826</v>
      </c>
      <c r="J11" s="3215">
        <v>720.56</v>
      </c>
      <c r="K11" s="3215">
        <v>3521.59</v>
      </c>
      <c r="L11" s="3215">
        <v>48873</v>
      </c>
    </row>
    <row r="12" spans="1:12" ht="14.25" thickBot="1">
      <c r="A12" s="3213">
        <v>44906</v>
      </c>
      <c r="B12" s="3214" t="s">
        <v>3824</v>
      </c>
      <c r="C12" s="3214" t="s">
        <v>633</v>
      </c>
      <c r="D12" s="3214" t="s">
        <v>633</v>
      </c>
      <c r="E12" s="3214">
        <v>8</v>
      </c>
      <c r="F12" s="3214">
        <v>802</v>
      </c>
      <c r="G12" s="3214" t="s">
        <v>3825</v>
      </c>
      <c r="H12" s="3214" t="s">
        <v>21</v>
      </c>
      <c r="I12" s="3214" t="s">
        <v>3826</v>
      </c>
      <c r="J12" s="3215">
        <v>844.7</v>
      </c>
      <c r="K12" s="3215">
        <v>4128.3</v>
      </c>
      <c r="L12" s="3215">
        <v>48873</v>
      </c>
    </row>
    <row r="13" spans="1:12" ht="14.25" thickBot="1">
      <c r="A13" s="3213">
        <v>44906</v>
      </c>
      <c r="B13" s="3214" t="s">
        <v>3824</v>
      </c>
      <c r="C13" s="3214" t="s">
        <v>633</v>
      </c>
      <c r="D13" s="3214" t="s">
        <v>633</v>
      </c>
      <c r="E13" s="3214">
        <v>12</v>
      </c>
      <c r="F13" s="3214">
        <v>1202</v>
      </c>
      <c r="G13" s="3214" t="s">
        <v>3825</v>
      </c>
      <c r="H13" s="3214" t="s">
        <v>21</v>
      </c>
      <c r="I13" s="3214" t="s">
        <v>3826</v>
      </c>
      <c r="J13" s="3215">
        <v>835.92</v>
      </c>
      <c r="K13" s="3215">
        <v>4085.39</v>
      </c>
      <c r="L13" s="3215">
        <v>48873</v>
      </c>
    </row>
    <row r="14" spans="1:12" ht="14.25" thickBot="1">
      <c r="A14" s="3213">
        <v>44906</v>
      </c>
      <c r="B14" s="3214" t="s">
        <v>3824</v>
      </c>
      <c r="C14" s="3214" t="s">
        <v>633</v>
      </c>
      <c r="D14" s="3214" t="s">
        <v>633</v>
      </c>
      <c r="E14" s="3214">
        <v>11</v>
      </c>
      <c r="F14" s="3214">
        <v>1102</v>
      </c>
      <c r="G14" s="3214" t="s">
        <v>3825</v>
      </c>
      <c r="H14" s="3214" t="s">
        <v>21</v>
      </c>
      <c r="I14" s="3214" t="s">
        <v>3826</v>
      </c>
      <c r="J14" s="3215">
        <v>838.94</v>
      </c>
      <c r="K14" s="3215">
        <v>4100.1499999999996</v>
      </c>
      <c r="L14" s="3215">
        <v>48873</v>
      </c>
    </row>
    <row r="15" spans="1:12" ht="14.25" thickBot="1">
      <c r="A15" s="3213">
        <v>44906</v>
      </c>
      <c r="B15" s="3214" t="s">
        <v>3824</v>
      </c>
      <c r="C15" s="3214" t="s">
        <v>633</v>
      </c>
      <c r="D15" s="3214" t="s">
        <v>633</v>
      </c>
      <c r="E15" s="3214">
        <v>3</v>
      </c>
      <c r="F15" s="3214">
        <v>301</v>
      </c>
      <c r="G15" s="3214" t="s">
        <v>3825</v>
      </c>
      <c r="H15" s="3214" t="s">
        <v>21</v>
      </c>
      <c r="I15" s="3214" t="s">
        <v>3826</v>
      </c>
      <c r="J15" s="3215">
        <v>873.6</v>
      </c>
      <c r="K15" s="3215">
        <v>4269.55</v>
      </c>
      <c r="L15" s="3215">
        <v>48873</v>
      </c>
    </row>
    <row r="16" spans="1:12" ht="14.25" thickBot="1">
      <c r="A16" s="3213">
        <v>44906</v>
      </c>
      <c r="B16" s="3214" t="s">
        <v>3824</v>
      </c>
      <c r="C16" s="3214" t="s">
        <v>633</v>
      </c>
      <c r="D16" s="3214" t="s">
        <v>633</v>
      </c>
      <c r="E16" s="3214">
        <v>11</v>
      </c>
      <c r="F16" s="3214">
        <v>1101</v>
      </c>
      <c r="G16" s="3214" t="s">
        <v>3825</v>
      </c>
      <c r="H16" s="3214" t="s">
        <v>21</v>
      </c>
      <c r="I16" s="3214" t="s">
        <v>3826</v>
      </c>
      <c r="J16" s="3215">
        <v>873.03</v>
      </c>
      <c r="K16" s="3215">
        <v>4266.76</v>
      </c>
      <c r="L16" s="3215">
        <v>48873</v>
      </c>
    </row>
    <row r="17" spans="1:12" ht="14.25" thickBot="1">
      <c r="A17" s="3213">
        <v>44906</v>
      </c>
      <c r="B17" s="3214" t="s">
        <v>3824</v>
      </c>
      <c r="C17" s="3214" t="s">
        <v>633</v>
      </c>
      <c r="D17" s="3214" t="s">
        <v>633</v>
      </c>
      <c r="E17" s="3214">
        <v>8</v>
      </c>
      <c r="F17" s="3214">
        <v>801</v>
      </c>
      <c r="G17" s="3214" t="s">
        <v>3825</v>
      </c>
      <c r="H17" s="3214" t="s">
        <v>21</v>
      </c>
      <c r="I17" s="3214" t="s">
        <v>3826</v>
      </c>
      <c r="J17" s="3215">
        <v>873.31</v>
      </c>
      <c r="K17" s="3215">
        <v>4268.13</v>
      </c>
      <c r="L17" s="3215">
        <v>48873</v>
      </c>
    </row>
    <row r="18" spans="1:12" ht="14.25" thickBot="1">
      <c r="A18" s="3213">
        <v>44906</v>
      </c>
      <c r="B18" s="3214" t="s">
        <v>3824</v>
      </c>
      <c r="C18" s="3214" t="s">
        <v>633</v>
      </c>
      <c r="D18" s="3214" t="s">
        <v>633</v>
      </c>
      <c r="E18" s="3214">
        <v>5</v>
      </c>
      <c r="F18" s="3214">
        <v>502</v>
      </c>
      <c r="G18" s="3214" t="s">
        <v>3825</v>
      </c>
      <c r="H18" s="3214" t="s">
        <v>21</v>
      </c>
      <c r="I18" s="3214" t="s">
        <v>3826</v>
      </c>
      <c r="J18" s="3215">
        <v>846.18</v>
      </c>
      <c r="K18" s="3215">
        <v>4135.54</v>
      </c>
      <c r="L18" s="3215">
        <v>48873</v>
      </c>
    </row>
    <row r="19" spans="1:12" ht="14.25" thickBot="1">
      <c r="A19" s="3213">
        <v>44906</v>
      </c>
      <c r="B19" s="3214" t="s">
        <v>3824</v>
      </c>
      <c r="C19" s="3214" t="s">
        <v>633</v>
      </c>
      <c r="D19" s="3214" t="s">
        <v>633</v>
      </c>
      <c r="E19" s="3214">
        <v>6</v>
      </c>
      <c r="F19" s="3214">
        <v>601</v>
      </c>
      <c r="G19" s="3214" t="s">
        <v>3825</v>
      </c>
      <c r="H19" s="3214" t="s">
        <v>21</v>
      </c>
      <c r="I19" s="3214" t="s">
        <v>3826</v>
      </c>
      <c r="J19" s="3215">
        <v>873.31</v>
      </c>
      <c r="K19" s="3215">
        <v>4268.13</v>
      </c>
      <c r="L19" s="3215">
        <v>48873</v>
      </c>
    </row>
    <row r="20" spans="1:12" ht="14.25" thickBot="1">
      <c r="A20" s="3213">
        <v>44906</v>
      </c>
      <c r="B20" s="3214" t="s">
        <v>3824</v>
      </c>
      <c r="C20" s="3214" t="s">
        <v>633</v>
      </c>
      <c r="D20" s="3214" t="s">
        <v>633</v>
      </c>
      <c r="E20" s="3214">
        <v>4</v>
      </c>
      <c r="F20" s="3214">
        <v>402</v>
      </c>
      <c r="G20" s="3214" t="s">
        <v>3825</v>
      </c>
      <c r="H20" s="3214" t="s">
        <v>21</v>
      </c>
      <c r="I20" s="3214" t="s">
        <v>3826</v>
      </c>
      <c r="J20" s="3215">
        <v>846.15</v>
      </c>
      <c r="K20" s="3215">
        <v>4135.3900000000003</v>
      </c>
      <c r="L20" s="3215">
        <v>48873</v>
      </c>
    </row>
    <row r="21" spans="1:12" ht="14.25" thickBot="1">
      <c r="A21" s="3213">
        <v>44906</v>
      </c>
      <c r="B21" s="3214" t="s">
        <v>3824</v>
      </c>
      <c r="C21" s="3214" t="s">
        <v>633</v>
      </c>
      <c r="D21" s="3214" t="s">
        <v>633</v>
      </c>
      <c r="E21" s="3214">
        <v>10</v>
      </c>
      <c r="F21" s="3214">
        <v>1001</v>
      </c>
      <c r="G21" s="3214" t="s">
        <v>3825</v>
      </c>
      <c r="H21" s="3214" t="s">
        <v>21</v>
      </c>
      <c r="I21" s="3214" t="s">
        <v>3826</v>
      </c>
      <c r="J21" s="3215">
        <v>873.03</v>
      </c>
      <c r="K21" s="3215">
        <v>4266.76</v>
      </c>
      <c r="L21" s="3215">
        <v>48873</v>
      </c>
    </row>
    <row r="22" spans="1:12" ht="14.25" thickBot="1">
      <c r="A22" s="3213">
        <v>44906</v>
      </c>
      <c r="B22" s="3214" t="s">
        <v>3824</v>
      </c>
      <c r="C22" s="3214" t="s">
        <v>633</v>
      </c>
      <c r="D22" s="3214" t="s">
        <v>633</v>
      </c>
      <c r="E22" s="3214">
        <v>5</v>
      </c>
      <c r="F22" s="3214">
        <v>501</v>
      </c>
      <c r="G22" s="3214" t="s">
        <v>3825</v>
      </c>
      <c r="H22" s="3214" t="s">
        <v>21</v>
      </c>
      <c r="I22" s="3214" t="s">
        <v>3826</v>
      </c>
      <c r="J22" s="3215">
        <v>873.31</v>
      </c>
      <c r="K22" s="3215">
        <v>4268.13</v>
      </c>
      <c r="L22" s="3215">
        <v>48873</v>
      </c>
    </row>
    <row r="23" spans="1:12" ht="14.25" thickBot="1">
      <c r="A23" s="3213">
        <v>44906</v>
      </c>
      <c r="B23" s="3214" t="s">
        <v>3824</v>
      </c>
      <c r="C23" s="3214" t="s">
        <v>633</v>
      </c>
      <c r="D23" s="3214" t="s">
        <v>633</v>
      </c>
      <c r="E23" s="3214">
        <v>10</v>
      </c>
      <c r="F23" s="3214">
        <v>1002</v>
      </c>
      <c r="G23" s="3214" t="s">
        <v>3825</v>
      </c>
      <c r="H23" s="3214" t="s">
        <v>21</v>
      </c>
      <c r="I23" s="3214" t="s">
        <v>3826</v>
      </c>
      <c r="J23" s="3215">
        <v>841.31</v>
      </c>
      <c r="K23" s="3215">
        <v>4111.7299999999996</v>
      </c>
      <c r="L23" s="3215">
        <v>48873</v>
      </c>
    </row>
    <row r="24" spans="1:12" ht="14.25" thickBot="1">
      <c r="A24" s="3213">
        <v>44906</v>
      </c>
      <c r="B24" s="3214" t="s">
        <v>3824</v>
      </c>
      <c r="C24" s="3214" t="s">
        <v>633</v>
      </c>
      <c r="D24" s="3214" t="s">
        <v>633</v>
      </c>
      <c r="E24" s="3214">
        <v>7</v>
      </c>
      <c r="F24" s="3214">
        <v>701</v>
      </c>
      <c r="G24" s="3214" t="s">
        <v>3825</v>
      </c>
      <c r="H24" s="3214" t="s">
        <v>21</v>
      </c>
      <c r="I24" s="3214" t="s">
        <v>3826</v>
      </c>
      <c r="J24" s="3215">
        <v>873.31</v>
      </c>
      <c r="K24" s="3215">
        <v>4268.13</v>
      </c>
      <c r="L24" s="3215">
        <v>48873</v>
      </c>
    </row>
    <row r="25" spans="1:12" ht="14.25" thickBot="1">
      <c r="A25" s="3213">
        <v>44906</v>
      </c>
      <c r="B25" s="3214" t="s">
        <v>3824</v>
      </c>
      <c r="C25" s="3214" t="s">
        <v>633</v>
      </c>
      <c r="D25" s="3214" t="s">
        <v>633</v>
      </c>
      <c r="E25" s="3214">
        <v>9</v>
      </c>
      <c r="F25" s="3214">
        <v>901</v>
      </c>
      <c r="G25" s="3214" t="s">
        <v>3825</v>
      </c>
      <c r="H25" s="3214" t="s">
        <v>21</v>
      </c>
      <c r="I25" s="3214" t="s">
        <v>3826</v>
      </c>
      <c r="J25" s="3215">
        <v>873.03</v>
      </c>
      <c r="K25" s="3215">
        <v>4266.76</v>
      </c>
      <c r="L25" s="3215">
        <v>48873</v>
      </c>
    </row>
    <row r="26" spans="1:12" ht="14.25" thickBot="1">
      <c r="A26" s="3213">
        <v>44906</v>
      </c>
      <c r="B26" s="3214" t="s">
        <v>3824</v>
      </c>
      <c r="C26" s="3214" t="s">
        <v>633</v>
      </c>
      <c r="D26" s="3214" t="s">
        <v>633</v>
      </c>
      <c r="E26" s="3214">
        <v>2</v>
      </c>
      <c r="F26" s="3214">
        <v>201</v>
      </c>
      <c r="G26" s="3214" t="s">
        <v>3825</v>
      </c>
      <c r="H26" s="3214" t="s">
        <v>21</v>
      </c>
      <c r="I26" s="3214" t="s">
        <v>3826</v>
      </c>
      <c r="J26" s="3215">
        <v>764.6</v>
      </c>
      <c r="K26" s="3215">
        <v>3736.83</v>
      </c>
      <c r="L26" s="3215">
        <v>48873</v>
      </c>
    </row>
    <row r="27" spans="1:12" ht="14.25" thickBot="1">
      <c r="A27" s="3213">
        <v>44906</v>
      </c>
      <c r="B27" s="3214" t="s">
        <v>3824</v>
      </c>
      <c r="C27" s="3214" t="s">
        <v>633</v>
      </c>
      <c r="D27" s="3214" t="s">
        <v>633</v>
      </c>
      <c r="E27" s="3214">
        <v>3</v>
      </c>
      <c r="F27" s="3214">
        <v>302</v>
      </c>
      <c r="G27" s="3214" t="s">
        <v>3825</v>
      </c>
      <c r="H27" s="3214" t="s">
        <v>21</v>
      </c>
      <c r="I27" s="3214" t="s">
        <v>3826</v>
      </c>
      <c r="J27" s="3215">
        <v>845.89</v>
      </c>
      <c r="K27" s="3215">
        <v>4134.12</v>
      </c>
      <c r="L27" s="3215">
        <v>48873</v>
      </c>
    </row>
    <row r="28" spans="1:12" ht="14.25" thickBot="1">
      <c r="A28" s="3213">
        <v>44906</v>
      </c>
      <c r="B28" s="3214" t="s">
        <v>3824</v>
      </c>
      <c r="C28" s="3214" t="s">
        <v>633</v>
      </c>
      <c r="D28" s="3214" t="s">
        <v>633</v>
      </c>
      <c r="E28" s="3214">
        <v>7</v>
      </c>
      <c r="F28" s="3214">
        <v>702</v>
      </c>
      <c r="G28" s="3214" t="s">
        <v>3825</v>
      </c>
      <c r="H28" s="3214" t="s">
        <v>21</v>
      </c>
      <c r="I28" s="3214" t="s">
        <v>3826</v>
      </c>
      <c r="J28" s="3215">
        <v>845.57</v>
      </c>
      <c r="K28" s="3215">
        <v>4132.55</v>
      </c>
      <c r="L28" s="3215">
        <v>48873</v>
      </c>
    </row>
    <row r="35" spans="1:12" ht="14.25" thickBot="1">
      <c r="A35" s="3213">
        <v>44906</v>
      </c>
      <c r="B35" s="3214" t="s">
        <v>3827</v>
      </c>
      <c r="C35" s="3214" t="s">
        <v>633</v>
      </c>
      <c r="D35" s="3214" t="s">
        <v>633</v>
      </c>
      <c r="E35" s="3214">
        <v>12</v>
      </c>
      <c r="F35" s="3214">
        <v>1201</v>
      </c>
      <c r="G35" s="3214" t="s">
        <v>3828</v>
      </c>
      <c r="H35" s="3214" t="s">
        <v>21</v>
      </c>
      <c r="I35" s="3214" t="s">
        <v>3826</v>
      </c>
      <c r="J35" s="3215">
        <v>957.3</v>
      </c>
      <c r="K35" s="3215">
        <v>4266.76</v>
      </c>
      <c r="L35" s="3215">
        <v>44571</v>
      </c>
    </row>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5" t="s">
        <v>949</v>
      </c>
      <c r="B1" s="3245"/>
      <c r="C1" s="3245"/>
      <c r="D1" s="3245"/>
    </row>
    <row r="2" spans="1:4" ht="18">
      <c r="A2" s="3246" t="s">
        <v>933</v>
      </c>
      <c r="B2" s="3246"/>
      <c r="C2" s="3246"/>
      <c r="D2" s="324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46" t="s">
        <v>939</v>
      </c>
      <c r="B6" s="3246"/>
      <c r="C6" s="3246"/>
      <c r="D6" s="324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47"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943</v>
      </c>
      <c r="B16" s="3241"/>
      <c r="C16" s="3241"/>
      <c r="D16" s="3241"/>
    </row>
    <row r="17" spans="1:4" ht="144" customHeight="1">
      <c r="A17" s="3241" t="s">
        <v>944</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945</v>
      </c>
      <c r="B22" s="3243"/>
      <c r="C22" s="3243"/>
      <c r="D22" s="324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53" t="s">
        <v>956</v>
      </c>
      <c r="B15" s="3248" t="s">
        <v>109</v>
      </c>
      <c r="C15" s="3249"/>
    </row>
    <row r="16" spans="1:7" ht="13.5">
      <c r="A16" s="3254"/>
      <c r="B16" s="3248" t="s">
        <v>42</v>
      </c>
      <c r="C16" s="3249"/>
    </row>
    <row r="17" spans="1:3" ht="13.5">
      <c r="A17" s="3254"/>
      <c r="B17" s="3251" t="s">
        <v>957</v>
      </c>
      <c r="C17" s="1428" t="s">
        <v>956</v>
      </c>
    </row>
    <row r="18" spans="1:3" ht="13.5">
      <c r="A18" s="3254"/>
      <c r="B18" s="3251"/>
      <c r="C18" s="1428" t="s">
        <v>958</v>
      </c>
    </row>
    <row r="19" spans="1:3" ht="13.5">
      <c r="A19" s="3254"/>
      <c r="B19" s="3251"/>
      <c r="C19" s="1428" t="s">
        <v>959</v>
      </c>
    </row>
    <row r="20" spans="1:3" ht="13.5">
      <c r="A20" s="3255"/>
      <c r="B20" s="3250" t="s">
        <v>960</v>
      </c>
      <c r="C20" s="3249"/>
    </row>
    <row r="21" spans="1:3" ht="13.5">
      <c r="A21" s="1429" t="s">
        <v>961</v>
      </c>
      <c r="B21" s="1430"/>
      <c r="C21" s="1431"/>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8" t="s">
        <v>967</v>
      </c>
    </row>
    <row r="26" spans="1:3" ht="13.5">
      <c r="A26" s="3252"/>
      <c r="B26" s="3251"/>
      <c r="C26" s="1428" t="s">
        <v>968</v>
      </c>
    </row>
    <row r="27" spans="1:3" ht="13.5">
      <c r="A27" s="3252"/>
      <c r="B27" s="3251"/>
      <c r="C27" s="1428" t="s">
        <v>969</v>
      </c>
    </row>
    <row r="28" spans="1:3" ht="13.5">
      <c r="A28" s="3252"/>
      <c r="B28" s="3251"/>
      <c r="C28" s="1428" t="s">
        <v>970</v>
      </c>
    </row>
    <row r="29" spans="1:3" ht="13.5">
      <c r="A29" s="3252"/>
      <c r="B29" s="3251"/>
      <c r="C29" s="1428" t="s">
        <v>971</v>
      </c>
    </row>
    <row r="30" spans="1:3" ht="13.5">
      <c r="A30" s="3252"/>
      <c r="B30" s="3251"/>
      <c r="C30" s="1428" t="s">
        <v>972</v>
      </c>
    </row>
    <row r="31" spans="1:3" ht="13.5">
      <c r="A31" s="3252"/>
      <c r="B31" s="3251"/>
      <c r="C31" s="1428" t="s">
        <v>973</v>
      </c>
    </row>
    <row r="32" spans="1:3" ht="13.5">
      <c r="A32" s="3252"/>
      <c r="B32" s="3251"/>
      <c r="C32" s="1428" t="s">
        <v>974</v>
      </c>
    </row>
    <row r="33" spans="1:3" ht="13.5">
      <c r="A33" s="3252"/>
      <c r="B33" s="325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6" t="s">
        <v>2158</v>
      </c>
      <c r="B17" s="3256"/>
      <c r="C17" s="3256"/>
      <c r="D17" s="3256"/>
      <c r="E17" s="3256"/>
      <c r="F17" s="3256"/>
      <c r="G17" s="3256"/>
      <c r="H17" s="3256"/>
    </row>
    <row r="18" spans="1:8" ht="24" customHeight="1">
      <c r="A18" s="3257" t="s">
        <v>2159</v>
      </c>
      <c r="B18" s="3257"/>
      <c r="C18" s="3257"/>
      <c r="D18" s="2159"/>
      <c r="E18" s="3258" t="s">
        <v>2160</v>
      </c>
      <c r="F18" s="3257"/>
      <c r="G18" s="3257"/>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155</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华樾北京</vt:lpstr>
      <vt:lpstr>保利佲悦大都汇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2024-11-07T05:21:08Z</dcterms:modified>
</cp:coreProperties>
</file>