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审核\冯德智\"/>
    </mc:Choice>
  </mc:AlternateContent>
  <xr:revisionPtr revIDLastSave="0" documentId="13_ncr:1_{C88DB21E-EFAE-4719-9930-CD55FF97C558}" xr6:coauthVersionLast="47" xr6:coauthVersionMax="47" xr10:uidLastSave="{00000000-0000-0000-0000-000000000000}"/>
  <bookViews>
    <workbookView xWindow="-120" yWindow="-120" windowWidth="21840" windowHeight="131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土地比较法-住宅、综合" sheetId="39" state="hidden" r:id="rId24"/>
    <sheet name="基准地价修正-办公" sheetId="85" state="hidden" r:id="rId25"/>
    <sheet name="基准地价修正-商业" sheetId="43" state="hidden" r:id="rId26"/>
    <sheet name="基准地价（汇总）" sheetId="76" state="hidden" r:id="rId27"/>
    <sheet name="收益法-商业"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收益法-办公" sheetId="82" r:id="rId36"/>
    <sheet name="收益法（汇总）" sheetId="70" r:id="rId37"/>
    <sheet name="土地案例" sheetId="84" state="hidden" r:id="rId38"/>
    <sheet name="土地比较法-工业" sheetId="40" state="hidden" r:id="rId39"/>
    <sheet name="典型户型修正" sheetId="31" state="hidden" r:id="rId40"/>
    <sheet name="租赁台账" sheetId="81" r:id="rId41"/>
    <sheet name="市场租金" sheetId="83" r:id="rId42"/>
    <sheet name="大宗案例" sheetId="86"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6">'基准地价（汇总）'!$A$1:$E$13</definedName>
    <definedName name="_xlnm.Print_Area" localSheetId="24">'基准地价修正-办公'!$A$1:$J$44,'基准地价修正-办公'!$A$47:$H$101,'基准地价修正-办公'!$R$1:$V$16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6">'收益法（汇总）'!$A$1:$F$13</definedName>
    <definedName name="_xlnm.Print_Area" localSheetId="35">'收益法-办公'!$A$1:$F$43,'收益法-办公'!$H$3:$M$29,'收益法-办公'!$A$46:$F$71,'收益法-办公'!$I$46:$N$65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37" i="34" l="1"/>
  <c r="E37" i="34"/>
  <c r="G37" i="34"/>
  <c r="E94" i="34"/>
  <c r="F94" i="34" s="1"/>
  <c r="G94" i="34" s="1"/>
  <c r="D94" i="34"/>
  <c r="D105" i="34"/>
  <c r="E105" i="34" s="1"/>
  <c r="F105" i="34" s="1"/>
  <c r="AK7" i="1"/>
  <c r="E67" i="34"/>
  <c r="D67" i="34"/>
  <c r="I142" i="81" l="1"/>
  <c r="G145" i="81"/>
  <c r="G135" i="81"/>
  <c r="F145" i="81"/>
  <c r="F144" i="81"/>
  <c r="C145" i="81"/>
  <c r="C144" i="81"/>
  <c r="O5" i="81"/>
  <c r="P5" i="81"/>
  <c r="N5" i="81"/>
  <c r="O4" i="81"/>
  <c r="O3" i="81"/>
  <c r="Q83" i="81"/>
  <c r="N37" i="81"/>
  <c r="G133" i="81"/>
  <c r="C23" i="80"/>
  <c r="D133" i="81"/>
  <c r="G136" i="81"/>
  <c r="G134" i="81"/>
  <c r="G126" i="81"/>
  <c r="P122" i="81"/>
  <c r="Q122" i="81"/>
  <c r="R122" i="81"/>
  <c r="S122" i="81"/>
  <c r="T122" i="81"/>
  <c r="U122" i="81"/>
  <c r="U119" i="81"/>
  <c r="T119" i="81"/>
  <c r="S119" i="81"/>
  <c r="R119" i="81"/>
  <c r="Q119" i="81"/>
  <c r="P119" i="81"/>
  <c r="U117" i="81"/>
  <c r="T117" i="81"/>
  <c r="S117" i="81"/>
  <c r="R117" i="81"/>
  <c r="Q117" i="81"/>
  <c r="P117" i="81"/>
  <c r="O122" i="81"/>
  <c r="U112" i="81"/>
  <c r="T112" i="81"/>
  <c r="S112" i="81"/>
  <c r="R112" i="81"/>
  <c r="Q112" i="81"/>
  <c r="P112" i="81"/>
  <c r="O112" i="81"/>
  <c r="O115" i="81"/>
  <c r="U115" i="81"/>
  <c r="T115" i="81"/>
  <c r="S115" i="81"/>
  <c r="R115" i="81"/>
  <c r="Q115" i="81"/>
  <c r="P115" i="81"/>
  <c r="U113" i="81"/>
  <c r="T113" i="81"/>
  <c r="S113" i="81"/>
  <c r="R113" i="81"/>
  <c r="Q113" i="81"/>
  <c r="P113" i="81"/>
  <c r="U99" i="81"/>
  <c r="T99" i="81"/>
  <c r="S99" i="81"/>
  <c r="R99" i="81"/>
  <c r="Q99" i="81"/>
  <c r="P99" i="81"/>
  <c r="U98" i="81"/>
  <c r="T98" i="81"/>
  <c r="S98" i="81"/>
  <c r="R98" i="81"/>
  <c r="Q98" i="81"/>
  <c r="P98" i="81"/>
  <c r="O119" i="81"/>
  <c r="O117" i="81"/>
  <c r="O113" i="81"/>
  <c r="O99" i="81"/>
  <c r="O98" i="81"/>
  <c r="U85" i="81"/>
  <c r="T85" i="81"/>
  <c r="S85" i="81"/>
  <c r="R85" i="81"/>
  <c r="Q85" i="81"/>
  <c r="P85" i="81"/>
  <c r="O85" i="81"/>
  <c r="U84" i="81"/>
  <c r="T84" i="81"/>
  <c r="S84" i="81"/>
  <c r="R84" i="81"/>
  <c r="Q84" i="81"/>
  <c r="P84" i="81"/>
  <c r="O84" i="81"/>
  <c r="U83" i="81"/>
  <c r="T83" i="81"/>
  <c r="S83" i="81"/>
  <c r="R83" i="81"/>
  <c r="P83" i="81"/>
  <c r="O83" i="81"/>
  <c r="U77" i="81"/>
  <c r="T77" i="81"/>
  <c r="S77" i="81"/>
  <c r="R77" i="81"/>
  <c r="Q77" i="81"/>
  <c r="P77" i="81"/>
  <c r="O77" i="81"/>
  <c r="U74" i="81"/>
  <c r="T74" i="81"/>
  <c r="S74" i="81"/>
  <c r="R74" i="81"/>
  <c r="Q74" i="81"/>
  <c r="P74" i="81"/>
  <c r="O74" i="81"/>
  <c r="U68" i="81"/>
  <c r="T68" i="81"/>
  <c r="S68" i="81"/>
  <c r="R68" i="81"/>
  <c r="Q68" i="81"/>
  <c r="P68" i="81"/>
  <c r="O68" i="81"/>
  <c r="U67" i="81"/>
  <c r="T67" i="81"/>
  <c r="S67" i="81"/>
  <c r="R67" i="81"/>
  <c r="Q67" i="81"/>
  <c r="P67" i="81"/>
  <c r="O67" i="81"/>
  <c r="U66" i="81"/>
  <c r="T66" i="81"/>
  <c r="S66" i="81"/>
  <c r="R66" i="81"/>
  <c r="Q66" i="81"/>
  <c r="P66" i="81"/>
  <c r="O66" i="81"/>
  <c r="U62" i="81"/>
  <c r="T62" i="81"/>
  <c r="S62" i="81"/>
  <c r="R62" i="81"/>
  <c r="Q62" i="81"/>
  <c r="P62" i="81"/>
  <c r="O62" i="81"/>
  <c r="U59" i="81"/>
  <c r="T59" i="81"/>
  <c r="S59" i="81"/>
  <c r="R59" i="81"/>
  <c r="Q59" i="81"/>
  <c r="P59" i="81"/>
  <c r="O59" i="81"/>
  <c r="U58" i="81"/>
  <c r="T58" i="81"/>
  <c r="S58" i="81"/>
  <c r="R58" i="81"/>
  <c r="Q58" i="81"/>
  <c r="P58" i="81"/>
  <c r="O58" i="81"/>
  <c r="U57" i="81"/>
  <c r="T57" i="81"/>
  <c r="S57" i="81"/>
  <c r="R57" i="81"/>
  <c r="Q57" i="81"/>
  <c r="P57" i="81"/>
  <c r="O57" i="81"/>
  <c r="U53" i="81"/>
  <c r="T53" i="81"/>
  <c r="S53" i="81"/>
  <c r="R53" i="81"/>
  <c r="Q53" i="81"/>
  <c r="P53" i="81"/>
  <c r="O53" i="81"/>
  <c r="U20" i="81"/>
  <c r="T20" i="81"/>
  <c r="S20" i="81"/>
  <c r="R20" i="81"/>
  <c r="Q20" i="81"/>
  <c r="P20" i="81"/>
  <c r="O20" i="81"/>
  <c r="U19" i="81"/>
  <c r="T19" i="81"/>
  <c r="S19" i="81"/>
  <c r="R19" i="81"/>
  <c r="Q19" i="81"/>
  <c r="P19" i="81"/>
  <c r="O19" i="81"/>
  <c r="U18" i="81"/>
  <c r="T18" i="81"/>
  <c r="S18" i="81"/>
  <c r="R18" i="81"/>
  <c r="Q18" i="81"/>
  <c r="P18" i="81"/>
  <c r="O18" i="81"/>
  <c r="U15" i="81"/>
  <c r="T15" i="81"/>
  <c r="S15" i="81"/>
  <c r="R15" i="81"/>
  <c r="Q15" i="81"/>
  <c r="P15" i="81"/>
  <c r="O15" i="81"/>
  <c r="U14" i="81"/>
  <c r="T14" i="81"/>
  <c r="S14" i="81"/>
  <c r="R14" i="81"/>
  <c r="Q14" i="81"/>
  <c r="P14" i="81"/>
  <c r="O14" i="81"/>
  <c r="U13" i="81"/>
  <c r="T13" i="81"/>
  <c r="S13" i="81"/>
  <c r="R13" i="81"/>
  <c r="Q13" i="81"/>
  <c r="P13" i="81"/>
  <c r="O13" i="81"/>
  <c r="U12" i="81"/>
  <c r="T12" i="81"/>
  <c r="S12" i="81"/>
  <c r="R12" i="81"/>
  <c r="Q12" i="81"/>
  <c r="P12" i="81"/>
  <c r="O12" i="81"/>
  <c r="U11" i="81"/>
  <c r="T11" i="81"/>
  <c r="S11" i="81"/>
  <c r="R11" i="81"/>
  <c r="Q11" i="81"/>
  <c r="P11" i="81"/>
  <c r="O11" i="81"/>
  <c r="U4" i="81"/>
  <c r="T4" i="81"/>
  <c r="S4" i="81"/>
  <c r="R4" i="81"/>
  <c r="Q4" i="81"/>
  <c r="P4" i="81"/>
  <c r="U3" i="81"/>
  <c r="T3" i="81"/>
  <c r="S3" i="81"/>
  <c r="R3" i="81"/>
  <c r="Q3" i="81"/>
  <c r="P3" i="81"/>
  <c r="U121" i="81"/>
  <c r="U120" i="81"/>
  <c r="U118" i="81"/>
  <c r="Q88" i="81"/>
  <c r="R88" i="81" s="1"/>
  <c r="S88" i="81" s="1"/>
  <c r="T88" i="81" s="1"/>
  <c r="Q81" i="81"/>
  <c r="R81" i="81" s="1"/>
  <c r="S81" i="81" s="1"/>
  <c r="T81" i="81" s="1"/>
  <c r="Q76" i="81"/>
  <c r="R76" i="81" s="1"/>
  <c r="S76" i="81" s="1"/>
  <c r="T76" i="81" s="1"/>
  <c r="Q56" i="81"/>
  <c r="R56" i="81" s="1"/>
  <c r="S56" i="81" s="1"/>
  <c r="T56" i="81" s="1"/>
  <c r="Q51" i="81"/>
  <c r="R51" i="81" s="1"/>
  <c r="S51" i="81" s="1"/>
  <c r="T51" i="81" s="1"/>
  <c r="Q47" i="81"/>
  <c r="R47" i="81" s="1"/>
  <c r="S47" i="81" s="1"/>
  <c r="T47" i="81" s="1"/>
  <c r="Q43" i="81"/>
  <c r="R43" i="81" s="1"/>
  <c r="S43" i="81" s="1"/>
  <c r="T43" i="81" s="1"/>
  <c r="Q39" i="81"/>
  <c r="R39" i="81" s="1"/>
  <c r="S39" i="81" s="1"/>
  <c r="T39" i="81" s="1"/>
  <c r="Q35" i="81"/>
  <c r="R35" i="81" s="1"/>
  <c r="S35" i="81" s="1"/>
  <c r="T35" i="81" s="1"/>
  <c r="Q31" i="81"/>
  <c r="R31" i="81" s="1"/>
  <c r="S31" i="81" s="1"/>
  <c r="T31" i="81" s="1"/>
  <c r="Q27" i="81"/>
  <c r="R27" i="81" s="1"/>
  <c r="S27" i="81" s="1"/>
  <c r="T27" i="81" s="1"/>
  <c r="Q23" i="81"/>
  <c r="R23" i="81" s="1"/>
  <c r="S23" i="81" s="1"/>
  <c r="T23" i="81" s="1"/>
  <c r="Q22" i="81"/>
  <c r="R22" i="81" s="1"/>
  <c r="S22" i="81" s="1"/>
  <c r="T22" i="81" s="1"/>
  <c r="Q21" i="81"/>
  <c r="R21" i="81" s="1"/>
  <c r="S21" i="81" s="1"/>
  <c r="T21" i="81" s="1"/>
  <c r="Q16" i="81"/>
  <c r="R16" i="81" s="1"/>
  <c r="S16" i="81" s="1"/>
  <c r="T16" i="81" s="1"/>
  <c r="Q7" i="81"/>
  <c r="R7" i="81" s="1"/>
  <c r="S7" i="81" s="1"/>
  <c r="T7" i="81" s="1"/>
  <c r="P10" i="81"/>
  <c r="Q10" i="81" s="1"/>
  <c r="R10" i="81" s="1"/>
  <c r="S10" i="81" s="1"/>
  <c r="T10" i="81" s="1"/>
  <c r="P9" i="81"/>
  <c r="Q9" i="81" s="1"/>
  <c r="R9" i="81" s="1"/>
  <c r="S9" i="81" s="1"/>
  <c r="T9" i="81" s="1"/>
  <c r="P8" i="81"/>
  <c r="Q8" i="81" s="1"/>
  <c r="R8" i="81" s="1"/>
  <c r="S8" i="81" s="1"/>
  <c r="T8" i="81" s="1"/>
  <c r="P7" i="81"/>
  <c r="P6" i="81"/>
  <c r="Q6" i="81" s="1"/>
  <c r="R6" i="81" s="1"/>
  <c r="S6" i="81" s="1"/>
  <c r="T6" i="81" s="1"/>
  <c r="Q5" i="81"/>
  <c r="R5" i="81" s="1"/>
  <c r="S5" i="81" s="1"/>
  <c r="T5" i="81" s="1"/>
  <c r="P17" i="81"/>
  <c r="Q17" i="81" s="1"/>
  <c r="R17" i="81" s="1"/>
  <c r="S17" i="81" s="1"/>
  <c r="T17" i="81" s="1"/>
  <c r="P16" i="81"/>
  <c r="P52" i="81"/>
  <c r="Q52" i="81" s="1"/>
  <c r="R52" i="81" s="1"/>
  <c r="S52" i="81" s="1"/>
  <c r="T52" i="81" s="1"/>
  <c r="P51" i="81"/>
  <c r="P50" i="81"/>
  <c r="Q50" i="81" s="1"/>
  <c r="R50" i="81" s="1"/>
  <c r="S50" i="81" s="1"/>
  <c r="T50" i="81" s="1"/>
  <c r="P49" i="81"/>
  <c r="Q49" i="81" s="1"/>
  <c r="R49" i="81" s="1"/>
  <c r="S49" i="81" s="1"/>
  <c r="T49" i="81" s="1"/>
  <c r="P48" i="81"/>
  <c r="Q48" i="81" s="1"/>
  <c r="R48" i="81" s="1"/>
  <c r="S48" i="81" s="1"/>
  <c r="T48" i="81" s="1"/>
  <c r="P47" i="81"/>
  <c r="P46" i="81"/>
  <c r="Q46" i="81" s="1"/>
  <c r="R46" i="81" s="1"/>
  <c r="S46" i="81" s="1"/>
  <c r="T46" i="81" s="1"/>
  <c r="P45" i="81"/>
  <c r="Q45" i="81" s="1"/>
  <c r="R45" i="81" s="1"/>
  <c r="S45" i="81" s="1"/>
  <c r="T45" i="81" s="1"/>
  <c r="P44" i="81"/>
  <c r="Q44" i="81" s="1"/>
  <c r="R44" i="81" s="1"/>
  <c r="S44" i="81" s="1"/>
  <c r="T44" i="81" s="1"/>
  <c r="P43" i="81"/>
  <c r="P42" i="81"/>
  <c r="Q42" i="81" s="1"/>
  <c r="R42" i="81" s="1"/>
  <c r="S42" i="81" s="1"/>
  <c r="T42" i="81" s="1"/>
  <c r="P41" i="81"/>
  <c r="Q41" i="81" s="1"/>
  <c r="R41" i="81" s="1"/>
  <c r="S41" i="81" s="1"/>
  <c r="T41" i="81" s="1"/>
  <c r="P40" i="81"/>
  <c r="Q40" i="81" s="1"/>
  <c r="R40" i="81" s="1"/>
  <c r="S40" i="81" s="1"/>
  <c r="T40" i="81" s="1"/>
  <c r="P39" i="81"/>
  <c r="P38" i="81"/>
  <c r="Q38" i="81" s="1"/>
  <c r="R38" i="81" s="1"/>
  <c r="S38" i="81" s="1"/>
  <c r="T38" i="81" s="1"/>
  <c r="P37" i="81"/>
  <c r="Q37" i="81" s="1"/>
  <c r="R37" i="81" s="1"/>
  <c r="S37" i="81" s="1"/>
  <c r="T37" i="81" s="1"/>
  <c r="P36" i="81"/>
  <c r="Q36" i="81" s="1"/>
  <c r="R36" i="81" s="1"/>
  <c r="S36" i="81" s="1"/>
  <c r="T36" i="81" s="1"/>
  <c r="P35" i="81"/>
  <c r="P34" i="81"/>
  <c r="Q34" i="81" s="1"/>
  <c r="R34" i="81" s="1"/>
  <c r="S34" i="81" s="1"/>
  <c r="T34" i="81" s="1"/>
  <c r="P33" i="81"/>
  <c r="Q33" i="81" s="1"/>
  <c r="R33" i="81" s="1"/>
  <c r="S33" i="81" s="1"/>
  <c r="T33" i="81" s="1"/>
  <c r="P32" i="81"/>
  <c r="Q32" i="81" s="1"/>
  <c r="R32" i="81" s="1"/>
  <c r="S32" i="81" s="1"/>
  <c r="T32" i="81" s="1"/>
  <c r="P31" i="81"/>
  <c r="P30" i="81"/>
  <c r="Q30" i="81" s="1"/>
  <c r="R30" i="81" s="1"/>
  <c r="S30" i="81" s="1"/>
  <c r="T30" i="81" s="1"/>
  <c r="P29" i="81"/>
  <c r="Q29" i="81" s="1"/>
  <c r="R29" i="81" s="1"/>
  <c r="S29" i="81" s="1"/>
  <c r="T29" i="81" s="1"/>
  <c r="P28" i="81"/>
  <c r="Q28" i="81" s="1"/>
  <c r="R28" i="81" s="1"/>
  <c r="S28" i="81" s="1"/>
  <c r="T28" i="81" s="1"/>
  <c r="P27" i="81"/>
  <c r="P26" i="81"/>
  <c r="Q26" i="81" s="1"/>
  <c r="R26" i="81" s="1"/>
  <c r="S26" i="81" s="1"/>
  <c r="T26" i="81" s="1"/>
  <c r="P25" i="81"/>
  <c r="Q25" i="81" s="1"/>
  <c r="R25" i="81" s="1"/>
  <c r="S25" i="81" s="1"/>
  <c r="T25" i="81" s="1"/>
  <c r="P24" i="81"/>
  <c r="Q24" i="81" s="1"/>
  <c r="R24" i="81" s="1"/>
  <c r="S24" i="81" s="1"/>
  <c r="T24" i="81" s="1"/>
  <c r="P23" i="81"/>
  <c r="P56" i="81"/>
  <c r="P55" i="81"/>
  <c r="Q55" i="81" s="1"/>
  <c r="R55" i="81" s="1"/>
  <c r="S55" i="81" s="1"/>
  <c r="T55" i="81" s="1"/>
  <c r="P54" i="81"/>
  <c r="Q54" i="81" s="1"/>
  <c r="R54" i="81" s="1"/>
  <c r="S54" i="81" s="1"/>
  <c r="T54" i="81" s="1"/>
  <c r="P61" i="81"/>
  <c r="Q61" i="81" s="1"/>
  <c r="R61" i="81" s="1"/>
  <c r="S61" i="81" s="1"/>
  <c r="T61" i="81" s="1"/>
  <c r="P60" i="81"/>
  <c r="Q60" i="81" s="1"/>
  <c r="R60" i="81" s="1"/>
  <c r="S60" i="81" s="1"/>
  <c r="T60" i="81" s="1"/>
  <c r="P65" i="81"/>
  <c r="Q65" i="81" s="1"/>
  <c r="R65" i="81" s="1"/>
  <c r="S65" i="81" s="1"/>
  <c r="T65" i="81" s="1"/>
  <c r="P64" i="81"/>
  <c r="Q64" i="81" s="1"/>
  <c r="R64" i="81" s="1"/>
  <c r="S64" i="81" s="1"/>
  <c r="T64" i="81" s="1"/>
  <c r="P63" i="81"/>
  <c r="Q63" i="81" s="1"/>
  <c r="R63" i="81" s="1"/>
  <c r="S63" i="81" s="1"/>
  <c r="T63" i="81" s="1"/>
  <c r="P73" i="81"/>
  <c r="Q73" i="81" s="1"/>
  <c r="R73" i="81" s="1"/>
  <c r="S73" i="81" s="1"/>
  <c r="T73" i="81" s="1"/>
  <c r="P72" i="81"/>
  <c r="Q72" i="81" s="1"/>
  <c r="R72" i="81" s="1"/>
  <c r="S72" i="81" s="1"/>
  <c r="T72" i="81" s="1"/>
  <c r="P71" i="81"/>
  <c r="Q71" i="81" s="1"/>
  <c r="R71" i="81" s="1"/>
  <c r="S71" i="81" s="1"/>
  <c r="T71" i="81" s="1"/>
  <c r="P70" i="81"/>
  <c r="Q70" i="81" s="1"/>
  <c r="R70" i="81" s="1"/>
  <c r="S70" i="81" s="1"/>
  <c r="T70" i="81" s="1"/>
  <c r="P69" i="81"/>
  <c r="Q69" i="81" s="1"/>
  <c r="R69" i="81" s="1"/>
  <c r="S69" i="81" s="1"/>
  <c r="T69" i="81" s="1"/>
  <c r="P76" i="81"/>
  <c r="P75" i="81"/>
  <c r="Q75" i="81" s="1"/>
  <c r="R75" i="81" s="1"/>
  <c r="S75" i="81" s="1"/>
  <c r="T75" i="81" s="1"/>
  <c r="P82" i="81"/>
  <c r="Q82" i="81" s="1"/>
  <c r="R82" i="81" s="1"/>
  <c r="S82" i="81" s="1"/>
  <c r="T82" i="81" s="1"/>
  <c r="P81" i="81"/>
  <c r="P80" i="81"/>
  <c r="Q80" i="81" s="1"/>
  <c r="R80" i="81" s="1"/>
  <c r="S80" i="81" s="1"/>
  <c r="T80" i="81" s="1"/>
  <c r="P79" i="81"/>
  <c r="Q79" i="81" s="1"/>
  <c r="R79" i="81" s="1"/>
  <c r="S79" i="81" s="1"/>
  <c r="T79" i="81" s="1"/>
  <c r="P78" i="81"/>
  <c r="Q78" i="81" s="1"/>
  <c r="R78" i="81" s="1"/>
  <c r="S78" i="81" s="1"/>
  <c r="T78" i="81" s="1"/>
  <c r="P88" i="81"/>
  <c r="P87" i="81"/>
  <c r="Q87" i="81" s="1"/>
  <c r="R87" i="81" s="1"/>
  <c r="S87" i="81" s="1"/>
  <c r="T87" i="81" s="1"/>
  <c r="P86" i="81"/>
  <c r="Q86" i="81" s="1"/>
  <c r="R86" i="81" s="1"/>
  <c r="S86" i="81" s="1"/>
  <c r="T86" i="81" s="1"/>
  <c r="P109" i="81"/>
  <c r="Q109" i="81" s="1"/>
  <c r="R109" i="81" s="1"/>
  <c r="S109" i="81" s="1"/>
  <c r="T109" i="81" s="1"/>
  <c r="P108" i="81"/>
  <c r="Q108" i="81" s="1"/>
  <c r="R108" i="81" s="1"/>
  <c r="S108" i="81" s="1"/>
  <c r="T108" i="81" s="1"/>
  <c r="P107" i="81"/>
  <c r="Q107" i="81" s="1"/>
  <c r="R107" i="81" s="1"/>
  <c r="S107" i="81" s="1"/>
  <c r="T107" i="81" s="1"/>
  <c r="P106" i="81"/>
  <c r="Q106" i="81" s="1"/>
  <c r="R106" i="81" s="1"/>
  <c r="S106" i="81" s="1"/>
  <c r="T106" i="81" s="1"/>
  <c r="P105" i="81"/>
  <c r="Q105" i="81" s="1"/>
  <c r="R105" i="81" s="1"/>
  <c r="S105" i="81" s="1"/>
  <c r="T105" i="81" s="1"/>
  <c r="P104" i="81"/>
  <c r="Q104" i="81" s="1"/>
  <c r="R104" i="81" s="1"/>
  <c r="S104" i="81" s="1"/>
  <c r="T104" i="81" s="1"/>
  <c r="P103" i="81"/>
  <c r="Q103" i="81" s="1"/>
  <c r="R103" i="81" s="1"/>
  <c r="S103" i="81" s="1"/>
  <c r="T103" i="81" s="1"/>
  <c r="P102" i="81"/>
  <c r="Q102" i="81" s="1"/>
  <c r="R102" i="81" s="1"/>
  <c r="S102" i="81" s="1"/>
  <c r="T102" i="81" s="1"/>
  <c r="P101" i="81"/>
  <c r="Q101" i="81" s="1"/>
  <c r="R101" i="81" s="1"/>
  <c r="S101" i="81" s="1"/>
  <c r="T101" i="81" s="1"/>
  <c r="P100" i="81"/>
  <c r="Q100" i="81" s="1"/>
  <c r="R100" i="81" s="1"/>
  <c r="S100" i="81" s="1"/>
  <c r="T100" i="81" s="1"/>
  <c r="P97" i="81"/>
  <c r="Q97" i="81" s="1"/>
  <c r="R97" i="81" s="1"/>
  <c r="S97" i="81" s="1"/>
  <c r="T97" i="81" s="1"/>
  <c r="P96" i="81"/>
  <c r="Q96" i="81" s="1"/>
  <c r="R96" i="81" s="1"/>
  <c r="S96" i="81" s="1"/>
  <c r="T96" i="81" s="1"/>
  <c r="P94" i="81"/>
  <c r="Q94" i="81" s="1"/>
  <c r="R94" i="81" s="1"/>
  <c r="S94" i="81" s="1"/>
  <c r="T94" i="81" s="1"/>
  <c r="P93" i="81"/>
  <c r="Q93" i="81" s="1"/>
  <c r="R93" i="81" s="1"/>
  <c r="S93" i="81" s="1"/>
  <c r="T93" i="81" s="1"/>
  <c r="U109" i="81"/>
  <c r="U108" i="81"/>
  <c r="U107" i="81"/>
  <c r="U106" i="81"/>
  <c r="U105" i="81"/>
  <c r="U104" i="81"/>
  <c r="U103" i="81"/>
  <c r="U102" i="81"/>
  <c r="U101" i="81"/>
  <c r="U100" i="81"/>
  <c r="U97" i="81"/>
  <c r="U96" i="81"/>
  <c r="U94" i="81"/>
  <c r="U93" i="81"/>
  <c r="O118" i="81"/>
  <c r="P118" i="81" s="1"/>
  <c r="Q118" i="81" s="1"/>
  <c r="R118" i="81" s="1"/>
  <c r="S118" i="81" s="1"/>
  <c r="T118" i="81" s="1"/>
  <c r="O106" i="81"/>
  <c r="O102" i="81"/>
  <c r="O96" i="81"/>
  <c r="I139" i="81"/>
  <c r="G139" i="81"/>
  <c r="G138" i="81"/>
  <c r="D132" i="81"/>
  <c r="U88" i="81"/>
  <c r="U87" i="81"/>
  <c r="U86" i="81"/>
  <c r="U82" i="81"/>
  <c r="U81" i="81"/>
  <c r="U80" i="81"/>
  <c r="U79" i="81"/>
  <c r="U78" i="81"/>
  <c r="U76" i="81"/>
  <c r="U75" i="81"/>
  <c r="U73" i="81"/>
  <c r="U72" i="81"/>
  <c r="U71" i="81"/>
  <c r="U70" i="81"/>
  <c r="U69" i="81"/>
  <c r="U65" i="81"/>
  <c r="U64" i="81"/>
  <c r="U63" i="81"/>
  <c r="U61" i="81"/>
  <c r="U60" i="81"/>
  <c r="U56" i="81"/>
  <c r="U55" i="81"/>
  <c r="U54" i="81"/>
  <c r="U52" i="81"/>
  <c r="U51" i="81"/>
  <c r="U50" i="81"/>
  <c r="U49" i="81"/>
  <c r="U48" i="81"/>
  <c r="U47" i="81"/>
  <c r="U46" i="81"/>
  <c r="U45" i="81"/>
  <c r="U44" i="81"/>
  <c r="U43" i="81"/>
  <c r="U42" i="81"/>
  <c r="U41" i="81"/>
  <c r="U40" i="81"/>
  <c r="U39" i="81"/>
  <c r="U38" i="81"/>
  <c r="U37" i="81"/>
  <c r="U36" i="81"/>
  <c r="U35" i="81"/>
  <c r="U34" i="81"/>
  <c r="U33" i="81"/>
  <c r="U32" i="81"/>
  <c r="U31" i="81"/>
  <c r="U30" i="81"/>
  <c r="U29" i="81"/>
  <c r="U28" i="81"/>
  <c r="U27" i="81"/>
  <c r="U26" i="81"/>
  <c r="U25" i="81"/>
  <c r="U24" i="81"/>
  <c r="U23" i="81"/>
  <c r="U22" i="81"/>
  <c r="U21" i="81"/>
  <c r="U17" i="81"/>
  <c r="U16" i="81"/>
  <c r="U10" i="81"/>
  <c r="U9" i="81"/>
  <c r="U8" i="81"/>
  <c r="U7" i="81"/>
  <c r="U6" i="81"/>
  <c r="U5" i="81"/>
  <c r="D124" i="81"/>
  <c r="D126" i="81" s="1"/>
  <c r="N6" i="81"/>
  <c r="N7" i="81"/>
  <c r="N8" i="81"/>
  <c r="N9" i="81"/>
  <c r="N10" i="81"/>
  <c r="I140" i="81" l="1"/>
  <c r="I141" i="81" s="1"/>
  <c r="O97" i="81"/>
  <c r="O103" i="81"/>
  <c r="O107" i="81"/>
  <c r="O120" i="81"/>
  <c r="P120" i="81" s="1"/>
  <c r="Q120" i="81" s="1"/>
  <c r="R120" i="81" s="1"/>
  <c r="S120" i="81" s="1"/>
  <c r="T120" i="81" s="1"/>
  <c r="O93" i="81"/>
  <c r="O100" i="81"/>
  <c r="O104" i="81"/>
  <c r="O108" i="81"/>
  <c r="O121" i="81"/>
  <c r="P121" i="81" s="1"/>
  <c r="Q121" i="81" s="1"/>
  <c r="R121" i="81" s="1"/>
  <c r="S121" i="81" s="1"/>
  <c r="T121" i="81" s="1"/>
  <c r="O94" i="81"/>
  <c r="O101" i="81"/>
  <c r="O105" i="81"/>
  <c r="O109" i="81"/>
  <c r="Q89" i="81"/>
  <c r="R89" i="81"/>
  <c r="O27" i="81"/>
  <c r="O6" i="81"/>
  <c r="O22" i="81"/>
  <c r="O31" i="81"/>
  <c r="O47" i="81"/>
  <c r="O71" i="81"/>
  <c r="O16" i="81"/>
  <c r="O43" i="81"/>
  <c r="O88" i="81"/>
  <c r="O7" i="81"/>
  <c r="O23" i="81"/>
  <c r="O35" i="81"/>
  <c r="O51" i="81"/>
  <c r="O76" i="81"/>
  <c r="P89" i="81"/>
  <c r="T89" i="81"/>
  <c r="O64" i="81"/>
  <c r="O10" i="81"/>
  <c r="O26" i="81"/>
  <c r="O39" i="81"/>
  <c r="O56" i="81"/>
  <c r="O81" i="81"/>
  <c r="U89" i="81"/>
  <c r="O8" i="81"/>
  <c r="O17" i="81"/>
  <c r="O24" i="81"/>
  <c r="O28" i="81"/>
  <c r="O32" i="81"/>
  <c r="O36" i="81"/>
  <c r="O40" i="81"/>
  <c r="O44" i="81"/>
  <c r="O48" i="81"/>
  <c r="O52" i="81"/>
  <c r="O60" i="81"/>
  <c r="O65" i="81"/>
  <c r="O72" i="81"/>
  <c r="O78" i="81"/>
  <c r="O82" i="81"/>
  <c r="G124" i="81"/>
  <c r="O9" i="81"/>
  <c r="O21" i="81"/>
  <c r="O25" i="81"/>
  <c r="O29" i="81"/>
  <c r="O33" i="81"/>
  <c r="O37" i="81"/>
  <c r="O41" i="81"/>
  <c r="O45" i="81"/>
  <c r="O49" i="81"/>
  <c r="O54" i="81"/>
  <c r="O61" i="81"/>
  <c r="O69" i="81"/>
  <c r="O73" i="81"/>
  <c r="O79" i="81"/>
  <c r="O86" i="81"/>
  <c r="S89" i="81"/>
  <c r="O30" i="81"/>
  <c r="O34" i="81"/>
  <c r="O38" i="81"/>
  <c r="O42" i="81"/>
  <c r="O46" i="81"/>
  <c r="O50" i="81"/>
  <c r="O55" i="81"/>
  <c r="O63" i="81"/>
  <c r="O70" i="81"/>
  <c r="O75" i="81"/>
  <c r="O80" i="81"/>
  <c r="O87" i="81"/>
  <c r="O89" i="81" l="1"/>
  <c r="D130" i="81" s="1"/>
  <c r="D131" i="81" s="1"/>
  <c r="K14" i="3" l="1"/>
  <c r="I13" i="3"/>
  <c r="N6" i="1" l="1"/>
  <c r="N7" i="1"/>
  <c r="G62" i="85"/>
  <c r="G63" i="85"/>
  <c r="M63" i="85" s="1"/>
  <c r="N63" i="85" s="1"/>
  <c r="G64" i="85"/>
  <c r="M64" i="85" s="1"/>
  <c r="N64" i="85" s="1"/>
  <c r="G65" i="85"/>
  <c r="M65" i="85" s="1"/>
  <c r="N65" i="85" s="1"/>
  <c r="G66" i="85"/>
  <c r="G67" i="85"/>
  <c r="G68" i="85"/>
  <c r="G69" i="85"/>
  <c r="M69" i="85" s="1"/>
  <c r="N69" i="85" s="1"/>
  <c r="G61" i="85"/>
  <c r="D33"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B101" i="85"/>
  <c r="N100" i="85"/>
  <c r="M100" i="85"/>
  <c r="K100" i="85"/>
  <c r="J100" i="85" s="1"/>
  <c r="D100" i="85"/>
  <c r="B100" i="85"/>
  <c r="M99" i="85"/>
  <c r="N99" i="85" s="1"/>
  <c r="K99" i="85"/>
  <c r="J99" i="85" s="1"/>
  <c r="D99" i="85"/>
  <c r="B99" i="85"/>
  <c r="N98" i="85"/>
  <c r="M98" i="85"/>
  <c r="K98" i="85"/>
  <c r="J98" i="85"/>
  <c r="D98" i="85"/>
  <c r="E93" i="85" s="1"/>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101" i="85" s="1"/>
  <c r="D93" i="85"/>
  <c r="B91"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8" i="85" s="1"/>
  <c r="D83" i="85"/>
  <c r="E83" i="85" s="1"/>
  <c r="B81" i="85" s="1"/>
  <c r="B83" i="85"/>
  <c r="M80" i="85"/>
  <c r="N80" i="85" s="1"/>
  <c r="K80" i="85"/>
  <c r="J80" i="85"/>
  <c r="D80" i="85"/>
  <c r="M79" i="85"/>
  <c r="N79" i="85" s="1"/>
  <c r="K79" i="85"/>
  <c r="J79" i="85"/>
  <c r="D79" i="85"/>
  <c r="B79" i="85"/>
  <c r="N78" i="85"/>
  <c r="M78" i="85"/>
  <c r="K78" i="85"/>
  <c r="J78" i="85" s="1"/>
  <c r="D78" i="85"/>
  <c r="N77" i="85"/>
  <c r="M77" i="85"/>
  <c r="K77" i="85"/>
  <c r="J77" i="85" s="1"/>
  <c r="D77" i="85"/>
  <c r="B77" i="85"/>
  <c r="M76" i="85"/>
  <c r="N76" i="85" s="1"/>
  <c r="K76" i="85"/>
  <c r="J76" i="85"/>
  <c r="D76" i="85"/>
  <c r="B76" i="85"/>
  <c r="N75" i="85"/>
  <c r="M75" i="85"/>
  <c r="K75" i="85"/>
  <c r="J75" i="85" s="1"/>
  <c r="D75" i="85"/>
  <c r="B75" i="85"/>
  <c r="M74" i="85"/>
  <c r="N74" i="85" s="1"/>
  <c r="K74" i="85"/>
  <c r="J74" i="85"/>
  <c r="D74" i="85"/>
  <c r="B74" i="85"/>
  <c r="N73" i="85"/>
  <c r="M73" i="85"/>
  <c r="K73" i="85"/>
  <c r="J73" i="85" s="1"/>
  <c r="H73" i="85"/>
  <c r="D73" i="85"/>
  <c r="B73" i="85"/>
  <c r="M72" i="85"/>
  <c r="N72" i="85" s="1"/>
  <c r="K72" i="85"/>
  <c r="J72" i="85"/>
  <c r="F72" i="85"/>
  <c r="H75" i="85" s="1"/>
  <c r="D72" i="85"/>
  <c r="E72" i="85" s="1"/>
  <c r="B70" i="85" s="1"/>
  <c r="B72" i="85"/>
  <c r="B69" i="85"/>
  <c r="M68" i="85"/>
  <c r="N68" i="85" s="1"/>
  <c r="K68" i="85"/>
  <c r="J68" i="85" s="1"/>
  <c r="B68" i="85"/>
  <c r="M67" i="85"/>
  <c r="N67" i="85" s="1"/>
  <c r="K67" i="85"/>
  <c r="J67" i="85" s="1"/>
  <c r="B67" i="85"/>
  <c r="N66" i="85"/>
  <c r="M66" i="85"/>
  <c r="K66" i="85"/>
  <c r="J66" i="85" s="1"/>
  <c r="D66" i="85"/>
  <c r="D65" i="85"/>
  <c r="B65" i="85"/>
  <c r="K63" i="85"/>
  <c r="J63" i="85"/>
  <c r="D63" i="85"/>
  <c r="B63" i="85"/>
  <c r="M62" i="85"/>
  <c r="N62" i="85" s="1"/>
  <c r="K62" i="85"/>
  <c r="J62" i="85" s="1"/>
  <c r="B62" i="85"/>
  <c r="M61" i="85"/>
  <c r="N61" i="85" s="1"/>
  <c r="K61" i="85"/>
  <c r="J61" i="85" s="1"/>
  <c r="D61" i="85"/>
  <c r="B61" i="85"/>
  <c r="B58" i="85"/>
  <c r="B57" i="85"/>
  <c r="B56" i="85"/>
  <c r="D54" i="85"/>
  <c r="B54" i="85"/>
  <c r="B52" i="85"/>
  <c r="B51" i="85"/>
  <c r="D50" i="85"/>
  <c r="B50" i="85"/>
  <c r="E44" i="85"/>
  <c r="C44" i="85" s="1"/>
  <c r="H42" i="85"/>
  <c r="H41" i="85"/>
  <c r="H40" i="85"/>
  <c r="H39" i="85"/>
  <c r="H38" i="85"/>
  <c r="H37" i="85"/>
  <c r="M32" i="85"/>
  <c r="J24" i="85"/>
  <c r="G24" i="85"/>
  <c r="E24" i="85"/>
  <c r="M23" i="85"/>
  <c r="I23" i="85"/>
  <c r="C22" i="85"/>
  <c r="L21" i="85"/>
  <c r="C20" i="85"/>
  <c r="G18" i="85"/>
  <c r="G17" i="85"/>
  <c r="C17" i="85"/>
  <c r="C13" i="85"/>
  <c r="M12" i="85"/>
  <c r="E11" i="85"/>
  <c r="C11" i="85"/>
  <c r="E10" i="85" s="1"/>
  <c r="AH10" i="85"/>
  <c r="AG10" i="85"/>
  <c r="AD10" i="85"/>
  <c r="AC10" i="85"/>
  <c r="Z10" i="85"/>
  <c r="Y10" i="85"/>
  <c r="C10" i="85"/>
  <c r="AJ9" i="85"/>
  <c r="AJ10" i="85" s="1"/>
  <c r="AI9" i="85"/>
  <c r="AI10" i="85" s="1"/>
  <c r="AH9" i="85"/>
  <c r="AG9" i="85"/>
  <c r="AF9" i="85"/>
  <c r="AF10" i="85" s="1"/>
  <c r="AE9" i="85"/>
  <c r="AE10" i="85" s="1"/>
  <c r="AD9" i="85"/>
  <c r="AC9" i="85"/>
  <c r="AB9" i="85"/>
  <c r="AB10" i="85" s="1"/>
  <c r="AA9" i="85"/>
  <c r="AA10" i="85" s="1"/>
  <c r="Z9" i="85"/>
  <c r="N9" i="85"/>
  <c r="C9" i="85"/>
  <c r="E8" i="85"/>
  <c r="C7" i="85"/>
  <c r="M6" i="85"/>
  <c r="U4" i="85"/>
  <c r="S4" i="85"/>
  <c r="U3" i="85"/>
  <c r="M3" i="85"/>
  <c r="U2" i="85"/>
  <c r="M2" i="85"/>
  <c r="I2" i="85"/>
  <c r="N12" i="85" s="1"/>
  <c r="G2" i="85"/>
  <c r="M21" i="85" s="1"/>
  <c r="M1" i="85"/>
  <c r="D1" i="85"/>
  <c r="U3" i="43"/>
  <c r="U4" i="43"/>
  <c r="U2" i="43"/>
  <c r="G51" i="43"/>
  <c r="G52" i="43"/>
  <c r="G53" i="43"/>
  <c r="G54" i="43"/>
  <c r="G55" i="43"/>
  <c r="G56" i="43"/>
  <c r="G57" i="43"/>
  <c r="G58" i="43"/>
  <c r="G50" i="43"/>
  <c r="Q72" i="82"/>
  <c r="Q59" i="82"/>
  <c r="K59" i="82"/>
  <c r="P74" i="82" s="1"/>
  <c r="F59" i="82"/>
  <c r="Q58" i="82"/>
  <c r="Q51" i="82"/>
  <c r="J50" i="82"/>
  <c r="M47" i="82"/>
  <c r="D46" i="82"/>
  <c r="F34" i="82"/>
  <c r="F62" i="82" s="1"/>
  <c r="F33" i="82"/>
  <c r="F61" i="82" s="1"/>
  <c r="F32" i="82"/>
  <c r="F60" i="82" s="1"/>
  <c r="F31" i="82"/>
  <c r="F28" i="82"/>
  <c r="F23" i="82"/>
  <c r="D24" i="82" s="1"/>
  <c r="F21" i="82"/>
  <c r="M20" i="82"/>
  <c r="F20" i="82"/>
  <c r="M19" i="82"/>
  <c r="M18" i="82"/>
  <c r="F18" i="82"/>
  <c r="M17" i="82"/>
  <c r="F17" i="82"/>
  <c r="F15" i="82"/>
  <c r="G1" i="82"/>
  <c r="Y6" i="1"/>
  <c r="Y7" i="1" s="1"/>
  <c r="M24" i="82"/>
  <c r="F40" i="82"/>
  <c r="L47" i="82"/>
  <c r="C76" i="82"/>
  <c r="F8" i="82"/>
  <c r="D22" i="82" l="1"/>
  <c r="D23" i="82"/>
  <c r="K64" i="85"/>
  <c r="K65" i="85"/>
  <c r="J65" i="85" s="1"/>
  <c r="D67" i="85"/>
  <c r="K69" i="85"/>
  <c r="J69" i="85" s="1"/>
  <c r="D69" i="85" s="1"/>
  <c r="D62" i="85"/>
  <c r="D68" i="85"/>
  <c r="H86" i="85"/>
  <c r="N1" i="85"/>
  <c r="N2" i="85"/>
  <c r="N3" i="85"/>
  <c r="F61" i="85" s="1"/>
  <c r="N6" i="85"/>
  <c r="M8" i="85"/>
  <c r="M10" i="85"/>
  <c r="I18" i="85"/>
  <c r="E17" i="85" s="1"/>
  <c r="M5" i="85"/>
  <c r="N8" i="85"/>
  <c r="N10" i="85"/>
  <c r="C21" i="85"/>
  <c r="H95" i="85"/>
  <c r="M4" i="85"/>
  <c r="S5" i="85"/>
  <c r="M7" i="85"/>
  <c r="M11" i="85"/>
  <c r="H21" i="85"/>
  <c r="H89" i="85"/>
  <c r="H93" i="85"/>
  <c r="H96" i="85"/>
  <c r="X7" i="85"/>
  <c r="D21" i="85"/>
  <c r="I21" i="85"/>
  <c r="P32" i="85"/>
  <c r="N32" i="85"/>
  <c r="O32" i="85"/>
  <c r="H116" i="85"/>
  <c r="F50" i="85"/>
  <c r="F41" i="85"/>
  <c r="F39" i="85"/>
  <c r="F42" i="85"/>
  <c r="F40" i="85"/>
  <c r="F38" i="85"/>
  <c r="F37" i="85"/>
  <c r="C27" i="85"/>
  <c r="S2" i="85"/>
  <c r="S3" i="85"/>
  <c r="S6" i="85"/>
  <c r="E9" i="85"/>
  <c r="N4" i="85"/>
  <c r="N5" i="85"/>
  <c r="C6" i="85"/>
  <c r="N7" i="85"/>
  <c r="M9" i="85"/>
  <c r="N11" i="85"/>
  <c r="E21" i="85"/>
  <c r="J21" i="85"/>
  <c r="N21" i="85"/>
  <c r="Q32" i="85"/>
  <c r="H77" i="85"/>
  <c r="H80" i="85"/>
  <c r="H74" i="85"/>
  <c r="H79" i="85"/>
  <c r="H76" i="85"/>
  <c r="H72" i="85"/>
  <c r="H78" i="85"/>
  <c r="K21" i="85"/>
  <c r="O21" i="85"/>
  <c r="H83" i="85"/>
  <c r="H87" i="85"/>
  <c r="H90" i="85"/>
  <c r="H94" i="85"/>
  <c r="H97" i="85"/>
  <c r="H100" i="85"/>
  <c r="H99" i="85"/>
  <c r="H85" i="85"/>
  <c r="H98" i="85"/>
  <c r="H84" i="85"/>
  <c r="Q71" i="82"/>
  <c r="F51" i="82"/>
  <c r="F68" i="82"/>
  <c r="P61" i="82"/>
  <c r="F20" i="6"/>
  <c r="F19" i="6"/>
  <c r="C51" i="34" s="1"/>
  <c r="C20" i="6"/>
  <c r="C19" i="6"/>
  <c r="A3" i="3"/>
  <c r="N121" i="81"/>
  <c r="N87" i="81"/>
  <c r="N86" i="81"/>
  <c r="N109" i="81"/>
  <c r="N103" i="81"/>
  <c r="N94" i="81"/>
  <c r="N96" i="81"/>
  <c r="N88" i="81"/>
  <c r="N97" i="81"/>
  <c r="N100" i="81"/>
  <c r="N101" i="81"/>
  <c r="N102" i="81"/>
  <c r="N104" i="81"/>
  <c r="N105" i="81"/>
  <c r="N106" i="81"/>
  <c r="N107" i="81"/>
  <c r="N108" i="81"/>
  <c r="N118" i="81"/>
  <c r="N120" i="81"/>
  <c r="N93" i="81"/>
  <c r="N16" i="81"/>
  <c r="N17" i="81"/>
  <c r="N21" i="81"/>
  <c r="N22" i="81"/>
  <c r="N23" i="81"/>
  <c r="N24" i="81"/>
  <c r="N25" i="81"/>
  <c r="N26" i="81"/>
  <c r="N27" i="81"/>
  <c r="N28" i="81"/>
  <c r="N29" i="81"/>
  <c r="N30" i="81"/>
  <c r="N31" i="81"/>
  <c r="N32" i="81"/>
  <c r="N33" i="81"/>
  <c r="N34" i="81"/>
  <c r="N35" i="81"/>
  <c r="N36" i="81"/>
  <c r="N38" i="81"/>
  <c r="N39" i="81"/>
  <c r="N40" i="81"/>
  <c r="N41" i="81"/>
  <c r="N42" i="81"/>
  <c r="N43" i="81"/>
  <c r="N44" i="81"/>
  <c r="N45" i="81"/>
  <c r="N46" i="81"/>
  <c r="N47" i="81"/>
  <c r="N48" i="81"/>
  <c r="N49" i="81"/>
  <c r="N50" i="81"/>
  <c r="N51" i="81"/>
  <c r="N52" i="81"/>
  <c r="N54" i="81"/>
  <c r="N55" i="81"/>
  <c r="N56" i="81"/>
  <c r="N60" i="81"/>
  <c r="N61" i="81"/>
  <c r="N63" i="81"/>
  <c r="N64" i="81"/>
  <c r="N65" i="81"/>
  <c r="N69" i="81"/>
  <c r="N70" i="81"/>
  <c r="N71" i="81"/>
  <c r="N72" i="81"/>
  <c r="N73" i="81"/>
  <c r="N75" i="81"/>
  <c r="N76" i="81"/>
  <c r="N78" i="81"/>
  <c r="N79" i="81"/>
  <c r="N80" i="81"/>
  <c r="N81" i="81"/>
  <c r="N82" i="81"/>
  <c r="B21" i="80"/>
  <c r="G14" i="73"/>
  <c r="F14" i="73"/>
  <c r="E14" i="73"/>
  <c r="M8" i="82"/>
  <c r="F26" i="82"/>
  <c r="F13" i="82"/>
  <c r="F9" i="82"/>
  <c r="F37" i="82"/>
  <c r="M23" i="82"/>
  <c r="M28" i="82"/>
  <c r="F6" i="82"/>
  <c r="F38" i="82"/>
  <c r="M22" i="82"/>
  <c r="M9" i="82"/>
  <c r="F36" i="82"/>
  <c r="J15" i="82"/>
  <c r="M26" i="82"/>
  <c r="F16" i="82"/>
  <c r="F42" i="82"/>
  <c r="M6" i="82"/>
  <c r="J64" i="85" l="1"/>
  <c r="D64" i="85"/>
  <c r="E61" i="85" s="1"/>
  <c r="B59" i="85" s="1"/>
  <c r="H62" i="85"/>
  <c r="H66" i="85"/>
  <c r="H63" i="85"/>
  <c r="H65" i="85"/>
  <c r="H64" i="85"/>
  <c r="H61" i="85"/>
  <c r="H67" i="85"/>
  <c r="H68" i="85"/>
  <c r="H69" i="85"/>
  <c r="G21" i="85"/>
  <c r="D5" i="85"/>
  <c r="C5" i="85"/>
  <c r="H58" i="85"/>
  <c r="G58" i="85" s="1"/>
  <c r="H57" i="85"/>
  <c r="G57" i="85" s="1"/>
  <c r="H56" i="85"/>
  <c r="G56" i="85" s="1"/>
  <c r="H55" i="85"/>
  <c r="G55" i="85" s="1"/>
  <c r="H52" i="85"/>
  <c r="G52" i="85" s="1"/>
  <c r="H51" i="85"/>
  <c r="G51" i="85" s="1"/>
  <c r="H50" i="85"/>
  <c r="G50" i="85" s="1"/>
  <c r="H54" i="85"/>
  <c r="G54" i="85" s="1"/>
  <c r="H53" i="85"/>
  <c r="G53" i="85" s="1"/>
  <c r="F64" i="82"/>
  <c r="F65" i="82"/>
  <c r="F66" i="82"/>
  <c r="C27"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K51" i="85" l="1"/>
  <c r="M51" i="85"/>
  <c r="N51" i="85" s="1"/>
  <c r="K57" i="85"/>
  <c r="M57" i="85"/>
  <c r="N57" i="85" s="1"/>
  <c r="M53" i="85"/>
  <c r="N53" i="85" s="1"/>
  <c r="K53" i="85"/>
  <c r="K52" i="85"/>
  <c r="M52" i="85"/>
  <c r="N52" i="85" s="1"/>
  <c r="K58" i="85"/>
  <c r="J58" i="85" s="1"/>
  <c r="D58" i="85" s="1"/>
  <c r="M58" i="85"/>
  <c r="N58" i="85" s="1"/>
  <c r="M54" i="85"/>
  <c r="N54" i="85" s="1"/>
  <c r="K54" i="85"/>
  <c r="J54" i="85" s="1"/>
  <c r="K55" i="85"/>
  <c r="M55" i="85"/>
  <c r="N55" i="85" s="1"/>
  <c r="K50" i="85"/>
  <c r="J50" i="85" s="1"/>
  <c r="M50" i="85"/>
  <c r="N50" i="85" s="1"/>
  <c r="K56" i="85"/>
  <c r="M56" i="85"/>
  <c r="N56" i="85" s="1"/>
  <c r="G15" i="73"/>
  <c r="F15" i="73"/>
  <c r="E15" i="73"/>
  <c r="G16" i="73"/>
  <c r="F16" i="73"/>
  <c r="E16" i="73"/>
  <c r="D56" i="85" l="1"/>
  <c r="J56" i="85"/>
  <c r="D52" i="85"/>
  <c r="J52" i="85"/>
  <c r="D57" i="85"/>
  <c r="J57" i="85"/>
  <c r="D55" i="85"/>
  <c r="J55" i="85"/>
  <c r="J53" i="85"/>
  <c r="D53" i="85"/>
  <c r="D51" i="85"/>
  <c r="E50" i="85" s="1"/>
  <c r="B48" i="85" s="1"/>
  <c r="C28" i="85" s="1"/>
  <c r="J51" i="85"/>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G83" i="21" s="1"/>
  <c r="H1" i="69"/>
  <c r="U25" i="40"/>
  <c r="W18" i="36"/>
  <c r="S21" i="37"/>
  <c r="U21" i="34"/>
  <c r="S21" i="33"/>
  <c r="AC18" i="35"/>
  <c r="W18" i="35"/>
  <c r="J21" i="37"/>
  <c r="W21" i="37" s="1"/>
  <c r="J21" i="34"/>
  <c r="W21" i="34" s="1"/>
  <c r="J21" i="33"/>
  <c r="W21" i="33" s="1"/>
  <c r="H21" i="21"/>
  <c r="U21" i="21" s="1"/>
  <c r="F38" i="69"/>
  <c r="E37" i="69"/>
  <c r="F36" i="69"/>
  <c r="F35" i="69"/>
  <c r="F21" i="69"/>
  <c r="F20" i="69"/>
  <c r="F39" i="69" s="1"/>
  <c r="E10" i="69"/>
  <c r="E9"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D51" i="43" s="1"/>
  <c r="J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I24" i="85" s="1"/>
  <c r="C24" i="85"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5" i="3" s="1"/>
  <c r="BO15" i="3"/>
  <c r="BO16" i="3"/>
  <c r="BO17" i="3"/>
  <c r="BN13" i="3"/>
  <c r="BL13" i="3" s="1"/>
  <c r="BN14" i="3"/>
  <c r="BN15" i="3"/>
  <c r="BN16" i="3"/>
  <c r="BL16" i="3" s="1"/>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E5" i="6" s="1"/>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s="1"/>
  <c r="F62" i="36" s="1"/>
  <c r="G62" i="36" s="1"/>
  <c r="B59" i="36"/>
  <c r="B57" i="36"/>
  <c r="F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s="1"/>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F46" i="34" s="1"/>
  <c r="B127" i="34"/>
  <c r="B99" i="34"/>
  <c r="B97" i="34"/>
  <c r="J31" i="34" s="1"/>
  <c r="AC31" i="34" s="1"/>
  <c r="B95" i="34"/>
  <c r="B93" i="34"/>
  <c r="J29" i="34" s="1"/>
  <c r="B75" i="34"/>
  <c r="B73" i="34"/>
  <c r="B71" i="34"/>
  <c r="B130" i="33"/>
  <c r="B128" i="33"/>
  <c r="B126" i="33"/>
  <c r="B98" i="33"/>
  <c r="B96" i="33"/>
  <c r="B94" i="33"/>
  <c r="B74" i="33"/>
  <c r="B72" i="33"/>
  <c r="B70" i="33"/>
  <c r="J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s="1"/>
  <c r="Q12" i="34"/>
  <c r="Z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J46" i="21" s="1"/>
  <c r="B128" i="21"/>
  <c r="J45" i="21"/>
  <c r="W45" i="21" s="1"/>
  <c r="B126" i="21"/>
  <c r="B98" i="21"/>
  <c r="H31" i="21" s="1"/>
  <c r="B96" i="21"/>
  <c r="B94" i="21"/>
  <c r="J29" i="21"/>
  <c r="AC29" i="21" s="1"/>
  <c r="B92" i="21"/>
  <c r="J28" i="21" s="1"/>
  <c r="W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s="1"/>
  <c r="J45" i="39"/>
  <c r="W45" i="39" s="1"/>
  <c r="H36" i="39"/>
  <c r="AB36" i="39" s="1"/>
  <c r="J35" i="39"/>
  <c r="AC35" i="39" s="1"/>
  <c r="F35" i="39"/>
  <c r="AA35" i="39"/>
  <c r="U9" i="39"/>
  <c r="W40" i="39"/>
  <c r="U30" i="37"/>
  <c r="W31" i="37"/>
  <c r="E103" i="37"/>
  <c r="F103" i="37"/>
  <c r="G103" i="37" s="1"/>
  <c r="H103" i="37" s="1"/>
  <c r="I103" i="37" s="1"/>
  <c r="J103" i="37" s="1"/>
  <c r="K103" i="37" s="1"/>
  <c r="L103" i="37" s="1"/>
  <c r="M103" i="37" s="1"/>
  <c r="F29" i="36"/>
  <c r="AA29" i="36" s="1"/>
  <c r="F16" i="36"/>
  <c r="AA16" i="36" s="1"/>
  <c r="W28" i="36"/>
  <c r="H22" i="35"/>
  <c r="AB22" i="35"/>
  <c r="AC27" i="35"/>
  <c r="W28" i="35"/>
  <c r="U31" i="35"/>
  <c r="W22" i="35"/>
  <c r="S31" i="35"/>
  <c r="U34" i="35"/>
  <c r="F36" i="34"/>
  <c r="S36" i="34" s="1"/>
  <c r="J35" i="34"/>
  <c r="AC35" i="34" s="1"/>
  <c r="H39" i="33"/>
  <c r="AB39" i="33"/>
  <c r="U33" i="33"/>
  <c r="U35" i="33"/>
  <c r="S40" i="33"/>
  <c r="W33" i="33"/>
  <c r="W39" i="33"/>
  <c r="H39" i="37"/>
  <c r="AB39" i="37" s="1"/>
  <c r="S27" i="35"/>
  <c r="F11" i="40"/>
  <c r="AA11" i="40"/>
  <c r="H11" i="40"/>
  <c r="AB11" i="40" s="1"/>
  <c r="W8" i="40"/>
  <c r="AB39" i="40"/>
  <c r="AA9" i="40"/>
  <c r="U9" i="40"/>
  <c r="S34" i="40"/>
  <c r="U38"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J23" i="40"/>
  <c r="AC23" i="40"/>
  <c r="F21" i="40"/>
  <c r="AA21" i="40" s="1"/>
  <c r="J21" i="40"/>
  <c r="W21" i="40"/>
  <c r="H42" i="39"/>
  <c r="AB42" i="39" s="1"/>
  <c r="J34" i="39"/>
  <c r="AC34" i="39" s="1"/>
  <c r="J31" i="39"/>
  <c r="W31" i="39" s="1"/>
  <c r="F100" i="39"/>
  <c r="H27" i="39"/>
  <c r="U27" i="39" s="1"/>
  <c r="J19" i="39"/>
  <c r="AC19" i="39" s="1"/>
  <c r="J27" i="39"/>
  <c r="AC27" i="39" s="1"/>
  <c r="F27" i="39"/>
  <c r="S27" i="39" s="1"/>
  <c r="F11" i="21"/>
  <c r="S11" i="21" s="1"/>
  <c r="S40" i="21"/>
  <c r="U34" i="21"/>
  <c r="C25" i="39"/>
  <c r="H32" i="33"/>
  <c r="AB32" i="33"/>
  <c r="H11" i="21"/>
  <c r="U11" i="21" s="1"/>
  <c r="J11" i="21"/>
  <c r="W11" i="21" s="1"/>
  <c r="H37" i="40"/>
  <c r="U37" i="40"/>
  <c r="H36" i="40"/>
  <c r="AB36" i="40" s="1"/>
  <c r="F35" i="40"/>
  <c r="AA35" i="40"/>
  <c r="H23" i="40"/>
  <c r="AB23" i="40" s="1"/>
  <c r="H17" i="40"/>
  <c r="U17" i="40" s="1"/>
  <c r="J15" i="40"/>
  <c r="W15" i="40" s="1"/>
  <c r="J11" i="40"/>
  <c r="W11" i="40"/>
  <c r="AB12" i="35"/>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H17" i="34"/>
  <c r="U17" i="34" s="1"/>
  <c r="F15" i="34"/>
  <c r="AA15" i="34" s="1"/>
  <c r="J15" i="34"/>
  <c r="W15" i="34" s="1"/>
  <c r="H15" i="34"/>
  <c r="AB15" i="34" s="1"/>
  <c r="J28" i="34"/>
  <c r="W28" i="34" s="1"/>
  <c r="F41" i="33"/>
  <c r="AA41" i="33"/>
  <c r="S38" i="33"/>
  <c r="E113"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C43" i="34" s="1"/>
  <c r="J40" i="34"/>
  <c r="AC40"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AC44" i="34" s="1"/>
  <c r="F44" i="34"/>
  <c r="S44" i="34" s="1"/>
  <c r="J10" i="35"/>
  <c r="AC10" i="35" s="1"/>
  <c r="J14" i="21"/>
  <c r="W14" i="21"/>
  <c r="F14" i="21"/>
  <c r="S14" i="21" s="1"/>
  <c r="H14" i="21"/>
  <c r="U14" i="21" s="1"/>
  <c r="H28" i="21"/>
  <c r="AB28" i="21" s="1"/>
  <c r="F28" i="21"/>
  <c r="AA28" i="21"/>
  <c r="H30" i="21"/>
  <c r="U30" i="21"/>
  <c r="F30" i="21"/>
  <c r="S30" i="21" s="1"/>
  <c r="J30" i="21"/>
  <c r="AC30" i="21"/>
  <c r="J44" i="21"/>
  <c r="AC44" i="21" s="1"/>
  <c r="H44" i="21"/>
  <c r="U44" i="21" s="1"/>
  <c r="F44" i="21"/>
  <c r="AA44" i="21" s="1"/>
  <c r="H46" i="21"/>
  <c r="U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s="1"/>
  <c r="H14" i="34"/>
  <c r="H30" i="34"/>
  <c r="U30" i="34" s="1"/>
  <c r="F30" i="34"/>
  <c r="S30" i="34" s="1"/>
  <c r="J30" i="34"/>
  <c r="H32" i="34"/>
  <c r="U32" i="34" s="1"/>
  <c r="F32" i="34"/>
  <c r="J32" i="34"/>
  <c r="W32" i="34" s="1"/>
  <c r="H46" i="34"/>
  <c r="AB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H31" i="34"/>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AB26" i="33"/>
  <c r="AB30" i="21"/>
  <c r="S11" i="36"/>
  <c r="AA14"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W23" i="35"/>
  <c r="U39" i="37"/>
  <c r="U26" i="37"/>
  <c r="AA13" i="33"/>
  <c r="AC31" i="33"/>
  <c r="AC45" i="33"/>
  <c r="U11" i="33"/>
  <c r="U19" i="21"/>
  <c r="W44"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H31" i="37"/>
  <c r="J15" i="37"/>
  <c r="W15" i="37"/>
  <c r="AT6" i="3"/>
  <c r="AA25" i="21"/>
  <c r="H19" i="40"/>
  <c r="U19" i="40" s="1"/>
  <c r="F88" i="40"/>
  <c r="G88" i="40" s="1"/>
  <c r="F19" i="40"/>
  <c r="S19" i="40" s="1"/>
  <c r="S14" i="40"/>
  <c r="AC13" i="40"/>
  <c r="AB33" i="40"/>
  <c r="AC43" i="39"/>
  <c r="W43" i="39"/>
  <c r="U45" i="39"/>
  <c r="AB45" i="39"/>
  <c r="G100" i="39"/>
  <c r="H37" i="39"/>
  <c r="AB37" i="39"/>
  <c r="AC37" i="39"/>
  <c r="W37" i="39"/>
  <c r="H25" i="39"/>
  <c r="AB25" i="39" s="1"/>
  <c r="J25" i="39"/>
  <c r="W25" i="39" s="1"/>
  <c r="F25" i="39"/>
  <c r="AA25" i="39" s="1"/>
  <c r="F15" i="39"/>
  <c r="AA15" i="39" s="1"/>
  <c r="H15" i="39"/>
  <c r="U15" i="39" s="1"/>
  <c r="J15" i="39"/>
  <c r="W15" i="39" s="1"/>
  <c r="H41" i="39"/>
  <c r="AB34" i="39"/>
  <c r="W9" i="39"/>
  <c r="W8" i="39"/>
  <c r="J19" i="40"/>
  <c r="J50" i="40"/>
  <c r="H103" i="9"/>
  <c r="D8" i="53" s="1"/>
  <c r="B16" i="53"/>
  <c r="B33" i="72" s="1"/>
  <c r="C7" i="37"/>
  <c r="C52" i="37" s="1"/>
  <c r="D52" i="37" s="1"/>
  <c r="W35" i="40"/>
  <c r="A118" i="9"/>
  <c r="A4" i="52"/>
  <c r="B41" i="72" s="1"/>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c r="G197" i="3"/>
  <c r="BA199" i="3"/>
  <c r="BL200" i="3"/>
  <c r="G201" i="3"/>
  <c r="BA203" i="3"/>
  <c r="BL204" i="3"/>
  <c r="AZ47" i="3"/>
  <c r="AZ67" i="3"/>
  <c r="AZ79" i="3"/>
  <c r="AZ152"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4" i="3"/>
  <c r="G342" i="3"/>
  <c r="BL345" i="3"/>
  <c r="G346" i="3"/>
  <c r="BL349" i="3"/>
  <c r="BL352" i="3"/>
  <c r="G353" i="3"/>
  <c r="BA357" i="3"/>
  <c r="AZ357" i="3" s="1"/>
  <c r="BL358" i="3"/>
  <c r="G359" i="3"/>
  <c r="BA361" i="3"/>
  <c r="AZ361" i="3"/>
  <c r="BL362" i="3"/>
  <c r="AZ362" i="3" s="1"/>
  <c r="G363" i="3"/>
  <c r="BA365" i="3"/>
  <c r="AZ365" i="3"/>
  <c r="BL366" i="3"/>
  <c r="G367" i="3"/>
  <c r="BA369" i="3"/>
  <c r="AZ369" i="3"/>
  <c r="BL370" i="3"/>
  <c r="G371" i="3"/>
  <c r="BA373" i="3"/>
  <c r="AZ373" i="3"/>
  <c r="BL374" i="3"/>
  <c r="AZ374" i="3" s="1"/>
  <c r="G375" i="3"/>
  <c r="BA377" i="3"/>
  <c r="AZ377" i="3"/>
  <c r="AZ233" i="3"/>
  <c r="BA379" i="3"/>
  <c r="AZ379" i="3" s="1"/>
  <c r="BL380" i="3"/>
  <c r="G381" i="3"/>
  <c r="BA383" i="3"/>
  <c r="AZ383" i="3" s="1"/>
  <c r="BL384" i="3"/>
  <c r="G385" i="3"/>
  <c r="BA387" i="3"/>
  <c r="AZ387" i="3" s="1"/>
  <c r="BL388" i="3"/>
  <c r="AZ388" i="3" s="1"/>
  <c r="G389" i="3"/>
  <c r="BA391" i="3"/>
  <c r="BL392" i="3"/>
  <c r="AZ392" i="3" s="1"/>
  <c r="G393" i="3"/>
  <c r="BD5" i="3"/>
  <c r="AZ325" i="3"/>
  <c r="AZ496" i="3"/>
  <c r="G548" i="3"/>
  <c r="G538" i="3"/>
  <c r="G520" i="3"/>
  <c r="G502" i="3"/>
  <c r="BS5" i="3"/>
  <c r="BP5" i="3"/>
  <c r="BI5" i="3"/>
  <c r="BG5" i="3"/>
  <c r="BE5" i="3"/>
  <c r="G17" i="3"/>
  <c r="BA17" i="3"/>
  <c r="BT5" i="3"/>
  <c r="AZ368" i="3"/>
  <c r="BA15" i="3"/>
  <c r="BR5" i="3"/>
  <c r="AZ499" i="3"/>
  <c r="G509" i="3"/>
  <c r="BL493" i="3"/>
  <c r="U36" i="40"/>
  <c r="F83" i="43"/>
  <c r="H85" i="43" s="1"/>
  <c r="F50" i="43"/>
  <c r="H54" i="43" s="1"/>
  <c r="F72" i="43"/>
  <c r="H75" i="43" s="1"/>
  <c r="S14" i="35"/>
  <c r="U43" i="21"/>
  <c r="U35" i="21"/>
  <c r="AC35" i="21"/>
  <c r="G10" i="1"/>
  <c r="AZ563" i="3"/>
  <c r="W37" i="37"/>
  <c r="S15" i="37"/>
  <c r="U13" i="37"/>
  <c r="U12" i="40"/>
  <c r="AA12" i="40"/>
  <c r="J37" i="33"/>
  <c r="W37" i="33"/>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B35" i="40" s="1"/>
  <c r="AC29" i="35"/>
  <c r="W29" i="35"/>
  <c r="H35" i="37"/>
  <c r="U35" i="37" s="1"/>
  <c r="AC14" i="35"/>
  <c r="H20" i="35"/>
  <c r="AB20" i="35" s="1"/>
  <c r="U20" i="35"/>
  <c r="F20" i="35"/>
  <c r="AA20" i="35"/>
  <c r="AB23" i="35"/>
  <c r="AB29" i="36"/>
  <c r="U29" i="36"/>
  <c r="H32" i="37"/>
  <c r="AB32" i="37" s="1"/>
  <c r="F96" i="37"/>
  <c r="G96" i="37" s="1"/>
  <c r="H96" i="37" s="1"/>
  <c r="I96" i="37" s="1"/>
  <c r="J96" i="37" s="1"/>
  <c r="K96" i="37" s="1"/>
  <c r="L96" i="37" s="1"/>
  <c r="M96" i="37" s="1"/>
  <c r="H27" i="40"/>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F39" i="39"/>
  <c r="J39" i="39"/>
  <c r="AC39" i="39" s="1"/>
  <c r="E96" i="39"/>
  <c r="F96" i="39" s="1"/>
  <c r="G96" i="39" s="1"/>
  <c r="C40" i="11"/>
  <c r="AZ227" i="3"/>
  <c r="AZ235" i="3"/>
  <c r="AZ256" i="3"/>
  <c r="AZ271" i="3"/>
  <c r="AZ133" i="3"/>
  <c r="AZ72" i="3"/>
  <c r="AZ86" i="3"/>
  <c r="AZ110" i="3"/>
  <c r="F23" i="39"/>
  <c r="AA23" i="39" s="1"/>
  <c r="H27" i="36"/>
  <c r="U27" i="36" s="1"/>
  <c r="F27" i="36"/>
  <c r="AA27" i="36" s="1"/>
  <c r="H33" i="34"/>
  <c r="U33" i="34" s="1"/>
  <c r="F32" i="37"/>
  <c r="S32" i="37" s="1"/>
  <c r="AA32" i="37"/>
  <c r="F20" i="36"/>
  <c r="AA20" i="36" s="1"/>
  <c r="J33" i="34"/>
  <c r="AC33" i="34" s="1"/>
  <c r="H23" i="39"/>
  <c r="U23" i="39" s="1"/>
  <c r="K9" i="1"/>
  <c r="M9" i="1" s="1"/>
  <c r="D93" i="9"/>
  <c r="W27" i="34"/>
  <c r="AB34" i="36"/>
  <c r="U34" i="36"/>
  <c r="AC12" i="39"/>
  <c r="W12" i="39"/>
  <c r="AC39" i="40"/>
  <c r="W39" i="40"/>
  <c r="AZ433" i="3"/>
  <c r="W12" i="33"/>
  <c r="AC12" i="33"/>
  <c r="AA32" i="36"/>
  <c r="S32" i="36"/>
  <c r="AZ437" i="3"/>
  <c r="AZ473" i="3"/>
  <c r="U30" i="33"/>
  <c r="AC13" i="34"/>
  <c r="AA47" i="34"/>
  <c r="W28" i="37"/>
  <c r="S19" i="39"/>
  <c r="F12" i="33"/>
  <c r="H12" i="39"/>
  <c r="F39" i="40"/>
  <c r="AZ254" i="3"/>
  <c r="AZ286" i="3"/>
  <c r="AZ297" i="3"/>
  <c r="B12" i="1"/>
  <c r="E12" i="1" s="1"/>
  <c r="B10" i="1"/>
  <c r="E10" i="1" s="1"/>
  <c r="K12" i="1"/>
  <c r="M12" i="1" s="1"/>
  <c r="S13" i="1"/>
  <c r="AR13" i="1" s="1"/>
  <c r="R13" i="1"/>
  <c r="J51" i="67"/>
  <c r="B41" i="1"/>
  <c r="F48" i="9" s="1"/>
  <c r="O52" i="9" s="1"/>
  <c r="AB37" i="40"/>
  <c r="S35" i="40"/>
  <c r="U35" i="40"/>
  <c r="AC36" i="40"/>
  <c r="W38" i="40"/>
  <c r="AA32" i="40"/>
  <c r="S17" i="40"/>
  <c r="S23" i="40"/>
  <c r="AC17" i="40"/>
  <c r="AC15" i="40"/>
  <c r="AA19" i="40"/>
  <c r="S28" i="40"/>
  <c r="AB19" i="40"/>
  <c r="U37" i="39"/>
  <c r="S43" i="39"/>
  <c r="S37" i="39"/>
  <c r="U35" i="39"/>
  <c r="F32" i="39"/>
  <c r="S32" i="39" s="1"/>
  <c r="F106" i="39"/>
  <c r="G106" i="39" s="1"/>
  <c r="H106" i="39" s="1"/>
  <c r="I106" i="39" s="1"/>
  <c r="J106" i="39" s="1"/>
  <c r="K106" i="39" s="1"/>
  <c r="L106" i="39" s="1"/>
  <c r="M106" i="39" s="1"/>
  <c r="U31" i="39"/>
  <c r="J21" i="39"/>
  <c r="W21" i="39" s="1"/>
  <c r="F21" i="39"/>
  <c r="AA21" i="39" s="1"/>
  <c r="G94" i="39"/>
  <c r="H21" i="39"/>
  <c r="U21" i="39" s="1"/>
  <c r="AA12" i="39"/>
  <c r="U14" i="39"/>
  <c r="S23" i="36"/>
  <c r="U13" i="36"/>
  <c r="U26" i="36"/>
  <c r="S33" i="36"/>
  <c r="AA34" i="36"/>
  <c r="AC26" i="36"/>
  <c r="AA22" i="36"/>
  <c r="W14" i="36"/>
  <c r="AB14" i="36"/>
  <c r="U22" i="36"/>
  <c r="S16" i="36"/>
  <c r="AA25" i="36"/>
  <c r="U24"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W30" i="37"/>
  <c r="S36" i="37"/>
  <c r="AA38" i="37"/>
  <c r="U32" i="37"/>
  <c r="W38" i="37"/>
  <c r="AC35" i="37"/>
  <c r="S30" i="37"/>
  <c r="S37" i="37"/>
  <c r="AC15" i="37"/>
  <c r="J17" i="37"/>
  <c r="W17" i="37"/>
  <c r="G73" i="37"/>
  <c r="F17" i="37"/>
  <c r="AA17" i="37" s="1"/>
  <c r="AB17" i="37"/>
  <c r="F75" i="37"/>
  <c r="G75" i="37" s="1"/>
  <c r="F19" i="37"/>
  <c r="F79" i="37"/>
  <c r="F23" i="37"/>
  <c r="S23" i="37" s="1"/>
  <c r="U23" i="37"/>
  <c r="U15" i="37"/>
  <c r="AC13" i="37"/>
  <c r="AA13" i="37"/>
  <c r="H10" i="37"/>
  <c r="AB10" i="37" s="1"/>
  <c r="F63" i="37"/>
  <c r="F11" i="37"/>
  <c r="S11" i="37" s="1"/>
  <c r="AB8" i="34"/>
  <c r="U43" i="34"/>
  <c r="W41" i="34"/>
  <c r="AC42" i="34"/>
  <c r="AB41" i="34"/>
  <c r="U28" i="34"/>
  <c r="S23" i="34"/>
  <c r="H10" i="34"/>
  <c r="AB10" i="34" s="1"/>
  <c r="F11" i="34"/>
  <c r="S11" i="34" s="1"/>
  <c r="W42" i="33"/>
  <c r="AA35" i="33"/>
  <c r="S27" i="33"/>
  <c r="S32" i="33"/>
  <c r="AA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G87" i="33" s="1"/>
  <c r="H87" i="33" s="1"/>
  <c r="H25" i="33"/>
  <c r="F25" i="33"/>
  <c r="J23" i="33"/>
  <c r="AC23" i="33" s="1"/>
  <c r="F85" i="33"/>
  <c r="G85" i="33" s="1"/>
  <c r="H23" i="33"/>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D120" i="9"/>
  <c r="D121" i="9" s="1"/>
  <c r="D7" i="52" s="1"/>
  <c r="C18" i="9"/>
  <c r="D18" i="9" s="1"/>
  <c r="F34" i="67"/>
  <c r="F62" i="67" s="1"/>
  <c r="M20" i="67"/>
  <c r="F34" i="15"/>
  <c r="F62" i="15" s="1"/>
  <c r="G13" i="3"/>
  <c r="BL17" i="3"/>
  <c r="AZ17" i="3"/>
  <c r="J56" i="9"/>
  <c r="J57" i="9" s="1"/>
  <c r="J59" i="9" s="1"/>
  <c r="J61" i="9" s="1"/>
  <c r="A24" i="51"/>
  <c r="B18" i="72" s="1"/>
  <c r="E32" i="6"/>
  <c r="G1" i="68"/>
  <c r="K1" i="12"/>
  <c r="E19" i="69"/>
  <c r="E19" i="68"/>
  <c r="E19" i="11"/>
  <c r="G22" i="68"/>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27" i="40"/>
  <c r="S36" i="40"/>
  <c r="W37" i="40"/>
  <c r="AC14" i="40"/>
  <c r="S13" i="40"/>
  <c r="S33" i="40"/>
  <c r="AA15" i="40"/>
  <c r="U11" i="40"/>
  <c r="S31" i="40"/>
  <c r="AB13" i="40"/>
  <c r="U15" i="40"/>
  <c r="AB17" i="40"/>
  <c r="U8" i="40"/>
  <c r="S8" i="40"/>
  <c r="U13" i="39"/>
  <c r="AB13" i="39"/>
  <c r="AA13" i="39"/>
  <c r="S13" i="39"/>
  <c r="S14" i="39"/>
  <c r="U43" i="39"/>
  <c r="AB43" i="39"/>
  <c r="AC31" i="39"/>
  <c r="AA45" i="39"/>
  <c r="AB39" i="39"/>
  <c r="W34" i="39"/>
  <c r="U38" i="39"/>
  <c r="S20" i="36"/>
  <c r="AC25" i="36"/>
  <c r="U32" i="36"/>
  <c r="W29"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B40" i="34"/>
  <c r="AA30" i="34"/>
  <c r="AB45" i="34"/>
  <c r="AB36" i="34"/>
  <c r="S32" i="34"/>
  <c r="AA32" i="34"/>
  <c r="AA36" i="34"/>
  <c r="U14" i="34"/>
  <c r="AB14" i="34"/>
  <c r="W23" i="34"/>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AC17" i="21"/>
  <c r="AC19" i="21"/>
  <c r="W39" i="21"/>
  <c r="AC14"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9" i="43"/>
  <c r="E4" i="4"/>
  <c r="B5" i="62" s="1"/>
  <c r="B73" i="72" s="1"/>
  <c r="C4" i="4"/>
  <c r="F30" i="68"/>
  <c r="F48" i="68" s="1"/>
  <c r="F30" i="11"/>
  <c r="C48" i="11" s="1"/>
  <c r="F28" i="67"/>
  <c r="F52" i="9"/>
  <c r="M18" i="67"/>
  <c r="F32" i="67"/>
  <c r="F60" i="67" s="1"/>
  <c r="F32" i="15"/>
  <c r="F60" i="15" s="1"/>
  <c r="M18" i="15"/>
  <c r="F28" i="15"/>
  <c r="AA39" i="40"/>
  <c r="S39" i="40"/>
  <c r="S12" i="33"/>
  <c r="AA12" i="33"/>
  <c r="F54" i="9"/>
  <c r="J32" i="39"/>
  <c r="AC32" i="39" s="1"/>
  <c r="H32" i="39"/>
  <c r="AB32" i="39" s="1"/>
  <c r="AA32"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S25" i="33"/>
  <c r="AA25" i="33"/>
  <c r="I87" i="33"/>
  <c r="J87" i="33" s="1"/>
  <c r="K87" i="33" s="1"/>
  <c r="L87" i="33" s="1"/>
  <c r="M87" i="33" s="1"/>
  <c r="J25" i="33"/>
  <c r="F23" i="33"/>
  <c r="AA19" i="33"/>
  <c r="H19" i="33"/>
  <c r="AB19" i="33" s="1"/>
  <c r="G81" i="33"/>
  <c r="H17" i="33"/>
  <c r="U17" i="33" s="1"/>
  <c r="F17" i="33"/>
  <c r="S17" i="33" s="1"/>
  <c r="AC17" i="33"/>
  <c r="AA23" i="21"/>
  <c r="J23" i="21"/>
  <c r="W23" i="21" s="1"/>
  <c r="H23" i="21"/>
  <c r="U23" i="21" s="1"/>
  <c r="S13" i="21"/>
  <c r="D6" i="52"/>
  <c r="AP7" i="1"/>
  <c r="AB9" i="21"/>
  <c r="U9" i="21"/>
  <c r="W9" i="21"/>
  <c r="AC9" i="21"/>
  <c r="W23" i="37"/>
  <c r="AC23" i="37"/>
  <c r="J11" i="37"/>
  <c r="AC11" i="37" s="1"/>
  <c r="J11" i="34"/>
  <c r="W11" i="34" s="1"/>
  <c r="W27" i="33"/>
  <c r="AC27" i="33"/>
  <c r="W25" i="33"/>
  <c r="AC25" i="33"/>
  <c r="U19" i="33"/>
  <c r="AB23" i="2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6" i="67"/>
  <c r="F6" i="15"/>
  <c r="L48" i="67"/>
  <c r="B13" i="76"/>
  <c r="L47" i="67"/>
  <c r="B10" i="76"/>
  <c r="M24" i="15"/>
  <c r="F38" i="67"/>
  <c r="F9" i="67"/>
  <c r="F7" i="15"/>
  <c r="F8" i="15"/>
  <c r="AO13" i="1"/>
  <c r="F43" i="15"/>
  <c r="F6" i="73"/>
  <c r="F26" i="15"/>
  <c r="F9" i="15"/>
  <c r="E12" i="76"/>
  <c r="M23" i="67"/>
  <c r="F43" i="67"/>
  <c r="L47" i="15"/>
  <c r="J15" i="15"/>
  <c r="F40" i="15"/>
  <c r="F7" i="73"/>
  <c r="B11" i="76"/>
  <c r="F38" i="15"/>
  <c r="C76" i="15"/>
  <c r="M28" i="15"/>
  <c r="M29" i="67"/>
  <c r="E13" i="76"/>
  <c r="M24" i="67"/>
  <c r="M23" i="15"/>
  <c r="F7" i="67"/>
  <c r="M29" i="82"/>
  <c r="F3" i="73"/>
  <c r="F16" i="15"/>
  <c r="F43" i="82"/>
  <c r="M9" i="15"/>
  <c r="E2" i="69"/>
  <c r="M8" i="15"/>
  <c r="F20" i="31"/>
  <c r="F13" i="15"/>
  <c r="M8" i="67"/>
  <c r="E9" i="76"/>
  <c r="F5" i="73"/>
  <c r="M29" i="15"/>
  <c r="L48" i="82"/>
  <c r="F7" i="82"/>
  <c r="F16" i="67"/>
  <c r="M6" i="67"/>
  <c r="M26" i="67"/>
  <c r="B9" i="76"/>
  <c r="F42" i="15"/>
  <c r="E10" i="76"/>
  <c r="B8" i="76"/>
  <c r="F4" i="73"/>
  <c r="E11" i="76"/>
  <c r="E8" i="76"/>
  <c r="F37" i="15"/>
  <c r="M22" i="15"/>
  <c r="M26" i="15"/>
  <c r="B12" i="76"/>
  <c r="F42" i="67"/>
  <c r="E2" i="68"/>
  <c r="F36" i="15"/>
  <c r="M6" i="15"/>
  <c r="AA25" i="34" l="1"/>
  <c r="W40" i="34"/>
  <c r="F71" i="82"/>
  <c r="M7" i="82"/>
  <c r="J6" i="82" s="1"/>
  <c r="J19" i="82" s="1"/>
  <c r="F50" i="82"/>
  <c r="C49" i="82" s="1"/>
  <c r="C61" i="82" s="1"/>
  <c r="C6" i="82"/>
  <c r="C33" i="82" s="1"/>
  <c r="M7" i="1"/>
  <c r="J51" i="15"/>
  <c r="J51" i="82"/>
  <c r="G23" i="85"/>
  <c r="M47" i="9"/>
  <c r="C7" i="40"/>
  <c r="C63" i="40" s="1"/>
  <c r="C7" i="39"/>
  <c r="C67" i="39" s="1"/>
  <c r="C7" i="36"/>
  <c r="C46" i="36" s="1"/>
  <c r="D46" i="36" s="1"/>
  <c r="E46" i="36" s="1"/>
  <c r="F46" i="36" s="1"/>
  <c r="G46" i="36" s="1"/>
  <c r="H46" i="36" s="1"/>
  <c r="I46" i="36" s="1"/>
  <c r="C7" i="35"/>
  <c r="C48" i="35" s="1"/>
  <c r="D48" i="35" s="1"/>
  <c r="C7" i="21"/>
  <c r="C42" i="1"/>
  <c r="C7" i="34"/>
  <c r="F6" i="1"/>
  <c r="I24" i="43" s="1"/>
  <c r="C24" i="43" s="1"/>
  <c r="U39" i="34"/>
  <c r="U38" i="34"/>
  <c r="S37" i="34"/>
  <c r="W35" i="34"/>
  <c r="F19" i="34"/>
  <c r="AA19" i="34" s="1"/>
  <c r="H19" i="34"/>
  <c r="AB19" i="34" s="1"/>
  <c r="AC15" i="34"/>
  <c r="U15" i="34"/>
  <c r="U25" i="34"/>
  <c r="AA33" i="34"/>
  <c r="W33" i="34"/>
  <c r="AB33" i="34"/>
  <c r="AA35" i="34"/>
  <c r="W44" i="34"/>
  <c r="W43" i="34"/>
  <c r="AC45" i="34"/>
  <c r="U46" i="34"/>
  <c r="AB35" i="34"/>
  <c r="AB47" i="34"/>
  <c r="S43" i="34"/>
  <c r="AA40" i="34"/>
  <c r="AA44" i="34"/>
  <c r="U27" i="34"/>
  <c r="AB23" i="34"/>
  <c r="W19" i="34"/>
  <c r="AC17" i="34"/>
  <c r="AB17" i="34"/>
  <c r="S17" i="34"/>
  <c r="U9" i="34"/>
  <c r="AA8" i="34"/>
  <c r="W8" i="34"/>
  <c r="S46" i="34"/>
  <c r="AA46" i="34"/>
  <c r="J46" i="34"/>
  <c r="F31" i="34"/>
  <c r="S31" i="34" s="1"/>
  <c r="AB32" i="34"/>
  <c r="W29" i="34"/>
  <c r="AC29" i="34"/>
  <c r="H29" i="34"/>
  <c r="F29" i="34"/>
  <c r="S29" i="34" s="1"/>
  <c r="AC32" i="34"/>
  <c r="S13" i="34"/>
  <c r="AA31" i="34"/>
  <c r="AB30" i="34"/>
  <c r="D23" i="15"/>
  <c r="O7" i="1"/>
  <c r="P7" i="1" s="1"/>
  <c r="D52" i="43"/>
  <c r="D56" i="43"/>
  <c r="L58" i="82"/>
  <c r="L57" i="82"/>
  <c r="L56" i="82"/>
  <c r="L60" i="82"/>
  <c r="C24" i="12"/>
  <c r="C28" i="82"/>
  <c r="J1" i="73"/>
  <c r="G7" i="1"/>
  <c r="N59" i="82"/>
  <c r="I54" i="82"/>
  <c r="M59" i="82"/>
  <c r="J53" i="82"/>
  <c r="L59" i="82"/>
  <c r="J57" i="82"/>
  <c r="J55" i="82" s="1"/>
  <c r="J58" i="82" s="1"/>
  <c r="Q50" i="82" s="1"/>
  <c r="U19" i="39"/>
  <c r="U40" i="39"/>
  <c r="S40" i="39"/>
  <c r="S42" i="39"/>
  <c r="U42" i="39"/>
  <c r="S38" i="39"/>
  <c r="F90" i="39"/>
  <c r="G90" i="39" s="1"/>
  <c r="H17" i="39"/>
  <c r="AB17" i="39" s="1"/>
  <c r="J17" i="39"/>
  <c r="W17" i="39" s="1"/>
  <c r="F17" i="39"/>
  <c r="W19" i="39"/>
  <c r="W27" i="39"/>
  <c r="AB27" i="39"/>
  <c r="AA27" i="39"/>
  <c r="AC25" i="39"/>
  <c r="AB21" i="39"/>
  <c r="W29" i="39"/>
  <c r="U29" i="39"/>
  <c r="U25" i="39"/>
  <c r="S23" i="39"/>
  <c r="W23" i="39"/>
  <c r="AC17" i="39"/>
  <c r="AC41" i="39"/>
  <c r="AA41" i="39"/>
  <c r="AC38" i="39"/>
  <c r="S15" i="39"/>
  <c r="S9" i="39"/>
  <c r="AB8" i="39"/>
  <c r="S8" i="39"/>
  <c r="G22" i="11"/>
  <c r="E1" i="73"/>
  <c r="G22" i="69"/>
  <c r="D22" i="15"/>
  <c r="G26" i="12"/>
  <c r="BM5" i="3"/>
  <c r="F29" i="6" s="1"/>
  <c r="BC5" i="3"/>
  <c r="E15" i="6" s="1"/>
  <c r="E64" i="39" s="1"/>
  <c r="BN5" i="3"/>
  <c r="G29" i="6" s="1"/>
  <c r="BA14" i="3"/>
  <c r="AZ14" i="3" s="1"/>
  <c r="H5" i="3"/>
  <c r="BA13" i="3"/>
  <c r="B65" i="43"/>
  <c r="B72" i="43"/>
  <c r="B75" i="43"/>
  <c r="B68" i="43"/>
  <c r="B57" i="43"/>
  <c r="B77" i="43"/>
  <c r="S27" i="40"/>
  <c r="AA27" i="40"/>
  <c r="AC19" i="40"/>
  <c r="W19" i="40"/>
  <c r="AB41" i="39"/>
  <c r="U41" i="39"/>
  <c r="AC23" i="21"/>
  <c r="U32" i="39"/>
  <c r="AB41" i="33"/>
  <c r="U41" i="33"/>
  <c r="S19" i="37"/>
  <c r="AA19" i="37"/>
  <c r="AA30" i="40"/>
  <c r="S30" i="40"/>
  <c r="W20" i="36"/>
  <c r="AC20" i="36"/>
  <c r="U31" i="37"/>
  <c r="AB31" i="37"/>
  <c r="AA32" i="21"/>
  <c r="S32" i="21"/>
  <c r="AB32" i="21"/>
  <c r="U32" i="21"/>
  <c r="U45" i="21"/>
  <c r="AB45" i="21"/>
  <c r="AB12" i="39"/>
  <c r="U12" i="39"/>
  <c r="S39" i="39"/>
  <c r="AA39" i="39"/>
  <c r="U34" i="33"/>
  <c r="AB34" i="33"/>
  <c r="AB21" i="40"/>
  <c r="U21" i="40"/>
  <c r="AB23" i="33"/>
  <c r="U23" i="33"/>
  <c r="U25" i="33"/>
  <c r="AB25" i="33"/>
  <c r="U27" i="40"/>
  <c r="AB27" i="40"/>
  <c r="AZ341" i="3"/>
  <c r="S12" i="36"/>
  <c r="AA12" i="36"/>
  <c r="W43" i="33"/>
  <c r="S42" i="33"/>
  <c r="AA26" i="36"/>
  <c r="AZ391" i="3"/>
  <c r="AZ364" i="3"/>
  <c r="AZ329" i="3"/>
  <c r="AZ306" i="3"/>
  <c r="AZ513" i="3"/>
  <c r="AZ575" i="3"/>
  <c r="AZ528" i="3"/>
  <c r="AZ574" i="3"/>
  <c r="AZ502" i="3"/>
  <c r="W31" i="34"/>
  <c r="J13" i="21"/>
  <c r="S28" i="34"/>
  <c r="H33" i="36"/>
  <c r="J33" i="36"/>
  <c r="AC33" i="36" s="1"/>
  <c r="AB31" i="36"/>
  <c r="U31" i="36"/>
  <c r="J36" i="39"/>
  <c r="AC36" i="39" s="1"/>
  <c r="F36" i="39"/>
  <c r="AB36" i="33"/>
  <c r="W32" i="39"/>
  <c r="S21" i="39"/>
  <c r="AB29" i="33"/>
  <c r="AC39" i="34"/>
  <c r="W25" i="34"/>
  <c r="AA25" i="35"/>
  <c r="AA34" i="33"/>
  <c r="AC5" i="3"/>
  <c r="AZ322" i="3"/>
  <c r="AZ313" i="3"/>
  <c r="AZ394" i="3"/>
  <c r="AB38" i="21"/>
  <c r="W44" i="33"/>
  <c r="AC36" i="34"/>
  <c r="AC28" i="34"/>
  <c r="AZ519" i="3"/>
  <c r="AZ531" i="3"/>
  <c r="AZ573" i="3"/>
  <c r="AZ583" i="3"/>
  <c r="AZ576" i="3"/>
  <c r="J26" i="33"/>
  <c r="F26" i="33"/>
  <c r="J24" i="36"/>
  <c r="F24" i="36"/>
  <c r="J39" i="37"/>
  <c r="F39" i="37"/>
  <c r="S39" i="37" s="1"/>
  <c r="AA17" i="33"/>
  <c r="S37" i="21"/>
  <c r="D68" i="9"/>
  <c r="F30" i="69"/>
  <c r="F48" i="69" s="1"/>
  <c r="F31" i="12"/>
  <c r="AB28" i="33"/>
  <c r="AC14" i="34"/>
  <c r="AA14" i="21"/>
  <c r="AA45" i="34"/>
  <c r="AC13" i="39"/>
  <c r="AC34" i="33"/>
  <c r="AZ345" i="3"/>
  <c r="AZ334" i="3"/>
  <c r="AZ372" i="3"/>
  <c r="AZ347" i="3"/>
  <c r="AZ337" i="3"/>
  <c r="AZ376" i="3"/>
  <c r="AZ309" i="3"/>
  <c r="AC12" i="37"/>
  <c r="W47" i="34"/>
  <c r="AZ515" i="3"/>
  <c r="AZ523" i="3"/>
  <c r="AZ547" i="3"/>
  <c r="AZ569" i="3"/>
  <c r="AZ571" i="3"/>
  <c r="AZ579" i="3"/>
  <c r="AZ516" i="3"/>
  <c r="AZ524" i="3"/>
  <c r="AC11" i="35"/>
  <c r="BL585" i="3"/>
  <c r="AB34" i="40"/>
  <c r="U34" i="40"/>
  <c r="AZ529" i="3"/>
  <c r="AZ585" i="3"/>
  <c r="H12" i="36"/>
  <c r="J12" i="36"/>
  <c r="H44" i="39"/>
  <c r="J44" i="39"/>
  <c r="F44" i="39"/>
  <c r="AC31" i="40"/>
  <c r="W31" i="40"/>
  <c r="H25" i="37"/>
  <c r="F25" i="37"/>
  <c r="AZ451" i="3"/>
  <c r="F9" i="34"/>
  <c r="AA9" i="34" s="1"/>
  <c r="J9" i="34"/>
  <c r="J12" i="34"/>
  <c r="H12" i="34"/>
  <c r="J25" i="37"/>
  <c r="AZ400" i="3"/>
  <c r="G551" i="3"/>
  <c r="BL550" i="3"/>
  <c r="G542" i="3"/>
  <c r="AZ443" i="3"/>
  <c r="BL398" i="3"/>
  <c r="BL403" i="3"/>
  <c r="G405" i="3"/>
  <c r="BA408" i="3"/>
  <c r="BA409" i="3"/>
  <c r="AZ409" i="3" s="1"/>
  <c r="BA411" i="3"/>
  <c r="BL414" i="3"/>
  <c r="BL415" i="3"/>
  <c r="BA417" i="3"/>
  <c r="BL421" i="3"/>
  <c r="BL422" i="3"/>
  <c r="AZ422" i="3" s="1"/>
  <c r="BL425" i="3"/>
  <c r="BL426" i="3"/>
  <c r="BA428" i="3"/>
  <c r="BA429" i="3"/>
  <c r="BA430" i="3"/>
  <c r="AZ430" i="3" s="1"/>
  <c r="BA432" i="3"/>
  <c r="BA434" i="3"/>
  <c r="BA436" i="3"/>
  <c r="BA438" i="3"/>
  <c r="G442" i="3"/>
  <c r="BA446" i="3"/>
  <c r="BA450" i="3"/>
  <c r="BA453" i="3"/>
  <c r="AZ453" i="3" s="1"/>
  <c r="BA455" i="3"/>
  <c r="AZ455" i="3" s="1"/>
  <c r="BL457" i="3"/>
  <c r="BL460" i="3"/>
  <c r="BL461" i="3"/>
  <c r="BL463" i="3"/>
  <c r="G465" i="3"/>
  <c r="BA471" i="3"/>
  <c r="BL317" i="3"/>
  <c r="BA349" i="3"/>
  <c r="AZ349" i="3" s="1"/>
  <c r="BA353" i="3"/>
  <c r="BL353" i="3"/>
  <c r="BA358" i="3"/>
  <c r="AZ358" i="3" s="1"/>
  <c r="G585" i="3"/>
  <c r="BL587" i="3"/>
  <c r="AZ587" i="3" s="1"/>
  <c r="BL586" i="3"/>
  <c r="AZ586" i="3" s="1"/>
  <c r="G574" i="3"/>
  <c r="BL15" i="3"/>
  <c r="AZ15" i="3" s="1"/>
  <c r="BA398" i="3"/>
  <c r="AZ398" i="3" s="1"/>
  <c r="BA399" i="3"/>
  <c r="AZ399" i="3" s="1"/>
  <c r="BL401" i="3"/>
  <c r="AZ401" i="3" s="1"/>
  <c r="BL404" i="3"/>
  <c r="AZ404" i="3" s="1"/>
  <c r="BL405" i="3"/>
  <c r="AZ405" i="3" s="1"/>
  <c r="BL407" i="3"/>
  <c r="BA412" i="3"/>
  <c r="AZ412" i="3" s="1"/>
  <c r="BA414" i="3"/>
  <c r="BA415" i="3"/>
  <c r="AZ415" i="3" s="1"/>
  <c r="BA416" i="3"/>
  <c r="AZ416" i="3" s="1"/>
  <c r="BA418" i="3"/>
  <c r="BA421" i="3"/>
  <c r="AZ421" i="3" s="1"/>
  <c r="BA423" i="3"/>
  <c r="AZ423" i="3" s="1"/>
  <c r="BA425" i="3"/>
  <c r="AZ425" i="3" s="1"/>
  <c r="BA426" i="3"/>
  <c r="BA427" i="3"/>
  <c r="AZ427" i="3" s="1"/>
  <c r="BA435" i="3"/>
  <c r="AZ435" i="3" s="1"/>
  <c r="BL441" i="3"/>
  <c r="AZ441" i="3" s="1"/>
  <c r="BL442" i="3"/>
  <c r="BL444" i="3"/>
  <c r="AZ444" i="3" s="1"/>
  <c r="G446" i="3"/>
  <c r="BL448" i="3"/>
  <c r="AZ448" i="3" s="1"/>
  <c r="G450" i="3"/>
  <c r="G451" i="3"/>
  <c r="BA454" i="3"/>
  <c r="BA457" i="3"/>
  <c r="BA459" i="3"/>
  <c r="BA460" i="3"/>
  <c r="BA461" i="3"/>
  <c r="AZ461" i="3" s="1"/>
  <c r="BL464" i="3"/>
  <c r="BL466" i="3"/>
  <c r="G468" i="3"/>
  <c r="G469" i="3"/>
  <c r="BL476" i="3"/>
  <c r="BL477" i="3"/>
  <c r="BL478" i="3"/>
  <c r="G479" i="3"/>
  <c r="G480" i="3"/>
  <c r="BL480" i="3"/>
  <c r="G482" i="3"/>
  <c r="BA483" i="3"/>
  <c r="BL483" i="3"/>
  <c r="BA486" i="3"/>
  <c r="BL489" i="3"/>
  <c r="BL491" i="3"/>
  <c r="BL492" i="3"/>
  <c r="G307" i="3"/>
  <c r="BA315" i="3"/>
  <c r="AZ315" i="3" s="1"/>
  <c r="BA333" i="3"/>
  <c r="BL346" i="3"/>
  <c r="AZ346" i="3" s="1"/>
  <c r="G349" i="3"/>
  <c r="BA210" i="3"/>
  <c r="BL210" i="3"/>
  <c r="BA223" i="3"/>
  <c r="AZ223" i="3" s="1"/>
  <c r="BA228" i="3"/>
  <c r="BA229" i="3"/>
  <c r="BL229" i="3"/>
  <c r="BA551" i="3"/>
  <c r="AZ551" i="3" s="1"/>
  <c r="BA550" i="3"/>
  <c r="AZ550" i="3" s="1"/>
  <c r="BL548" i="3"/>
  <c r="AZ548" i="3" s="1"/>
  <c r="AZ403" i="3"/>
  <c r="AZ407" i="3"/>
  <c r="AZ419" i="3"/>
  <c r="G437" i="3"/>
  <c r="BL438" i="3"/>
  <c r="BL439" i="3"/>
  <c r="AZ464" i="3"/>
  <c r="AZ466" i="3"/>
  <c r="AZ476" i="3"/>
  <c r="AZ480" i="3"/>
  <c r="G364" i="3"/>
  <c r="BA367" i="3"/>
  <c r="AZ367" i="3" s="1"/>
  <c r="BA370" i="3"/>
  <c r="AZ370" i="3" s="1"/>
  <c r="BA386" i="3"/>
  <c r="AZ386" i="3" s="1"/>
  <c r="BA397" i="3"/>
  <c r="BL397" i="3"/>
  <c r="BA209" i="3"/>
  <c r="BA217" i="3"/>
  <c r="AZ217" i="3" s="1"/>
  <c r="BA218" i="3"/>
  <c r="BL218" i="3"/>
  <c r="BA221" i="3"/>
  <c r="BL224"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L228"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L127" i="3"/>
  <c r="AZ127" i="3" s="1"/>
  <c r="BA130" i="3"/>
  <c r="AZ130" i="3" s="1"/>
  <c r="BL130" i="3"/>
  <c r="BL137" i="3"/>
  <c r="BA146" i="3"/>
  <c r="AZ146" i="3" s="1"/>
  <c r="BA150" i="3"/>
  <c r="AZ150" i="3" s="1"/>
  <c r="BL165" i="3"/>
  <c r="BA168" i="3"/>
  <c r="AZ168" i="3" s="1"/>
  <c r="AZ25" i="3"/>
  <c r="BL34"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A129" i="3"/>
  <c r="BL134" i="3"/>
  <c r="BA239" i="3"/>
  <c r="AZ239" i="3" s="1"/>
  <c r="BL239" i="3"/>
  <c r="BA241" i="3"/>
  <c r="BL241" i="3"/>
  <c r="BA244" i="3"/>
  <c r="AZ244" i="3" s="1"/>
  <c r="BL244" i="3"/>
  <c r="BA246" i="3"/>
  <c r="BL273" i="3"/>
  <c r="G274" i="3"/>
  <c r="BA277" i="3"/>
  <c r="AZ277" i="3" s="1"/>
  <c r="BL277" i="3"/>
  <c r="BA282" i="3"/>
  <c r="BL282" i="3"/>
  <c r="BA284" i="3"/>
  <c r="BL290" i="3"/>
  <c r="BL291" i="3"/>
  <c r="AZ291" i="3" s="1"/>
  <c r="BL293" i="3"/>
  <c r="BL300" i="3"/>
  <c r="BA302" i="3"/>
  <c r="G115" i="3"/>
  <c r="BA117" i="3"/>
  <c r="BA128" i="3"/>
  <c r="AZ128" i="3" s="1"/>
  <c r="G136" i="3"/>
  <c r="BA137" i="3"/>
  <c r="AZ137" i="3" s="1"/>
  <c r="BL138" i="3"/>
  <c r="BA140" i="3"/>
  <c r="AZ140" i="3" s="1"/>
  <c r="BA142" i="3"/>
  <c r="BL149" i="3"/>
  <c r="AZ149" i="3" s="1"/>
  <c r="BL24"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96" i="3"/>
  <c r="BA160" i="3"/>
  <c r="AZ160" i="3" s="1"/>
  <c r="BA162" i="3"/>
  <c r="AZ162" i="3" s="1"/>
  <c r="BL166" i="3"/>
  <c r="BL186" i="3"/>
  <c r="BL23" i="3"/>
  <c r="BL35" i="3"/>
  <c r="AZ52" i="3"/>
  <c r="D31" i="71"/>
  <c r="C32" i="71"/>
  <c r="D50" i="71"/>
  <c r="C51" i="71"/>
  <c r="V24" i="71"/>
  <c r="E23" i="71"/>
  <c r="E22" i="71" s="1"/>
  <c r="E21" i="71" s="1"/>
  <c r="E20" i="71"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B21" i="37"/>
  <c r="U21" i="37"/>
  <c r="T28" i="71"/>
  <c r="D28" i="71"/>
  <c r="U28" i="71" s="1"/>
  <c r="C27" i="71"/>
  <c r="F66" i="71"/>
  <c r="Q67" i="71"/>
  <c r="BL170" i="3"/>
  <c r="BA173" i="3"/>
  <c r="AZ173" i="3" s="1"/>
  <c r="BA174" i="3"/>
  <c r="BL179" i="3"/>
  <c r="AZ179" i="3" s="1"/>
  <c r="BA181" i="3"/>
  <c r="AZ181" i="3" s="1"/>
  <c r="BA182" i="3"/>
  <c r="AZ182" i="3" s="1"/>
  <c r="BL185" i="3"/>
  <c r="BL193" i="3"/>
  <c r="BL194" i="3"/>
  <c r="AZ194" i="3" s="1"/>
  <c r="BA198" i="3"/>
  <c r="AZ198" i="3" s="1"/>
  <c r="BL206" i="3"/>
  <c r="BA19" i="3"/>
  <c r="AZ19" i="3" s="1"/>
  <c r="BA27" i="3"/>
  <c r="BL30" i="3"/>
  <c r="BL31" i="3"/>
  <c r="BL40" i="3"/>
  <c r="BL41" i="3"/>
  <c r="BL45" i="3"/>
  <c r="BA48" i="3"/>
  <c r="BA49" i="3"/>
  <c r="AZ49" i="3" s="1"/>
  <c r="BA51" i="3"/>
  <c r="BL56" i="3"/>
  <c r="BA58" i="3"/>
  <c r="AZ58" i="3" s="1"/>
  <c r="BL59" i="3"/>
  <c r="BL60" i="3"/>
  <c r="BA61" i="3"/>
  <c r="BL76" i="3"/>
  <c r="BL88" i="3"/>
  <c r="AZ88" i="3" s="1"/>
  <c r="BL90" i="3"/>
  <c r="BA92" i="3"/>
  <c r="BA95" i="3"/>
  <c r="BL97" i="3"/>
  <c r="AZ97" i="3" s="1"/>
  <c r="BL101" i="3"/>
  <c r="AZ101" i="3" s="1"/>
  <c r="BL102" i="3"/>
  <c r="F3" i="35"/>
  <c r="AC25" i="40"/>
  <c r="U21" i="33"/>
  <c r="AB21" i="33"/>
  <c r="D44" i="71"/>
  <c r="T44" i="71"/>
  <c r="D34" i="71"/>
  <c r="C35" i="71"/>
  <c r="C55" i="71"/>
  <c r="D54" i="71"/>
  <c r="D67" i="71"/>
  <c r="C66" i="71"/>
  <c r="O67" i="71"/>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BA77" i="3"/>
  <c r="AZ77" i="3" s="1"/>
  <c r="BL82" i="3"/>
  <c r="BA84" i="3"/>
  <c r="BL96" i="3"/>
  <c r="W21" i="21"/>
  <c r="F40" i="69"/>
  <c r="C40" i="69"/>
  <c r="C64" i="71"/>
  <c r="D63" i="71"/>
  <c r="BA68" i="3"/>
  <c r="BA73" i="3"/>
  <c r="BA80" i="3"/>
  <c r="G84" i="3"/>
  <c r="BL84" i="3"/>
  <c r="BA89" i="3"/>
  <c r="G99" i="3"/>
  <c r="G103" i="3"/>
  <c r="BA103" i="3"/>
  <c r="AZ103" i="3" s="1"/>
  <c r="BA104" i="3"/>
  <c r="BA106" i="3"/>
  <c r="BL108" i="3"/>
  <c r="AZ108" i="3" s="1"/>
  <c r="G110" i="3"/>
  <c r="BL111" i="3"/>
  <c r="C21" i="68"/>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S21" i="34"/>
  <c r="B88" i="43"/>
  <c r="D76" i="71"/>
  <c r="T68" i="71"/>
  <c r="X34" i="71"/>
  <c r="X31" i="71"/>
  <c r="F35" i="71"/>
  <c r="F36" i="71" s="1"/>
  <c r="V36" i="71" s="1"/>
  <c r="AA34" i="71"/>
  <c r="AB35" i="71"/>
  <c r="BL75" i="3"/>
  <c r="G79" i="3"/>
  <c r="BL81" i="3"/>
  <c r="BA82" i="3"/>
  <c r="AZ82" i="3" s="1"/>
  <c r="BL83" i="3"/>
  <c r="G86" i="3"/>
  <c r="G87" i="3"/>
  <c r="G88"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J6" i="15" s="1"/>
  <c r="F50" i="15"/>
  <c r="F51" i="15"/>
  <c r="F71" i="15"/>
  <c r="C6" i="15"/>
  <c r="F66" i="67"/>
  <c r="L59" i="15"/>
  <c r="N59" i="15"/>
  <c r="M59" i="15"/>
  <c r="F66" i="15"/>
  <c r="F64" i="15"/>
  <c r="C27" i="67"/>
  <c r="F71" i="67"/>
  <c r="C27" i="15"/>
  <c r="F65" i="15"/>
  <c r="N59" i="67"/>
  <c r="L59" i="67"/>
  <c r="L58" i="67"/>
  <c r="M59" i="67"/>
  <c r="B13" i="70"/>
  <c r="M7" i="67"/>
  <c r="F50" i="67"/>
  <c r="F68" i="15"/>
  <c r="C36" i="68"/>
  <c r="D9" i="69"/>
  <c r="C36" i="69"/>
  <c r="D9" i="68"/>
  <c r="F13" i="67"/>
  <c r="M9" i="67"/>
  <c r="D6" i="73"/>
  <c r="D7" i="73"/>
  <c r="M28" i="67"/>
  <c r="C16" i="67"/>
  <c r="C16" i="15"/>
  <c r="F36" i="67"/>
  <c r="F6" i="67"/>
  <c r="D4" i="73"/>
  <c r="F40" i="67"/>
  <c r="L48" i="15"/>
  <c r="F37" i="67"/>
  <c r="J15" i="67"/>
  <c r="D5" i="73"/>
  <c r="F8" i="67"/>
  <c r="C16" i="82"/>
  <c r="C76" i="67"/>
  <c r="D3" i="73"/>
  <c r="M22" i="67"/>
  <c r="J18" i="82" l="1"/>
  <c r="C32" i="82"/>
  <c r="E10" i="6"/>
  <c r="E8" i="6"/>
  <c r="F27" i="6" s="1"/>
  <c r="E14" i="6"/>
  <c r="E63" i="39" s="1"/>
  <c r="E11" i="6"/>
  <c r="E60" i="39" s="1"/>
  <c r="G3" i="43"/>
  <c r="F26" i="43" s="1"/>
  <c r="G3" i="85"/>
  <c r="J57" i="15"/>
  <c r="J55" i="15" s="1"/>
  <c r="J58" i="15" s="1"/>
  <c r="Q50" i="15" s="1"/>
  <c r="L58" i="15"/>
  <c r="Q73" i="15" s="1"/>
  <c r="I54" i="15"/>
  <c r="J53" i="15"/>
  <c r="L56" i="15" s="1"/>
  <c r="P26" i="85"/>
  <c r="P25" i="85"/>
  <c r="P27" i="85"/>
  <c r="O23" i="85"/>
  <c r="M24" i="85"/>
  <c r="P28" i="85"/>
  <c r="P29" i="85"/>
  <c r="C23" i="85"/>
  <c r="G6" i="1"/>
  <c r="G16" i="1" s="1"/>
  <c r="F10" i="39" s="1"/>
  <c r="S10" i="39" s="1"/>
  <c r="U19" i="34"/>
  <c r="S19" i="34"/>
  <c r="S9" i="34"/>
  <c r="W46" i="34"/>
  <c r="AC46" i="34"/>
  <c r="AB29" i="34"/>
  <c r="U29" i="34"/>
  <c r="AA29" i="34"/>
  <c r="Q61" i="82"/>
  <c r="Q74" i="82"/>
  <c r="Q57" i="82"/>
  <c r="Q66" i="82"/>
  <c r="Q52" i="82"/>
  <c r="F1" i="82"/>
  <c r="Q73" i="82"/>
  <c r="Q60" i="82"/>
  <c r="U17" i="39"/>
  <c r="AA17" i="39"/>
  <c r="S17" i="39"/>
  <c r="M11" i="82"/>
  <c r="J10" i="82" s="1"/>
  <c r="J5" i="82" s="1"/>
  <c r="F11" i="82"/>
  <c r="C30" i="69"/>
  <c r="E26" i="43"/>
  <c r="F30" i="6"/>
  <c r="E29" i="6"/>
  <c r="K15" i="1" s="1"/>
  <c r="K16" i="1" s="1"/>
  <c r="H26" i="43"/>
  <c r="E59" i="40"/>
  <c r="N94" i="46"/>
  <c r="J26" i="43"/>
  <c r="G26" i="43"/>
  <c r="N370" i="46"/>
  <c r="F65" i="67"/>
  <c r="F31" i="67"/>
  <c r="C6" i="67"/>
  <c r="C32" i="67" s="1"/>
  <c r="F51" i="67"/>
  <c r="F59" i="67" s="1"/>
  <c r="Q71" i="67"/>
  <c r="F64" i="67"/>
  <c r="F68" i="67"/>
  <c r="C70" i="71"/>
  <c r="D70" i="71" s="1"/>
  <c r="D71" i="71"/>
  <c r="O65" i="71"/>
  <c r="D66" i="71"/>
  <c r="O66" i="71"/>
  <c r="C36" i="71"/>
  <c r="D35" i="71"/>
  <c r="AZ61" i="3"/>
  <c r="C26" i="71"/>
  <c r="D26" i="71" s="1"/>
  <c r="D27" i="71"/>
  <c r="AZ59" i="3"/>
  <c r="T32" i="71"/>
  <c r="D32" i="71"/>
  <c r="AZ302" i="3"/>
  <c r="AZ241" i="3"/>
  <c r="AZ249" i="3"/>
  <c r="AZ491" i="3"/>
  <c r="AZ228" i="3"/>
  <c r="AZ459" i="3"/>
  <c r="AZ418" i="3"/>
  <c r="AZ432" i="3"/>
  <c r="AZ417" i="3"/>
  <c r="U12" i="34"/>
  <c r="AB12" i="34"/>
  <c r="W12" i="36"/>
  <c r="AC12" i="36"/>
  <c r="AC24" i="36"/>
  <c r="W24" i="36"/>
  <c r="AB33" i="36"/>
  <c r="U33" i="36"/>
  <c r="C40" i="71"/>
  <c r="D39" i="71"/>
  <c r="D75" i="71"/>
  <c r="C74" i="71"/>
  <c r="D74" i="71" s="1"/>
  <c r="AZ84" i="3"/>
  <c r="AZ51" i="3"/>
  <c r="AZ75" i="3"/>
  <c r="AZ41" i="3"/>
  <c r="AZ31" i="3"/>
  <c r="AZ284" i="3"/>
  <c r="AZ483" i="3"/>
  <c r="AZ457" i="3"/>
  <c r="AZ408" i="3"/>
  <c r="W12" i="34"/>
  <c r="AC12" i="34"/>
  <c r="AA25" i="37"/>
  <c r="S25" i="37"/>
  <c r="AA44" i="39"/>
  <c r="S44" i="39"/>
  <c r="U12" i="36"/>
  <c r="AB12" i="36"/>
  <c r="S26" i="33"/>
  <c r="AA26" i="33"/>
  <c r="J7" i="36"/>
  <c r="AC7" i="36" s="1"/>
  <c r="V36" i="36" s="1"/>
  <c r="I36" i="36" s="1"/>
  <c r="D79" i="71"/>
  <c r="C78" i="71"/>
  <c r="D78" i="71" s="1"/>
  <c r="C52" i="71"/>
  <c r="D51" i="71"/>
  <c r="AZ454" i="3"/>
  <c r="AZ471" i="3"/>
  <c r="AZ429" i="3"/>
  <c r="AC9" i="34"/>
  <c r="W9" i="34"/>
  <c r="U25" i="37"/>
  <c r="AB25" i="37"/>
  <c r="AC44" i="39"/>
  <c r="W44" i="39"/>
  <c r="AC39" i="37"/>
  <c r="W39" i="37"/>
  <c r="AC26" i="33"/>
  <c r="W26" i="33"/>
  <c r="AC13" i="21"/>
  <c r="W13" i="21"/>
  <c r="J6" i="67"/>
  <c r="J18" i="67" s="1"/>
  <c r="J7" i="37"/>
  <c r="G5" i="3"/>
  <c r="B3" i="3" s="1"/>
  <c r="E491" i="3" s="1"/>
  <c r="D83" i="71"/>
  <c r="C82" i="71"/>
  <c r="D82" i="71" s="1"/>
  <c r="C56" i="71"/>
  <c r="D55" i="71"/>
  <c r="AZ282" i="3"/>
  <c r="AZ273" i="3"/>
  <c r="AZ218" i="3"/>
  <c r="AZ397" i="3"/>
  <c r="AZ229" i="3"/>
  <c r="AZ210" i="3"/>
  <c r="AZ460" i="3"/>
  <c r="AZ414" i="3"/>
  <c r="AZ353" i="3"/>
  <c r="AZ428" i="3"/>
  <c r="AZ411" i="3"/>
  <c r="AC25" i="37"/>
  <c r="W25" i="37"/>
  <c r="AB44" i="39"/>
  <c r="U44" i="39"/>
  <c r="AA24" i="36"/>
  <c r="S24" i="36"/>
  <c r="S36" i="39"/>
  <c r="AA36" i="39"/>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B7" i="74"/>
  <c r="F67" i="39"/>
  <c r="E69" i="39"/>
  <c r="H7" i="37"/>
  <c r="AB7" i="37" s="1"/>
  <c r="T42" i="37" s="1"/>
  <c r="G42" i="37" s="1"/>
  <c r="H7" i="33"/>
  <c r="J7" i="33"/>
  <c r="D65" i="40"/>
  <c r="E63" i="40"/>
  <c r="F48" i="35"/>
  <c r="AC7" i="37"/>
  <c r="W7" i="37"/>
  <c r="F7" i="33"/>
  <c r="E58" i="21"/>
  <c r="W7" i="36"/>
  <c r="F7" i="37"/>
  <c r="M17" i="67"/>
  <c r="M17" i="15"/>
  <c r="F59" i="15"/>
  <c r="P28" i="43"/>
  <c r="B66" i="40" s="1"/>
  <c r="P25" i="43"/>
  <c r="P29" i="43"/>
  <c r="P27" i="43"/>
  <c r="B70" i="39" s="1"/>
  <c r="C49" i="15"/>
  <c r="J18" i="15"/>
  <c r="Q60" i="67"/>
  <c r="Q73" i="67"/>
  <c r="M11" i="67"/>
  <c r="J10" i="67" s="1"/>
  <c r="F11" i="15"/>
  <c r="M11" i="15"/>
  <c r="J10" i="15" s="1"/>
  <c r="J5" i="15" s="1"/>
  <c r="J24" i="15" s="1"/>
  <c r="F11" i="67"/>
  <c r="C32" i="15"/>
  <c r="F1" i="67"/>
  <c r="Q52" i="67"/>
  <c r="Q61" i="67"/>
  <c r="Q74" i="67"/>
  <c r="Q74" i="15"/>
  <c r="Q61" i="15"/>
  <c r="AE11" i="1"/>
  <c r="AE9" i="1"/>
  <c r="F27" i="68"/>
  <c r="AE8" i="1"/>
  <c r="AE12" i="1"/>
  <c r="AE10" i="1"/>
  <c r="F41" i="67"/>
  <c r="AE7" i="1"/>
  <c r="G1" i="73"/>
  <c r="AA10" i="39" l="1"/>
  <c r="J10" i="39"/>
  <c r="W10" i="39" s="1"/>
  <c r="F10" i="40"/>
  <c r="S10" i="40" s="1"/>
  <c r="H10" i="39"/>
  <c r="U10" i="39" s="1"/>
  <c r="Q60" i="15"/>
  <c r="E26" i="85"/>
  <c r="J26" i="85"/>
  <c r="F26" i="85"/>
  <c r="B116" i="85"/>
  <c r="H26" i="85"/>
  <c r="G26" i="85"/>
  <c r="Z7" i="85"/>
  <c r="B14" i="74"/>
  <c r="K83" i="9"/>
  <c r="C88" i="9" s="1"/>
  <c r="C89" i="9" s="1"/>
  <c r="C87" i="9" s="1"/>
  <c r="F1" i="15"/>
  <c r="Q52" i="15"/>
  <c r="T5" i="85"/>
  <c r="V5" i="85" s="1"/>
  <c r="C40" i="85"/>
  <c r="T2" i="85"/>
  <c r="V2" i="85" s="1"/>
  <c r="T8" i="85"/>
  <c r="V8" i="85" s="1"/>
  <c r="T3" i="85"/>
  <c r="V3" i="85" s="1"/>
  <c r="T16" i="85"/>
  <c r="V16" i="85" s="1"/>
  <c r="T9" i="85"/>
  <c r="V9" i="85" s="1"/>
  <c r="C38" i="85"/>
  <c r="T13" i="85"/>
  <c r="V13" i="85" s="1"/>
  <c r="T7" i="85"/>
  <c r="V7" i="85" s="1"/>
  <c r="C39" i="85"/>
  <c r="T10" i="85"/>
  <c r="V10" i="85" s="1"/>
  <c r="C41" i="85"/>
  <c r="C42" i="85"/>
  <c r="T14" i="85"/>
  <c r="V14" i="85" s="1"/>
  <c r="T15" i="85"/>
  <c r="V15" i="85" s="1"/>
  <c r="T6" i="85"/>
  <c r="V6" i="85" s="1"/>
  <c r="T12" i="85"/>
  <c r="V12" i="85" s="1"/>
  <c r="C37" i="85"/>
  <c r="T4" i="85"/>
  <c r="V4" i="85" s="1"/>
  <c r="T11" i="85"/>
  <c r="V11" i="85" s="1"/>
  <c r="AB7" i="36"/>
  <c r="T36" i="36" s="1"/>
  <c r="G36" i="36" s="1"/>
  <c r="D26" i="43"/>
  <c r="C25" i="43" s="1"/>
  <c r="S7" i="36"/>
  <c r="C53" i="82"/>
  <c r="C48" i="82" s="1"/>
  <c r="C10" i="82"/>
  <c r="C5" i="82" s="1"/>
  <c r="J24" i="82"/>
  <c r="E487" i="3"/>
  <c r="E275" i="3"/>
  <c r="E247" i="3"/>
  <c r="E315" i="3"/>
  <c r="E246" i="3"/>
  <c r="E217" i="3"/>
  <c r="E587" i="3"/>
  <c r="E535" i="3"/>
  <c r="E28" i="3"/>
  <c r="E228" i="3"/>
  <c r="E335" i="3"/>
  <c r="Z6" i="3"/>
  <c r="E124" i="3"/>
  <c r="E503" i="3"/>
  <c r="E380" i="3"/>
  <c r="E337" i="3"/>
  <c r="E175" i="3"/>
  <c r="E27" i="3"/>
  <c r="E515" i="3"/>
  <c r="E318" i="3"/>
  <c r="E571" i="3"/>
  <c r="E45" i="3"/>
  <c r="E382" i="3"/>
  <c r="E551" i="3"/>
  <c r="E334" i="3"/>
  <c r="E252" i="3"/>
  <c r="E481" i="3"/>
  <c r="E169" i="3"/>
  <c r="E432" i="3"/>
  <c r="E122" i="3"/>
  <c r="E582" i="3"/>
  <c r="E398" i="3"/>
  <c r="E455" i="3"/>
  <c r="E493" i="3"/>
  <c r="E452" i="3"/>
  <c r="E129" i="3"/>
  <c r="E64" i="3"/>
  <c r="E385" i="3"/>
  <c r="E387" i="3"/>
  <c r="E431" i="3"/>
  <c r="E489" i="3"/>
  <c r="E214" i="3"/>
  <c r="AK6" i="3"/>
  <c r="E361" i="3"/>
  <c r="E410" i="3"/>
  <c r="E447" i="3"/>
  <c r="E351" i="3"/>
  <c r="E99" i="3"/>
  <c r="E229" i="3"/>
  <c r="E121" i="3"/>
  <c r="E580" i="3"/>
  <c r="E390" i="3"/>
  <c r="E397" i="3"/>
  <c r="E167" i="3"/>
  <c r="E209" i="3"/>
  <c r="E218" i="3"/>
  <c r="E333" i="3"/>
  <c r="E83" i="3"/>
  <c r="E469" i="3"/>
  <c r="E332" i="3"/>
  <c r="E292" i="3"/>
  <c r="E139" i="3"/>
  <c r="E118" i="3"/>
  <c r="E148" i="3"/>
  <c r="E263" i="3"/>
  <c r="E278" i="3"/>
  <c r="E570" i="3"/>
  <c r="AJ6" i="3"/>
  <c r="E273" i="3"/>
  <c r="E345" i="3"/>
  <c r="E368" i="3"/>
  <c r="E106" i="3"/>
  <c r="E560" i="3"/>
  <c r="E568" i="3"/>
  <c r="E301" i="3"/>
  <c r="E261" i="3"/>
  <c r="AR6" i="3"/>
  <c r="E508" i="3"/>
  <c r="E331" i="3"/>
  <c r="E505" i="3"/>
  <c r="E269" i="3"/>
  <c r="E111" i="3"/>
  <c r="E458" i="3"/>
  <c r="E85" i="3"/>
  <c r="E415" i="3"/>
  <c r="E239" i="3"/>
  <c r="E581" i="3"/>
  <c r="E203" i="3"/>
  <c r="E156" i="3"/>
  <c r="E153" i="3"/>
  <c r="E475" i="3"/>
  <c r="Y6" i="3"/>
  <c r="E421" i="3"/>
  <c r="E147" i="3"/>
  <c r="E40" i="3"/>
  <c r="E342" i="3"/>
  <c r="E140" i="3"/>
  <c r="E81" i="3"/>
  <c r="E510" i="3"/>
  <c r="E539" i="3"/>
  <c r="E575" i="3"/>
  <c r="E466" i="3"/>
  <c r="AP6" i="3"/>
  <c r="E417" i="3"/>
  <c r="E152" i="3"/>
  <c r="E349" i="3"/>
  <c r="E409" i="3"/>
  <c r="E46" i="3"/>
  <c r="E371" i="3"/>
  <c r="E67" i="3"/>
  <c r="E355"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6" i="3"/>
  <c r="E499" i="3"/>
  <c r="E430" i="3"/>
  <c r="E554" i="3"/>
  <c r="E479" i="3"/>
  <c r="E258" i="3"/>
  <c r="E389" i="3"/>
  <c r="E484" i="3"/>
  <c r="E160" i="3"/>
  <c r="E310" i="3"/>
  <c r="E33" i="3"/>
  <c r="E68"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212" i="3"/>
  <c r="E449" i="3"/>
  <c r="E37" i="3"/>
  <c r="E544" i="3"/>
  <c r="E267" i="3"/>
  <c r="E184"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286" i="3"/>
  <c r="E255" i="3"/>
  <c r="E95" i="3"/>
  <c r="E59" i="3"/>
  <c r="E249"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02" i="3"/>
  <c r="E517" i="3"/>
  <c r="E241" i="3"/>
  <c r="E467" i="3"/>
  <c r="E492"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120" i="3"/>
  <c r="E437" i="3"/>
  <c r="AE6" i="3"/>
  <c r="E73" i="3"/>
  <c r="E394" i="3"/>
  <c r="E236" i="3"/>
  <c r="AG6" i="3"/>
  <c r="E558" i="3"/>
  <c r="E88" i="3"/>
  <c r="E316" i="3"/>
  <c r="E125" i="3"/>
  <c r="N6" i="3"/>
  <c r="E396" i="3"/>
  <c r="E559" i="3"/>
  <c r="E320" i="3"/>
  <c r="E114" i="3"/>
  <c r="E550" i="3"/>
  <c r="E245" i="3"/>
  <c r="E293" i="3"/>
  <c r="E453" i="3"/>
  <c r="E369" i="3"/>
  <c r="E296" i="3"/>
  <c r="E445" i="3"/>
  <c r="E109" i="3"/>
  <c r="E327" i="3"/>
  <c r="E465" i="3"/>
  <c r="E495" i="3"/>
  <c r="E439" i="3"/>
  <c r="E441" i="3"/>
  <c r="E585" i="3"/>
  <c r="E562" i="3"/>
  <c r="E117" i="3"/>
  <c r="E177" i="3"/>
  <c r="E94" i="3"/>
  <c r="E219" i="3"/>
  <c r="E200" i="3"/>
  <c r="E191" i="3"/>
  <c r="E69" i="3"/>
  <c r="E514" i="3"/>
  <c r="E322" i="3"/>
  <c r="E211" i="3"/>
  <c r="E400" i="3"/>
  <c r="E227" i="3"/>
  <c r="E454" i="3"/>
  <c r="K6" i="3"/>
  <c r="E77" i="3"/>
  <c r="E134" i="3"/>
  <c r="E185" i="3"/>
  <c r="E533" i="3"/>
  <c r="E305" i="3"/>
  <c r="E210" i="3"/>
  <c r="E477" i="3"/>
  <c r="E549" i="3"/>
  <c r="E72" i="3"/>
  <c r="E573" i="3"/>
  <c r="E336" i="3"/>
  <c r="E294" i="3"/>
  <c r="E366" i="3"/>
  <c r="E448" i="3"/>
  <c r="E429" i="3"/>
  <c r="E254" i="3"/>
  <c r="E272" i="3"/>
  <c r="E532" i="3"/>
  <c r="E373" i="3"/>
  <c r="E65" i="3"/>
  <c r="E339" i="3"/>
  <c r="E490" i="3"/>
  <c r="E243" i="3"/>
  <c r="E251" i="3"/>
  <c r="E84" i="3"/>
  <c r="E442" i="3"/>
  <c r="AY6" i="3"/>
  <c r="AY176" i="3" s="1"/>
  <c r="J5" i="67"/>
  <c r="J24" i="67" s="1"/>
  <c r="C49" i="67"/>
  <c r="E264" i="3"/>
  <c r="E381" i="3"/>
  <c r="E144" i="3"/>
  <c r="E23" i="3"/>
  <c r="E300" i="3"/>
  <c r="E103" i="3"/>
  <c r="E425" i="3"/>
  <c r="E76" i="3"/>
  <c r="E363" i="3"/>
  <c r="E192" i="3"/>
  <c r="E56" i="3"/>
  <c r="E435" i="3"/>
  <c r="I3" i="6"/>
  <c r="E541" i="3"/>
  <c r="R6" i="3"/>
  <c r="E199" i="3"/>
  <c r="T52" i="71"/>
  <c r="D52" i="71"/>
  <c r="D56" i="71"/>
  <c r="T56" i="71"/>
  <c r="T40" i="71"/>
  <c r="D40" i="71"/>
  <c r="D36" i="71"/>
  <c r="T36" i="71"/>
  <c r="B40" i="1"/>
  <c r="L36" i="85"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D3" i="21"/>
  <c r="E6" i="6"/>
  <c r="C34" i="34" s="1"/>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82"/>
  <c r="M27" i="67"/>
  <c r="F41" i="82"/>
  <c r="AE6" i="1"/>
  <c r="F41" i="15" s="1"/>
  <c r="AG6" i="1" l="1"/>
  <c r="J34" i="34"/>
  <c r="H34" i="34"/>
  <c r="F34" i="34"/>
  <c r="I122" i="85"/>
  <c r="J122" i="85" s="1"/>
  <c r="K122" i="85" s="1"/>
  <c r="L122" i="85" s="1"/>
  <c r="M122" i="85" s="1"/>
  <c r="I118" i="85"/>
  <c r="J118" i="85" s="1"/>
  <c r="K118" i="85" s="1"/>
  <c r="L118" i="85" s="1"/>
  <c r="M118" i="85" s="1"/>
  <c r="D119" i="85"/>
  <c r="E119" i="85" s="1"/>
  <c r="F119" i="85" s="1"/>
  <c r="G119" i="85" s="1"/>
  <c r="H119" i="85" s="1"/>
  <c r="B121" i="85"/>
  <c r="C121" i="85" s="1"/>
  <c r="B118" i="85"/>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D26" i="85"/>
  <c r="C25" i="85" s="1"/>
  <c r="C33" i="85" s="1"/>
  <c r="E33" i="85" s="1"/>
  <c r="F69" i="82"/>
  <c r="G38" i="85"/>
  <c r="I38" i="85" s="1"/>
  <c r="E38" i="85"/>
  <c r="G37" i="85"/>
  <c r="I37" i="85" s="1"/>
  <c r="E37" i="85"/>
  <c r="G39" i="85"/>
  <c r="I39" i="85" s="1"/>
  <c r="E39" i="85"/>
  <c r="G42" i="85"/>
  <c r="I42" i="85" s="1"/>
  <c r="E42" i="85"/>
  <c r="G40" i="85"/>
  <c r="I40" i="85" s="1"/>
  <c r="E40" i="85"/>
  <c r="G41" i="85"/>
  <c r="I41" i="85" s="1"/>
  <c r="E41" i="85"/>
  <c r="C48" i="67"/>
  <c r="C66" i="67" s="1"/>
  <c r="N36" i="85"/>
  <c r="L37" i="85"/>
  <c r="P36" i="85"/>
  <c r="Q36" i="85"/>
  <c r="O36" i="85"/>
  <c r="M36" i="85"/>
  <c r="C66" i="82"/>
  <c r="C60" i="82"/>
  <c r="C38" i="82"/>
  <c r="L36" i="43"/>
  <c r="L37" i="43" s="1"/>
  <c r="P37" i="43" s="1"/>
  <c r="F24" i="82"/>
  <c r="AY110" i="3"/>
  <c r="AY527" i="3"/>
  <c r="AY334" i="3"/>
  <c r="AY293" i="3"/>
  <c r="AY439" i="3"/>
  <c r="AY554" i="3"/>
  <c r="AY128" i="3"/>
  <c r="AY396" i="3"/>
  <c r="AY181" i="3"/>
  <c r="AY228" i="3"/>
  <c r="AY408" i="3"/>
  <c r="AY413" i="3"/>
  <c r="AY450" i="3"/>
  <c r="AY558" i="3"/>
  <c r="AY364" i="3"/>
  <c r="AY141" i="3"/>
  <c r="AY243" i="3"/>
  <c r="BF6" i="3"/>
  <c r="AY294" i="3"/>
  <c r="AY363" i="3"/>
  <c r="AY19" i="3"/>
  <c r="AY195" i="3"/>
  <c r="AY298" i="3"/>
  <c r="AY249" i="3"/>
  <c r="AY48" i="3"/>
  <c r="AY436" i="3"/>
  <c r="AY271" i="3"/>
  <c r="AY488" i="3"/>
  <c r="AY28" i="3"/>
  <c r="AY303" i="3"/>
  <c r="BT6" i="3"/>
  <c r="AY415" i="3"/>
  <c r="AY330" i="3"/>
  <c r="AY459" i="3"/>
  <c r="AY578" i="3"/>
  <c r="AY503" i="3"/>
  <c r="AY292" i="3"/>
  <c r="AY574" i="3"/>
  <c r="AY290" i="3"/>
  <c r="BK6" i="3"/>
  <c r="AY152" i="3"/>
  <c r="AY477" i="3"/>
  <c r="AY71" i="3"/>
  <c r="AY248" i="3"/>
  <c r="AY545" i="3"/>
  <c r="AY479" i="3"/>
  <c r="AY21" i="3"/>
  <c r="AY375" i="3"/>
  <c r="AY528" i="3"/>
  <c r="AY120" i="3"/>
  <c r="AY575" i="3"/>
  <c r="AY321" i="3"/>
  <c r="AY504"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566" i="3"/>
  <c r="AY143" i="3"/>
  <c r="AY485" i="3"/>
  <c r="AY62" i="3"/>
  <c r="AY402" i="3"/>
  <c r="AY267" i="3"/>
  <c r="AY432" i="3"/>
  <c r="AY22" i="3"/>
  <c r="AY383" i="3"/>
  <c r="AY563" i="3"/>
  <c r="AY461" i="3"/>
  <c r="AY142" i="3"/>
  <c r="AY490"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351" i="3"/>
  <c r="AY107" i="3"/>
  <c r="AY265" i="3"/>
  <c r="AY515" i="3"/>
  <c r="AY320" i="3"/>
  <c r="AY64" i="3"/>
  <c r="AY272" i="3"/>
  <c r="AY13" i="3"/>
  <c r="AY140" i="3"/>
  <c r="AY17" i="3"/>
  <c r="AY352" i="3"/>
  <c r="BD6" i="3"/>
  <c r="AY213" i="3"/>
  <c r="AY86" i="3"/>
  <c r="AY331" i="3"/>
  <c r="AY35" i="3"/>
  <c r="D3" i="6"/>
  <c r="AY487" i="3"/>
  <c r="AY129" i="3"/>
  <c r="AY584" i="3"/>
  <c r="AY341" i="3"/>
  <c r="AY227" i="3"/>
  <c r="AY100" i="3"/>
  <c r="AY497" i="3"/>
  <c r="AY577" i="3"/>
  <c r="AY467" i="3"/>
  <c r="BS6" i="3"/>
  <c r="AY36" i="3"/>
  <c r="AY244" i="3"/>
  <c r="AY501" i="3"/>
  <c r="AY398" i="3"/>
  <c r="AY353" i="3"/>
  <c r="AY56" i="3"/>
  <c r="AY230" i="3"/>
  <c r="AY154" i="3"/>
  <c r="AY97" i="3"/>
  <c r="AY310" i="3"/>
  <c r="AY441" i="3"/>
  <c r="AY289" i="3"/>
  <c r="AY297"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582" i="3"/>
  <c r="AY312" i="3"/>
  <c r="AY407" i="3"/>
  <c r="AY565" i="3"/>
  <c r="AY570" i="3"/>
  <c r="AY46" i="3"/>
  <c r="AY156" i="3"/>
  <c r="AY232" i="3"/>
  <c r="AY362" i="3"/>
  <c r="AY469" i="3"/>
  <c r="AY437" i="3"/>
  <c r="AY91" i="3"/>
  <c r="AY38" i="3"/>
  <c r="AY148" i="3"/>
  <c r="AY277" i="3"/>
  <c r="AY224" i="3"/>
  <c r="AY354" i="3"/>
  <c r="AY429" i="3"/>
  <c r="AY511" i="3"/>
  <c r="AY3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65" i="3"/>
  <c r="AY194" i="3"/>
  <c r="AY137" i="3"/>
  <c r="AY251" i="3"/>
  <c r="AY380" i="3"/>
  <c r="AY329" i="3"/>
  <c r="AY468" i="3"/>
  <c r="AY426" i="3"/>
  <c r="AY14" i="3"/>
  <c r="AY99" i="3"/>
  <c r="AY285" i="3"/>
  <c r="AY560" i="3"/>
  <c r="H6" i="3"/>
  <c r="E6" i="3" s="1"/>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50"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443" i="3"/>
  <c r="AY240" i="3"/>
  <c r="AY54" i="3"/>
  <c r="AY500" i="3"/>
  <c r="AY359" i="3"/>
  <c r="AY172" i="3"/>
  <c r="BP6" i="3"/>
  <c r="AY538" i="3"/>
  <c r="AY476" i="3"/>
  <c r="AY361" i="3"/>
  <c r="AY153" i="3"/>
  <c r="AY15" i="3"/>
  <c r="AY339" i="3"/>
  <c r="AY136" i="3"/>
  <c r="AY576" i="3"/>
  <c r="AY482" i="3"/>
  <c r="AY233" i="3"/>
  <c r="AY47" i="3"/>
  <c r="AY537" i="3"/>
  <c r="AY431" i="3"/>
  <c r="AY336" i="3"/>
  <c r="AY235" i="3"/>
  <c r="AY586" i="3"/>
  <c r="AY448"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D116" i="43"/>
  <c r="F25" i="12"/>
  <c r="C26" i="12" s="1"/>
  <c r="D25" i="12" s="1"/>
  <c r="F22" i="68"/>
  <c r="F41" i="68" s="1"/>
  <c r="F24" i="15"/>
  <c r="C24" i="15" s="1"/>
  <c r="F22" i="69"/>
  <c r="F41" i="69" s="1"/>
  <c r="F22" i="11"/>
  <c r="C26" i="11" s="1"/>
  <c r="D22" i="11" s="1"/>
  <c r="F24" i="67"/>
  <c r="C24" i="67"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15"/>
  <c r="C17" i="82"/>
  <c r="C14" i="67"/>
  <c r="C17" i="67"/>
  <c r="M27" i="15"/>
  <c r="C34" i="85" l="1"/>
  <c r="E34" i="85" s="1"/>
  <c r="E7" i="70"/>
  <c r="D15" i="6"/>
  <c r="C14" i="74"/>
  <c r="AA34" i="34"/>
  <c r="R49" i="34" s="1"/>
  <c r="S34" i="34"/>
  <c r="AB34" i="34"/>
  <c r="T49" i="34" s="1"/>
  <c r="G49" i="34" s="1"/>
  <c r="U34" i="34"/>
  <c r="C118" i="85"/>
  <c r="D116" i="85" s="1"/>
  <c r="AC34" i="34"/>
  <c r="V49" i="34" s="1"/>
  <c r="I49" i="34" s="1"/>
  <c r="I53" i="34" s="1"/>
  <c r="J53" i="34" s="1"/>
  <c r="W34" i="34"/>
  <c r="C31" i="85"/>
  <c r="C30" i="85"/>
  <c r="C60" i="67"/>
  <c r="N37" i="85"/>
  <c r="P37" i="85"/>
  <c r="M37" i="85"/>
  <c r="Q37" i="85"/>
  <c r="O37" i="85"/>
  <c r="N36" i="43"/>
  <c r="O37" i="43"/>
  <c r="Q37" i="43"/>
  <c r="Q36" i="43"/>
  <c r="M37" i="43"/>
  <c r="P36" i="43"/>
  <c r="O36" i="43"/>
  <c r="N37" i="43"/>
  <c r="M36" i="43"/>
  <c r="C24" i="82"/>
  <c r="C18" i="4"/>
  <c r="D10" i="6"/>
  <c r="H26" i="6"/>
  <c r="D8" i="6"/>
  <c r="D11" i="6"/>
  <c r="D24" i="6"/>
  <c r="D26" i="6"/>
  <c r="R26" i="6" s="1"/>
  <c r="M19" i="9"/>
  <c r="C118" i="9" s="1"/>
  <c r="E61" i="40"/>
  <c r="D12" i="6"/>
  <c r="D19" i="6"/>
  <c r="D9" i="6"/>
  <c r="D21" i="6"/>
  <c r="D28" i="6"/>
  <c r="D5" i="6"/>
  <c r="D29" i="6"/>
  <c r="D30" i="6" s="1"/>
  <c r="D6" i="6"/>
  <c r="D22" i="6"/>
  <c r="D13" i="6"/>
  <c r="D23" i="6"/>
  <c r="L19" i="9"/>
  <c r="D14" i="6"/>
  <c r="D20" i="6"/>
  <c r="C24" i="11"/>
  <c r="C23" i="11"/>
  <c r="H24" i="6"/>
  <c r="R24" i="6" s="1"/>
  <c r="R11" i="1" s="1"/>
  <c r="C44" i="11"/>
  <c r="D41" i="11" s="1"/>
  <c r="H21" i="6"/>
  <c r="R21" i="6" s="1"/>
  <c r="R8" i="1" s="1"/>
  <c r="H22" i="6"/>
  <c r="R22" i="6" s="1"/>
  <c r="R9" i="1" s="1"/>
  <c r="C25" i="11"/>
  <c r="H25" i="6"/>
  <c r="R25" i="6" s="1"/>
  <c r="R12" i="1" s="1"/>
  <c r="C44" i="68"/>
  <c r="D41" i="68" s="1"/>
  <c r="C26" i="68"/>
  <c r="D22"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E7" i="76"/>
  <c r="C14" i="15"/>
  <c r="C14" i="82"/>
  <c r="B2" i="74" l="1"/>
  <c r="C15" i="82"/>
  <c r="C18" i="82"/>
  <c r="R50" i="34"/>
  <c r="E49" i="34"/>
  <c r="G53" i="34"/>
  <c r="H53" i="34" s="1"/>
  <c r="G54" i="34"/>
  <c r="H54" i="34" s="1"/>
  <c r="B2" i="85"/>
  <c r="D7" i="74"/>
  <c r="C18" i="12"/>
  <c r="C22" i="11"/>
  <c r="C31" i="11" s="1"/>
  <c r="D16" i="6"/>
  <c r="D27" i="6"/>
  <c r="R23" i="6"/>
  <c r="R10" i="1" s="1"/>
  <c r="D31" i="6"/>
  <c r="I5" i="6"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I69" i="39"/>
  <c r="J67" i="39"/>
  <c r="I63" i="40"/>
  <c r="H65" i="40"/>
  <c r="I58" i="21"/>
  <c r="J58" i="21" s="1"/>
  <c r="K58" i="21" s="1"/>
  <c r="L58" i="21" s="1"/>
  <c r="M58" i="21" s="1"/>
  <c r="N58" i="21" s="1"/>
  <c r="O58" i="21" s="1"/>
  <c r="H7" i="21" s="1"/>
  <c r="J48" i="35"/>
  <c r="B7" i="76"/>
  <c r="C19" i="82" l="1"/>
  <c r="C20" i="82" s="1"/>
  <c r="C26" i="82" s="1"/>
  <c r="C50" i="34"/>
  <c r="C49" i="34"/>
  <c r="I54" i="34"/>
  <c r="J54" i="34" s="1"/>
  <c r="E53" i="34"/>
  <c r="F53" i="34" s="1"/>
  <c r="E54" i="34"/>
  <c r="F54" i="34" s="1"/>
  <c r="B2" i="76"/>
  <c r="C6" i="68" s="1"/>
  <c r="B3" i="85"/>
  <c r="C21" i="12"/>
  <c r="C22" i="12" s="1"/>
  <c r="C27" i="12" s="1"/>
  <c r="C25" i="12" s="1"/>
  <c r="I6" i="6"/>
  <c r="C11" i="39"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3" i="82" l="1"/>
  <c r="C29" i="82" s="1"/>
  <c r="C36" i="82" s="1"/>
  <c r="B3" i="76"/>
  <c r="J11" i="39"/>
  <c r="H11" i="39"/>
  <c r="F11" i="39"/>
  <c r="C30" i="12"/>
  <c r="C28"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F35" i="67"/>
  <c r="M21" i="67"/>
  <c r="M21" i="15"/>
  <c r="F35" i="82"/>
  <c r="M21" i="82"/>
  <c r="J59" i="82" l="1"/>
  <c r="J60" i="82" s="1"/>
  <c r="Q48" i="82" s="1"/>
  <c r="C57" i="82"/>
  <c r="C64" i="82" s="1"/>
  <c r="J14" i="82"/>
  <c r="J13" i="82" s="1"/>
  <c r="J23" i="82" s="1"/>
  <c r="C13" i="82"/>
  <c r="Q70" i="82" s="1"/>
  <c r="Q49" i="82"/>
  <c r="W11" i="39"/>
  <c r="AC11" i="39"/>
  <c r="U11" i="39"/>
  <c r="AB11" i="39"/>
  <c r="S11" i="39"/>
  <c r="AA11" i="39"/>
  <c r="E48" i="21"/>
  <c r="J20" i="82"/>
  <c r="J17" i="82" s="1"/>
  <c r="F63" i="82"/>
  <c r="C62" i="82" s="1"/>
  <c r="C59" i="82" s="1"/>
  <c r="C34" i="82"/>
  <c r="C31" i="8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J22" i="82" l="1"/>
  <c r="J16" i="82" s="1"/>
  <c r="J25" i="82" s="1"/>
  <c r="J26" i="82" s="1"/>
  <c r="J29" i="82" s="1"/>
  <c r="L46" i="82"/>
  <c r="C56" i="82"/>
  <c r="C65" i="82" s="1"/>
  <c r="C58" i="82" s="1"/>
  <c r="C67" i="82" s="1"/>
  <c r="C68" i="82" s="1"/>
  <c r="C71" i="82" s="1"/>
  <c r="C37" i="82"/>
  <c r="C30" i="82" s="1"/>
  <c r="C39" i="82" s="1"/>
  <c r="C75" i="82"/>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C80" i="82" l="1"/>
  <c r="C79" i="82" s="1"/>
  <c r="C40" i="82"/>
  <c r="C46" i="82" s="1"/>
  <c r="Q69" i="82"/>
  <c r="Q68" i="82" s="1"/>
  <c r="Q67"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83" i="82" l="1"/>
  <c r="C82" i="82" s="1"/>
  <c r="Q65" i="82"/>
  <c r="Q75" i="82" s="1"/>
  <c r="Q47" i="82"/>
  <c r="Q53" i="82" s="1"/>
  <c r="B2" i="82"/>
  <c r="B3" i="82" s="1"/>
  <c r="Q56" i="82"/>
  <c r="Q62" i="82" s="1"/>
  <c r="C43" i="8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2" i="1"/>
  <c r="AO7" i="1"/>
  <c r="AO9" i="1"/>
  <c r="AO8" i="1"/>
  <c r="AO10"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D6" i="71"/>
  <c r="C5" i="71"/>
  <c r="D5" i="71" s="1"/>
  <c r="M24" i="43" s="1"/>
  <c r="C42" i="40"/>
  <c r="C43" i="40"/>
  <c r="E47" i="40"/>
  <c r="F47" i="40" s="1"/>
  <c r="E46" i="40"/>
  <c r="F46" i="40" s="1"/>
  <c r="I47" i="40"/>
  <c r="J47" i="40" s="1"/>
  <c r="D20" i="9"/>
  <c r="B3" i="39" l="1"/>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H109" i="9"/>
  <c r="D124" i="9" s="1"/>
  <c r="C23" i="68" l="1"/>
  <c r="C20" i="68"/>
  <c r="D16" i="53"/>
  <c r="H110" i="9"/>
  <c r="D18" i="53" s="1"/>
  <c r="B35" i="72" s="1"/>
  <c r="D10" i="52"/>
  <c r="D125" i="9"/>
  <c r="D11" i="52" s="1"/>
  <c r="C28" i="68" l="1"/>
  <c r="C27" i="68" s="1"/>
  <c r="C25" i="68"/>
  <c r="C22" i="68" s="1"/>
  <c r="C7" i="74"/>
  <c r="B34" i="72"/>
  <c r="D17" i="53"/>
  <c r="B36" i="72" s="1"/>
  <c r="C31" i="68" l="1"/>
  <c r="C52" i="68" s="1"/>
  <c r="C57" i="68" s="1"/>
  <c r="C56" i="68" s="1"/>
  <c r="B2" i="68" l="1"/>
  <c r="B3" i="68" s="1"/>
  <c r="D34" i="9"/>
  <c r="D35" i="9"/>
  <c r="C20" i="9"/>
  <c r="C19" i="9"/>
  <c r="G19" i="9" l="1"/>
  <c r="G21" i="9" s="1"/>
  <c r="C102" i="9"/>
  <c r="C21" i="9"/>
  <c r="D22" i="9"/>
  <c r="C103" i="9"/>
  <c r="G20" i="9"/>
  <c r="D59" i="9"/>
  <c r="M55" i="9" s="1"/>
  <c r="C32" i="9" l="1"/>
  <c r="C35" i="9" s="1"/>
  <c r="H118" i="9" l="1"/>
  <c r="H101" i="9" s="1"/>
  <c r="C34" i="9"/>
  <c r="D118" i="9" s="1"/>
  <c r="F118" i="9"/>
  <c r="H4" i="52" l="1"/>
  <c r="H119" i="9"/>
  <c r="H5" i="52" s="1"/>
  <c r="C104" i="9"/>
  <c r="I118" i="9"/>
  <c r="I4" i="52" s="1"/>
  <c r="G118" i="9"/>
  <c r="G4" i="52" s="1"/>
  <c r="B52" i="72" s="1"/>
  <c r="F4" i="52"/>
  <c r="B51" i="72" s="1"/>
  <c r="F119" i="9"/>
  <c r="F5" i="52" s="1"/>
  <c r="B53" i="72" s="1"/>
  <c r="D119" i="9"/>
  <c r="D5" i="52" s="1"/>
  <c r="B49" i="72" s="1"/>
  <c r="D4" i="52"/>
  <c r="B47" i="72" s="1"/>
  <c r="M48" i="9"/>
  <c r="D45" i="9"/>
  <c r="H107" i="9"/>
  <c r="D14" i="74"/>
  <c r="D5" i="53"/>
  <c r="P48" i="9" l="1"/>
  <c r="C105" i="9"/>
  <c r="H102" i="9"/>
  <c r="D7" i="53" s="1"/>
  <c r="B21" i="72" s="1"/>
  <c r="E118" i="9"/>
  <c r="E4" i="52" s="1"/>
  <c r="B48" i="72" s="1"/>
  <c r="G14" i="74"/>
  <c r="B6" i="74" s="1"/>
  <c r="D122" i="9"/>
  <c r="D13" i="53"/>
  <c r="M49" i="9"/>
  <c r="D53" i="9"/>
  <c r="D48" i="9" s="1"/>
  <c r="M52" i="9" s="1"/>
  <c r="C93" i="9"/>
  <c r="C86" i="9" s="1"/>
  <c r="C72" i="9"/>
  <c r="D52" i="9"/>
  <c r="C78" i="9"/>
  <c r="C73" i="9" s="1"/>
  <c r="C64" i="9"/>
  <c r="C63" i="9" s="1"/>
  <c r="C67" i="9" s="1"/>
  <c r="C68" i="9" s="1"/>
  <c r="D54" i="9" s="1"/>
  <c r="D55" i="9"/>
  <c r="M53" i="9" s="1"/>
  <c r="C85" i="9"/>
  <c r="D6" i="53"/>
  <c r="B22" i="72" s="1"/>
  <c r="B20" i="72"/>
  <c r="E14" i="74"/>
  <c r="F14" i="74"/>
  <c r="B5" i="74"/>
  <c r="P53" i="9" l="1"/>
  <c r="P54" i="9"/>
  <c r="P52" i="9"/>
  <c r="H108" i="9"/>
  <c r="D15" i="53" s="1"/>
  <c r="B31" i="72" s="1"/>
  <c r="C79" i="9"/>
  <c r="C80" i="9" s="1"/>
  <c r="E80" i="9" s="1"/>
  <c r="E81" i="9" s="1"/>
  <c r="B30" i="72"/>
  <c r="D14" i="53"/>
  <c r="B32" i="72" s="1"/>
  <c r="D123" i="9"/>
  <c r="D9" i="52" s="1"/>
  <c r="D8" i="52"/>
  <c r="L64" i="9"/>
  <c r="M64" i="9" s="1"/>
  <c r="L65" i="9"/>
  <c r="M65" i="9" s="1"/>
  <c r="L66" i="9"/>
  <c r="M66" i="9" s="1"/>
  <c r="L68" i="9"/>
  <c r="M68" i="9" s="1"/>
  <c r="L63" i="9"/>
  <c r="M63" i="9" s="1"/>
  <c r="L67" i="9"/>
  <c r="M67" i="9" s="1"/>
  <c r="D5" i="74"/>
  <c r="C5" i="74"/>
  <c r="C95" i="9"/>
  <c r="D6" i="74"/>
  <c r="C6" i="74" l="1"/>
  <c r="P57" i="9"/>
  <c r="Q57" i="9" s="1"/>
  <c r="P59" i="9"/>
  <c r="C81" i="9"/>
  <c r="C96" i="9"/>
  <c r="E96" i="9" s="1"/>
  <c r="E97" i="9" s="1"/>
  <c r="M69" i="9"/>
  <c r="N69" i="9" s="1"/>
  <c r="P61" i="9" l="1"/>
  <c r="I14" i="74"/>
  <c r="B8" i="74" s="1"/>
  <c r="D8" i="74" s="1"/>
  <c r="Q59" i="9"/>
  <c r="C97" i="9"/>
  <c r="D58" i="9" l="1"/>
  <c r="D56" i="9" s="1"/>
  <c r="M54" i="9" s="1"/>
  <c r="N57" i="9" s="1"/>
  <c r="N59" i="9" l="1"/>
  <c r="N58" i="9"/>
  <c r="H111" i="9" l="1"/>
  <c r="N60"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4C070A8-A16D-4B28-A5A6-DE0967CC5808}">
      <text>
        <r>
          <rPr>
            <b/>
            <sz val="9"/>
            <color indexed="81"/>
            <rFont val="宋体"/>
            <family val="3"/>
            <charset val="134"/>
          </rPr>
          <t>对应区片地价表</t>
        </r>
        <r>
          <rPr>
            <sz val="9"/>
            <color indexed="81"/>
            <rFont val="宋体"/>
            <family val="3"/>
            <charset val="134"/>
          </rPr>
          <t xml:space="preserve">
</t>
        </r>
      </text>
    </comment>
    <comment ref="Y9" authorId="1" shapeId="0" xr:uid="{BA47267A-330A-46A4-A7E3-7EAB5A61E2FA}">
      <text>
        <r>
          <rPr>
            <sz val="11"/>
            <color indexed="81"/>
            <rFont val="宋体"/>
            <family val="3"/>
            <charset val="134"/>
          </rPr>
          <t xml:space="preserve">录入层数，将对应的结果录入至左侧相应层的楼层修正系数单元格中
</t>
        </r>
      </text>
    </comment>
    <comment ref="C16" authorId="1" shapeId="0" xr:uid="{62E037DF-906E-4B65-B6A8-8B27127D3088}">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D7BFEB5E-CC32-402C-AF4A-14374C1EA248}">
      <text>
        <r>
          <rPr>
            <sz val="12"/>
            <color indexed="81"/>
            <rFont val="宋体"/>
            <family val="3"/>
            <charset val="134"/>
          </rPr>
          <t>1.05~1.1</t>
        </r>
        <r>
          <rPr>
            <sz val="9"/>
            <color indexed="81"/>
            <rFont val="宋体"/>
            <family val="3"/>
            <charset val="134"/>
          </rPr>
          <t xml:space="preserve">
</t>
        </r>
      </text>
    </comment>
    <comment ref="E16" authorId="1" shapeId="0" xr:uid="{88AB975E-3843-4876-B54B-15EE1A9C0F11}">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2124A377-B4FC-4766-BF3A-199A73B9B30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76E9F35-D240-49C2-A13A-D840173A1BFE}">
      <text>
        <r>
          <rPr>
            <b/>
            <sz val="14"/>
            <color indexed="81"/>
            <rFont val="宋体"/>
            <family val="3"/>
            <charset val="134"/>
          </rPr>
          <t>工业选“中心城区”</t>
        </r>
        <r>
          <rPr>
            <sz val="9"/>
            <color indexed="81"/>
            <rFont val="宋体"/>
            <family val="3"/>
            <charset val="134"/>
          </rPr>
          <t xml:space="preserve">
</t>
        </r>
      </text>
    </comment>
    <comment ref="B35" authorId="4" shapeId="0" xr:uid="{73CA286C-A5D8-4AB9-AFBD-E2FF04E6762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1528B82C-8DE4-4584-86F6-67B1A3EB5C31}">
      <text>
        <r>
          <rPr>
            <sz val="9"/>
            <color indexed="81"/>
            <rFont val="宋体"/>
            <family val="3"/>
            <charset val="134"/>
          </rPr>
          <t xml:space="preserve">需在此处填写剩余土地年限
</t>
        </r>
      </text>
    </comment>
    <comment ref="C111" authorId="0" shapeId="0" xr:uid="{4A829433-2D75-4FF1-90ED-603EF11504C7}">
      <text>
        <r>
          <rPr>
            <b/>
            <sz val="9"/>
            <color indexed="81"/>
            <rFont val="宋体"/>
            <family val="3"/>
            <charset val="134"/>
          </rPr>
          <t xml:space="preserve">所在楼层
</t>
        </r>
        <r>
          <rPr>
            <sz val="9"/>
            <color indexed="81"/>
            <rFont val="宋体"/>
            <family val="3"/>
            <charset val="134"/>
          </rPr>
          <t xml:space="preserve">
</t>
        </r>
      </text>
    </comment>
    <comment ref="D111" authorId="0" shapeId="0" xr:uid="{FD97499A-A20A-4DD2-B45D-83FB38FB314C}">
      <text>
        <r>
          <rPr>
            <b/>
            <sz val="9"/>
            <color indexed="81"/>
            <rFont val="宋体"/>
            <family val="3"/>
            <charset val="134"/>
          </rPr>
          <t xml:space="preserve">所在楼层
</t>
        </r>
        <r>
          <rPr>
            <sz val="9"/>
            <color indexed="81"/>
            <rFont val="宋体"/>
            <family val="3"/>
            <charset val="134"/>
          </rPr>
          <t xml:space="preserve">
</t>
        </r>
      </text>
    </comment>
    <comment ref="E111" authorId="0" shapeId="0" xr:uid="{CEC8F04D-B4E9-4183-ABE0-B23AAC9382A6}">
      <text>
        <r>
          <rPr>
            <b/>
            <sz val="9"/>
            <color indexed="81"/>
            <rFont val="宋体"/>
            <family val="3"/>
            <charset val="134"/>
          </rPr>
          <t xml:space="preserve">所在楼层
</t>
        </r>
        <r>
          <rPr>
            <sz val="9"/>
            <color indexed="81"/>
            <rFont val="宋体"/>
            <family val="3"/>
            <charset val="134"/>
          </rPr>
          <t xml:space="preserve">
</t>
        </r>
      </text>
    </comment>
    <comment ref="F111" authorId="0" shapeId="0" xr:uid="{737D1CB4-1C81-4449-8E6B-B70607B259A3}">
      <text>
        <r>
          <rPr>
            <b/>
            <sz val="9"/>
            <color indexed="81"/>
            <rFont val="宋体"/>
            <family val="3"/>
            <charset val="134"/>
          </rPr>
          <t xml:space="preserve">所在楼层
</t>
        </r>
        <r>
          <rPr>
            <sz val="9"/>
            <color indexed="81"/>
            <rFont val="宋体"/>
            <family val="3"/>
            <charset val="134"/>
          </rPr>
          <t xml:space="preserve">
</t>
        </r>
      </text>
    </comment>
    <comment ref="G111" authorId="0" shapeId="0" xr:uid="{74D9ECF6-6105-41E4-8491-5D670BF62BC5}">
      <text>
        <r>
          <rPr>
            <b/>
            <sz val="9"/>
            <color indexed="81"/>
            <rFont val="宋体"/>
            <family val="3"/>
            <charset val="134"/>
          </rPr>
          <t xml:space="preserve">所在楼层
</t>
        </r>
        <r>
          <rPr>
            <sz val="9"/>
            <color indexed="81"/>
            <rFont val="宋体"/>
            <family val="3"/>
            <charset val="134"/>
          </rPr>
          <t xml:space="preserve">
</t>
        </r>
      </text>
    </comment>
    <comment ref="H111" authorId="0" shapeId="0" xr:uid="{2CFBCF55-989E-4357-83E3-54C6432ECE6C}">
      <text>
        <r>
          <rPr>
            <b/>
            <sz val="9"/>
            <color indexed="81"/>
            <rFont val="宋体"/>
            <family val="3"/>
            <charset val="134"/>
          </rPr>
          <t xml:space="preserve">所在楼层
</t>
        </r>
        <r>
          <rPr>
            <sz val="9"/>
            <color indexed="81"/>
            <rFont val="宋体"/>
            <family val="3"/>
            <charset val="134"/>
          </rPr>
          <t xml:space="preserve">
</t>
        </r>
      </text>
    </comment>
    <comment ref="I111" authorId="0" shapeId="0" xr:uid="{3379F905-D36B-4BD9-A38F-A4CFE8C9EB89}">
      <text>
        <r>
          <rPr>
            <b/>
            <sz val="9"/>
            <color indexed="81"/>
            <rFont val="宋体"/>
            <family val="3"/>
            <charset val="134"/>
          </rPr>
          <t xml:space="preserve">所在楼层
</t>
        </r>
        <r>
          <rPr>
            <sz val="9"/>
            <color indexed="81"/>
            <rFont val="宋体"/>
            <family val="3"/>
            <charset val="134"/>
          </rPr>
          <t xml:space="preserve">
</t>
        </r>
      </text>
    </comment>
    <comment ref="J111" authorId="0" shapeId="0" xr:uid="{376A3FD7-698E-480A-874D-05EFF71AC784}">
      <text>
        <r>
          <rPr>
            <b/>
            <sz val="9"/>
            <color indexed="81"/>
            <rFont val="宋体"/>
            <family val="3"/>
            <charset val="134"/>
          </rPr>
          <t xml:space="preserve">所在楼层
</t>
        </r>
        <r>
          <rPr>
            <sz val="9"/>
            <color indexed="81"/>
            <rFont val="宋体"/>
            <family val="3"/>
            <charset val="134"/>
          </rPr>
          <t xml:space="preserve">
</t>
        </r>
      </text>
    </comment>
    <comment ref="K111" authorId="0" shapeId="0" xr:uid="{347FFBD8-4B05-4E37-AC3A-39E5F00D7EA1}">
      <text>
        <r>
          <rPr>
            <b/>
            <sz val="9"/>
            <color indexed="81"/>
            <rFont val="宋体"/>
            <family val="3"/>
            <charset val="134"/>
          </rPr>
          <t xml:space="preserve">所在楼层
</t>
        </r>
        <r>
          <rPr>
            <sz val="9"/>
            <color indexed="81"/>
            <rFont val="宋体"/>
            <family val="3"/>
            <charset val="134"/>
          </rPr>
          <t xml:space="preserve">
</t>
        </r>
      </text>
    </comment>
    <comment ref="L111" authorId="0" shapeId="0" xr:uid="{5DC2B7D9-4C4E-4AB6-A353-1AD1ACAD2158}">
      <text>
        <r>
          <rPr>
            <b/>
            <sz val="9"/>
            <color indexed="81"/>
            <rFont val="宋体"/>
            <family val="3"/>
            <charset val="134"/>
          </rPr>
          <t xml:space="preserve">所在楼层
</t>
        </r>
        <r>
          <rPr>
            <sz val="9"/>
            <color indexed="81"/>
            <rFont val="宋体"/>
            <family val="3"/>
            <charset val="134"/>
          </rPr>
          <t xml:space="preserve">
</t>
        </r>
      </text>
    </comment>
    <comment ref="M111" authorId="0" shapeId="0" xr:uid="{5D3C4C1E-D5B0-44CE-A1DC-78BE8F17F7D1}">
      <text>
        <r>
          <rPr>
            <b/>
            <sz val="9"/>
            <color indexed="81"/>
            <rFont val="宋体"/>
            <family val="3"/>
            <charset val="134"/>
          </rPr>
          <t xml:space="preserve">所在楼层
</t>
        </r>
        <r>
          <rPr>
            <sz val="9"/>
            <color indexed="81"/>
            <rFont val="宋体"/>
            <family val="3"/>
            <charset val="134"/>
          </rPr>
          <t xml:space="preserve">
</t>
        </r>
      </text>
    </comment>
    <comment ref="N111" authorId="0" shapeId="0" xr:uid="{1B6C4CAD-7A2A-4CEB-95A7-FCB7B377F91B}">
      <text>
        <r>
          <rPr>
            <b/>
            <sz val="9"/>
            <color indexed="81"/>
            <rFont val="宋体"/>
            <family val="3"/>
            <charset val="134"/>
          </rPr>
          <t xml:space="preserve">所在楼层
</t>
        </r>
        <r>
          <rPr>
            <sz val="9"/>
            <color indexed="81"/>
            <rFont val="宋体"/>
            <family val="3"/>
            <charset val="134"/>
          </rPr>
          <t xml:space="preserve">
</t>
        </r>
      </text>
    </comment>
    <comment ref="D116" authorId="0" shapeId="0" xr:uid="{5311BA10-0446-4BDA-B3B4-17211A48A4E4}">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E9D7680-9016-4614-84B5-7D30CBA045C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6F7059C-76EC-447A-B6DB-5256F38EB40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18C87A9-A511-41AE-ABC0-DA59A46F050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EC7438D-2C46-43C1-9610-B45497AB2370}">
      <text>
        <r>
          <rPr>
            <sz val="11"/>
            <color indexed="81"/>
            <rFont val="宋体"/>
            <family val="3"/>
            <charset val="134"/>
          </rPr>
          <t>在建项目均选择“是”</t>
        </r>
      </text>
    </comment>
    <comment ref="F59" authorId="1" shapeId="0" xr:uid="{BCD9E2B7-5915-4B4E-AA2D-8BBEE0A95CB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C9EAFF1-742D-445D-92E3-939236FEA57A}">
      <text>
        <r>
          <rPr>
            <sz val="10"/>
            <color indexed="81"/>
            <rFont val="宋体"/>
            <family val="3"/>
            <charset val="134"/>
          </rPr>
          <t xml:space="preserve">在建
</t>
        </r>
      </text>
    </comment>
    <comment ref="N59" authorId="0" shapeId="0" xr:uid="{D3D30769-6B91-4CA8-B376-F88BEDC1BD5B}">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<sst xmlns="http://schemas.openxmlformats.org/spreadsheetml/2006/main" count="9247" uniqueCount="3787">
  <si>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</si>
  <si>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</si>
  <si>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</si>
  <si>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</si>
  <si>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</si>
  <si>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</si>
  <si>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</si>
  <si>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</si>
  <si>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</si>
  <si>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</si>
  <si>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</si>
  <si>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</si>
  <si>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</si>
  <si>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</si>
  <si>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</si>
  <si>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</si>
  <si>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</si>
  <si>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</si>
  <si>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</si>
  <si>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</si>
  <si>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</si>
  <si>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</si>
  <si>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</si>
  <si>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</si>
  <si>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</si>
  <si>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</si>
  <si>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</si>
  <si>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</si>
  <si>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</si>
  <si>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</si>
  <si>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</si>
  <si>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</si>
  <si>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</si>
  <si>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</si>
  <si>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</si>
  <si>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</si>
  <si>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</si>
  <si>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</si>
  <si>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</si>
  <si>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</si>
  <si>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</si>
  <si>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</si>
  <si>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</si>
  <si>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</si>
  <si>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</si>
  <si>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</si>
  <si>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</si>
  <si>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</si>
  <si>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</si>
  <si>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</si>
  <si>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</si>
  <si>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</si>
  <si>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</si>
  <si>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</si>
  <si>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</si>
  <si>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</si>
  <si>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</si>
  <si>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</si>
  <si>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</si>
  <si>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</si>
  <si>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</si>
  <si>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</si>
  <si>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</si>
  <si>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</si>
  <si>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</si>
  <si>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</si>
  <si>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</si>
  <si>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</si>
  <si>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</si>
  <si>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</si>
  <si>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</si>
  <si>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</si>
  <si>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</si>
  <si>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</si>
  <si>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</si>
  <si>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</si>
  <si>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</si>
  <si>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</si>
  <si>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</si>
  <si>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</si>
  <si>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</si>
  <si>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</si>
  <si>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</si>
  <si>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</si>
  <si>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</si>
  <si>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</si>
  <si>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</si>
  <si>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</si>
  <si>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</si>
  <si>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</si>
  <si>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</si>
  <si>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</si>
  <si>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</si>
  <si>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</si>
  <si>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</si>
  <si>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</si>
  <si>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</si>
  <si>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</si>
  <si>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</si>
  <si>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</si>
  <si>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</si>
  <si>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</si>
  <si>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</si>
  <si>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</si>
  <si>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</si>
  <si>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</si>
  <si>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</si>
  <si>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</si>
  <si>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</si>
  <si>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</si>
  <si>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</si>
  <si>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</si>
  <si>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</si>
  <si>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</si>
  <si>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</si>
  <si>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</si>
  <si>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</si>
  <si>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</si>
  <si>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</si>
  <si>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</si>
  <si>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</si>
  <si>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</si>
  <si>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</si>
  <si>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</si>
  <si>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</si>
  <si>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</si>
  <si>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</si>
  <si>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</si>
  <si>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</si>
  <si>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</si>
  <si>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</si>
  <si>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</si>
  <si>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</si>
  <si>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</si>
  <si>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</si>
  <si>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</si>
  <si>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</si>
  <si>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</si>
  <si>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</si>
  <si>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</si>
  <si>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</si>
  <si>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</si>
  <si>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</si>
  <si>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</si>
  <si>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</si>
  <si>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</si>
  <si>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</si>
  <si>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</si>
  <si>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</si>
  <si>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</si>
  <si>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</si>
  <si>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</si>
  <si>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</si>
  <si>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</si>
  <si>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</si>
  <si>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</si>
  <si>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</si>
  <si>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</si>
  <si>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</si>
  <si>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</si>
  <si>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</si>
  <si>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</si>
  <si>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</si>
  <si>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</si>
  <si>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</si>
  <si>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</si>
  <si>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</si>
  <si>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</si>
  <si>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</si>
  <si>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</si>
  <si>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</si>
  <si>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</si>
  <si>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</si>
  <si>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</si>
  <si>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</si>
  <si>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</si>
  <si>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</si>
  <si>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</si>
  <si>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</si>
  <si>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</si>
  <si>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</si>
  <si>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</si>
  <si>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</si>
  <si>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</si>
  <si>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</si>
  <si>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</si>
  <si>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</si>
  <si>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</si>
  <si>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</si>
  <si>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</si>
  <si>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</si>
  <si>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</si>
  <si>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</si>
  <si>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</si>
  <si>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</si>
  <si>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</si>
  <si>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</si>
  <si>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</si>
  <si>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</si>
  <si>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</si>
  <si>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</si>
  <si>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</si>
  <si>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</si>
  <si>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</si>
  <si>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</si>
  <si>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</si>
  <si>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</si>
  <si>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</si>
  <si>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</si>
  <si>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</si>
  <si>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</si>
  <si>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</si>
  <si>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</si>
  <si>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</si>
  <si>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</si>
  <si>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</si>
  <si>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</si>
  <si>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</si>
  <si>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</si>
  <si>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</si>
  <si>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</si>
  <si>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</si>
  <si>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</si>
  <si>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</si>
  <si>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</si>
  <si>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</si>
  <si>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</si>
  <si>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</si>
  <si>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</si>
  <si>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</si>
  <si>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</si>
  <si>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</si>
  <si>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</si>
  <si>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</si>
  <si>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</si>
  <si>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</si>
  <si>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</si>
  <si>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</si>
  <si>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</si>
  <si>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</si>
  <si>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</si>
  <si>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</si>
  <si>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</si>
  <si>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</si>
  <si>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</si>
  <si>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</si>
  <si>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</si>
  <si>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</si>
  <si>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</si>
  <si>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</si>
  <si>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</si>
  <si>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</si>
  <si>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</si>
  <si>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</si>
  <si>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</si>
  <si>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</si>
  <si>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</si>
  <si>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</si>
  <si>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</si>
  <si>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</si>
  <si>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</si>
  <si>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</si>
  <si>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</si>
  <si>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</si>
  <si>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</si>
  <si>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</si>
  <si>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</si>
  <si>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</si>
  <si>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</si>
  <si>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</si>
  <si>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</si>
  <si>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</si>
  <si>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</si>
  <si>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</si>
  <si>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</si>
  <si>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</si>
  <si>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</si>
  <si>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</si>
  <si>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</si>
  <si>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</si>
  <si>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</si>
  <si>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</si>
  <si>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</si>
  <si>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</si>
  <si>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</si>
  <si>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</si>
  <si>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</si>
  <si>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</si>
  <si>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</si>
  <si>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</si>
  <si>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</si>
  <si>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</si>
  <si>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</si>
  <si>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</si>
  <si>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</si>
  <si>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</si>
  <si>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</si>
  <si>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</si>
  <si>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</si>
  <si>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</si>
  <si>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</si>
  <si>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</si>
  <si>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</si>
  <si>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</si>
  <si>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</si>
  <si>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</si>
  <si>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</si>
  <si>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</si>
  <si>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</si>
  <si>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</si>
  <si>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</si>
  <si>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</si>
  <si>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</si>
  <si>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</si>
  <si>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</si>
  <si>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</si>
  <si>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</si>
  <si>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</si>
  <si>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</si>
  <si>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</si>
  <si>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</si>
  <si>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</si>
  <si>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</si>
  <si>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</si>
  <si>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</si>
  <si>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</si>
  <si>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</si>
  <si>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</si>
  <si>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</si>
  <si>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</si>
  <si>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</si>
  <si>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</si>
  <si>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</si>
  <si>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</si>
  <si>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</si>
  <si>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</si>
  <si>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</si>
  <si>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</si>
  <si>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</si>
  <si>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</si>
  <si>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</si>
  <si>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</si>
  <si>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</si>
  <si>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</si>
  <si>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</si>
  <si>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</si>
  <si>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</si>
  <si>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</si>
  <si>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</si>
  <si>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</si>
  <si>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</si>
  <si>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</si>
  <si>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</si>
  <si>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</si>
  <si>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</si>
  <si>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</si>
  <si>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</si>
  <si>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</si>
  <si>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</si>
  <si>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</si>
  <si>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</si>
  <si>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</si>
  <si>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</si>
  <si>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</si>
  <si>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</si>
  <si>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</si>
  <si>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</si>
  <si>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</si>
  <si>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</si>
  <si>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</si>
  <si>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</si>
  <si>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</si>
  <si>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</si>
  <si>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</si>
  <si>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</si>
  <si>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</si>
  <si>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</si>
  <si>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</si>
  <si>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</si>
  <si>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</si>
  <si>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</si>
  <si>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</si>
  <si>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</si>
  <si>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</si>
  <si>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</si>
  <si>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</si>
  <si>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</si>
  <si>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</si>
  <si>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</si>
  <si>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</si>
  <si>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</si>
  <si>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</si>
  <si>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</si>
  <si>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</si>
  <si>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</si>
  <si>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</si>
  <si>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</si>
  <si>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</si>
  <si>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</si>
  <si>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</si>
  <si>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</si>
  <si>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</si>
  <si>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</si>
  <si>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</si>
  <si>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</si>
  <si>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</si>
  <si>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</si>
  <si>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</si>
  <si>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</si>
  <si>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</si>
  <si>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</si>
  <si>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</si>
  <si>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</si>
  <si>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</si>
  <si>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</si>
  <si>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</si>
  <si>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</si>
  <si>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</si>
  <si>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</si>
  <si>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</si>
  <si>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</si>
  <si>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</si>
  <si>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</si>
  <si>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</si>
  <si>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</si>
  <si>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</si>
  <si>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</si>
  <si>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</si>
  <si>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</si>
  <si>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</si>
  <si>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</si>
  <si>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</si>
  <si>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</si>
  <si>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</si>
  <si>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</si>
  <si>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</si>
  <si>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</si>
  <si>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</si>
  <si>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</si>
  <si>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</si>
  <si>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</si>
  <si>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</si>
  <si>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</si>
  <si>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</si>
  <si>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</si>
  <si>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</si>
  <si>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</si>
  <si>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</si>
  <si>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</si>
  <si>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</si>
  <si>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</si>
  <si>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</si>
  <si>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</si>
  <si>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</si>
  <si>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</si>
  <si>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</si>
  <si>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</si>
  <si>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</si>
  <si>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</si>
  <si>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</si>
  <si>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</si>
  <si>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</si>
  <si>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</si>
  <si>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</si>
  <si>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</si>
  <si>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</si>
  <si>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</si>
  <si>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</si>
  <si>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</si>
  <si>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</si>
  <si>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</si>
  <si>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</si>
  <si>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</si>
  <si>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</si>
  <si>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</si>
  <si>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</si>
  <si>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</si>
  <si>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</si>
  <si>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</si>
  <si>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</si>
  <si>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</si>
  <si>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</si>
  <si>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</si>
  <si>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</si>
  <si>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</si>
  <si>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</si>
  <si>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</si>
  <si>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</si>
  <si>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</si>
  <si>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</si>
  <si>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</si>
  <si>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</si>
  <si>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</si>
  <si>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</si>
  <si>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</si>
  <si>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</si>
  <si>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</si>
  <si>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</si>
  <si>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</si>
  <si>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</si>
  <si>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</si>
  <si>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</si>
  <si>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</si>
  <si>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</si>
  <si>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</si>
  <si>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</si>
  <si>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</si>
  <si>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</si>
  <si>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</si>
  <si>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</si>
  <si>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</si>
  <si>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</si>
  <si>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</si>
  <si>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</si>
  <si>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</si>
  <si>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</si>
  <si>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</si>
  <si>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</si>
  <si>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</si>
  <si>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</si>
  <si>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</si>
  <si>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</si>
  <si>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</si>
  <si>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</si>
  <si>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</si>
  <si>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</si>
  <si>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</si>
  <si>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</si>
  <si>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</si>
  <si>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</si>
  <si>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</si>
  <si>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</si>
  <si>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</si>
  <si>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</si>
  <si>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</si>
  <si>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</si>
  <si>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</si>
  <si>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</si>
  <si>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</si>
  <si>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</si>
  <si>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</si>
  <si>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</si>
  <si>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</si>
  <si>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</si>
  <si>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</si>
  <si>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</si>
  <si>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</si>
  <si>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</si>
  <si>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</si>
  <si>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</si>
  <si>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</si>
  <si>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</si>
  <si>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</si>
  <si>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</si>
  <si>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</si>
  <si>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</si>
  <si>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</si>
  <si>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</si>
  <si>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</si>
  <si>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</si>
  <si>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</si>
  <si>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</si>
  <si>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</si>
  <si>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</si>
  <si>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</si>
  <si>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</si>
  <si>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</si>
  <si>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</si>
  <si>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</si>
  <si>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</si>
  <si>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</si>
  <si>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</si>
  <si>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</si>
  <si>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</si>
  <si>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</si>
  <si>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</si>
  <si>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</si>
  <si>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</si>
  <si>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</si>
  <si>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</si>
  <si>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</si>
  <si>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</si>
  <si>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</si>
  <si>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</si>
  <si>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</si>
  <si>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</si>
  <si>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</si>
  <si>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</si>
  <si>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</si>
  <si>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</si>
  <si>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</si>
  <si>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</si>
  <si>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</si>
  <si>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</si>
  <si>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</si>
  <si>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</si>
  <si>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</si>
  <si>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</si>
  <si>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</si>
  <si>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</si>
  <si>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</si>
  <si>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</si>
  <si>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</si>
  <si>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</si>
  <si>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</si>
  <si>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</si>
  <si>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</si>
  <si>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</si>
  <si>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</si>
  <si>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</si>
  <si>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</si>
  <si>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</si>
  <si>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</si>
  <si>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</si>
  <si>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</si>
  <si>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</si>
  <si>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</si>
  <si>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</si>
  <si>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</si>
  <si>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</si>
  <si>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</si>
  <si>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</si>
  <si>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</si>
  <si>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</si>
  <si>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</si>
  <si>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</si>
  <si>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</si>
  <si>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</si>
  <si>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</si>
  <si>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</si>
  <si>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</si>
  <si>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</si>
  <si>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</si>
  <si>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</si>
  <si>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</si>
  <si>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</si>
  <si>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</si>
  <si>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</si>
  <si>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</si>
  <si>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</si>
  <si>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</si>
  <si>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</si>
  <si>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</si>
  <si>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</si>
  <si>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</si>
  <si>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</si>
  <si>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</si>
  <si>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</si>
  <si>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</si>
  <si>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</si>
  <si>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</si>
  <si>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</si>
  <si>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</si>
  <si>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</si>
  <si>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</si>
  <si>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</si>
  <si>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</si>
  <si>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</si>
  <si>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</si>
  <si>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</si>
  <si>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</si>
  <si>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</si>
  <si>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</si>
  <si>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</si>
  <si>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</si>
  <si>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</si>
  <si>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</si>
  <si>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</si>
  <si>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</si>
  <si>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</si>
  <si>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</si>
  <si>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</si>
  <si>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</si>
  <si>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</si>
  <si>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</si>
  <si>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</si>
  <si>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</si>
  <si>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</si>
  <si>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</si>
  <si>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</si>
  <si>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</si>
  <si>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</si>
  <si>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</si>
  <si>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</si>
  <si>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</si>
  <si>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</si>
  <si>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</si>
  <si>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</si>
  <si>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</si>
  <si>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</si>
  <si>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</si>
  <si>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</si>
  <si>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</si>
  <si>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</si>
  <si>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</si>
  <si>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</si>
  <si>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</si>
  <si>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</si>
  <si>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</si>
  <si>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</si>
  <si>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</si>
  <si>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</si>
  <si>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</si>
  <si>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</si>
  <si>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</si>
  <si>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</si>
  <si>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</si>
  <si>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</si>
  <si>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</si>
  <si>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</si>
  <si>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</si>
  <si>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</si>
  <si>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</si>
  <si>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</si>
  <si>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</si>
  <si>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</si>
  <si>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</si>
  <si>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</si>
  <si>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</si>
  <si>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</si>
  <si>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</si>
  <si>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</si>
  <si>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</si>
  <si>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</si>
  <si>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</si>
  <si>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</si>
  <si>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</si>
  <si>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</si>
  <si>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</si>
  <si>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</si>
  <si>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</si>
  <si>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</si>
  <si>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</si>
  <si>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</si>
  <si>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</si>
  <si>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</si>
  <si>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</si>
  <si>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</si>
  <si>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</si>
  <si>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</si>
  <si>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</si>
  <si>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</si>
  <si>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</si>
  <si>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</si>
  <si>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</si>
  <si>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</si>
  <si>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</si>
  <si>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</si>
  <si>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</si>
  <si>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</si>
  <si>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</si>
  <si>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</si>
  <si>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</si>
  <si>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</si>
  <si>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</si>
  <si>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</si>
  <si>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</si>
  <si>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</si>
  <si>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</si>
  <si>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</si>
  <si>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</si>
  <si>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</si>
  <si>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</si>
  <si>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</si>
  <si>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</si>
  <si>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</si>
  <si>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</si>
  <si>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</si>
  <si>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</si>
  <si>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</si>
  <si>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</si>
  <si>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</si>
  <si>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</si>
  <si>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</si>
  <si>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</si>
  <si>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</si>
  <si>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</si>
  <si>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</si>
  <si>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</si>
  <si>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</si>
  <si>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</si>
  <si>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</si>
  <si>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</si>
  <si>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</si>
  <si>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</si>
  <si>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</si>
  <si>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</si>
  <si>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</si>
  <si>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</si>
  <si>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</si>
  <si>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</si>
  <si>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</si>
  <si>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</si>
  <si>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</si>
  <si>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</si>
  <si>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</si>
  <si>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</si>
  <si>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</si>
  <si>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</si>
  <si>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</si>
  <si>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</si>
  <si>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</si>
  <si>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</si>
  <si>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</si>
  <si>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</si>
  <si>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</si>
  <si>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</si>
  <si>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</si>
  <si>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</si>
  <si>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</si>
  <si>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</si>
  <si>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</si>
  <si>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</si>
  <si>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</si>
  <si>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</si>
  <si>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</si>
  <si>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</si>
  <si>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</si>
  <si>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</si>
  <si>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</si>
  <si>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</si>
  <si>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</si>
  <si>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</si>
  <si>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</si>
  <si>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</si>
  <si>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</si>
  <si>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</si>
  <si>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</si>
  <si>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</si>
  <si>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</si>
  <si>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</si>
  <si>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</si>
  <si>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</si>
  <si>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</si>
  <si>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</si>
  <si>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</si>
  <si>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</si>
  <si>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</si>
  <si>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</si>
  <si>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</si>
  <si>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</si>
  <si>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</si>
  <si>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</si>
  <si>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</si>
  <si>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</si>
  <si>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</si>
  <si>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</si>
  <si>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</si>
  <si>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</si>
  <si>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</si>
  <si>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</si>
  <si>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</si>
  <si>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</si>
  <si>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</si>
  <si>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</si>
  <si>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</si>
  <si>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</si>
  <si>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</si>
  <si>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</si>
  <si>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</si>
  <si>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</si>
  <si>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</si>
  <si>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</si>
  <si>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</si>
  <si>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</si>
  <si>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</si>
  <si>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</si>
  <si>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</si>
  <si>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</si>
  <si>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</si>
  <si>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</si>
  <si>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</si>
  <si>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</si>
  <si>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</si>
  <si>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</si>
  <si>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</si>
  <si>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</si>
  <si>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</si>
  <si>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</si>
  <si>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</si>
  <si>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</si>
  <si>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</si>
  <si>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</si>
  <si>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</si>
  <si>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</si>
  <si>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</si>
  <si>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</si>
  <si>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</si>
  <si>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</si>
  <si>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</si>
  <si>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</si>
  <si>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</si>
  <si>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</si>
  <si>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</si>
  <si>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</si>
  <si>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</si>
  <si>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</si>
  <si>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</si>
  <si>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</si>
  <si>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</si>
  <si>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</si>
  <si>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</si>
  <si>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</si>
  <si>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</si>
  <si>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</si>
  <si>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</si>
  <si>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</si>
  <si>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</si>
  <si>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</si>
  <si>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</si>
  <si>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</si>
  <si>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</si>
  <si>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</si>
  <si>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</si>
  <si>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</si>
  <si>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</si>
  <si>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</si>
  <si>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</si>
  <si>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</si>
  <si>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</si>
  <si>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</si>
  <si>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</si>
  <si>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</si>
  <si>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</si>
  <si>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</si>
  <si>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</si>
  <si>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</si>
  <si>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</si>
  <si>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</si>
  <si>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</si>
  <si>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</si>
  <si>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</si>
  <si>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</si>
  <si>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</si>
  <si>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</si>
  <si>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</si>
  <si>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</si>
  <si>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</si>
  <si>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</si>
  <si>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</si>
  <si>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</si>
  <si>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</si>
  <si>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</si>
  <si>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</si>
  <si>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</si>
  <si>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</si>
  <si>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</si>
  <si>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</si>
  <si>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</si>
  <si>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</si>
  <si>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</si>
  <si>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</si>
  <si>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</si>
  <si>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</si>
  <si>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</si>
  <si>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</si>
  <si>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</si>
  <si>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</si>
  <si>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</si>
  <si>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</si>
  <si>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</si>
  <si>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</si>
  <si>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</si>
  <si>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</si>
  <si>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</si>
  <si>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</si>
  <si>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</si>
  <si>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</si>
  <si>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</si>
  <si>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</si>
  <si>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</si>
  <si>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</si>
  <si>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</si>
  <si>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</si>
  <si>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</si>
  <si>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</si>
  <si>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</si>
  <si>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</si>
  <si>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</si>
  <si>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</si>
  <si>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</si>
  <si>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</si>
  <si>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</si>
  <si>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</si>
  <si>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</si>
  <si>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</si>
  <si>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</si>
  <si>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</si>
  <si>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</si>
  <si>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</si>
  <si>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</si>
  <si>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</si>
  <si>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</si>
  <si>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</si>
  <si>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</si>
  <si>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</si>
  <si>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</si>
  <si>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</si>
  <si>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</si>
  <si>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</si>
  <si>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</si>
  <si>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</si>
  <si>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</si>
  <si>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</si>
  <si>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</si>
  <si>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</si>
  <si>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</si>
  <si>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</si>
  <si>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</si>
  <si>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</si>
  <si>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</si>
  <si>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</si>
  <si>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</si>
  <si>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</si>
  <si>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</si>
  <si>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</si>
  <si>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</si>
  <si>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</si>
  <si>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</si>
  <si>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</si>
  <si>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</si>
  <si>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</si>
  <si>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</si>
  <si>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</si>
  <si>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</si>
  <si>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</si>
  <si>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</si>
  <si>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</si>
  <si>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</si>
  <si>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</si>
  <si>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</si>
  <si>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</si>
  <si>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</si>
  <si>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</si>
  <si>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</si>
  <si>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</si>
  <si>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</si>
  <si>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</si>
  <si>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</si>
  <si>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</si>
  <si>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</si>
  <si>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</si>
  <si>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</si>
  <si>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</si>
  <si>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</si>
  <si>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</si>
  <si>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</si>
  <si>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</si>
  <si>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</si>
  <si>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</si>
  <si>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</si>
  <si>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</si>
  <si>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</si>
  <si>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</si>
  <si>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</si>
  <si>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</si>
  <si>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</si>
  <si>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</si>
  <si>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</si>
  <si>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</si>
  <si>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</si>
  <si>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</si>
  <si>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</si>
  <si>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</si>
  <si>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</si>
  <si>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</si>
  <si>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</si>
  <si>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</si>
  <si>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</si>
  <si>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</si>
  <si>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</si>
  <si>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</si>
  <si>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</si>
  <si>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</si>
  <si>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</si>
  <si>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</si>
  <si>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</si>
  <si>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</si>
  <si>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</si>
  <si>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</si>
  <si>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</si>
  <si>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</si>
  <si>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</si>
  <si>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</si>
  <si>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</si>
  <si>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</si>
  <si>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</si>
  <si>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</si>
  <si>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</si>
  <si>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</si>
  <si>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</si>
  <si>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</si>
  <si>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</si>
  <si>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</si>
  <si>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</si>
  <si>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</si>
  <si>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</si>
  <si>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</si>
  <si>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</si>
  <si>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</si>
  <si>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</si>
  <si>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</si>
  <si>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</si>
  <si>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</si>
  <si>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</si>
  <si>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</si>
  <si>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</si>
  <si>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</si>
  <si>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</si>
  <si>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</si>
  <si>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</si>
  <si>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</si>
  <si>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</si>
  <si>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</si>
  <si>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</si>
  <si>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</si>
  <si>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</si>
  <si>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</si>
  <si>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</si>
  <si>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</si>
  <si>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</si>
  <si>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</si>
  <si>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</si>
  <si>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</si>
  <si>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</si>
  <si>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</si>
  <si>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</si>
  <si>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</si>
  <si>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</si>
  <si>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</si>
  <si>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</si>
  <si>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</si>
  <si>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</si>
  <si>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</si>
  <si>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</si>
  <si>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</si>
  <si>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</si>
  <si>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</si>
  <si>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</si>
  <si>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</si>
  <si>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</si>
  <si>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</si>
  <si>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</si>
  <si>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</si>
  <si>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</si>
  <si>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</si>
  <si>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</si>
  <si>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</si>
  <si>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</si>
  <si>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</si>
  <si>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</si>
  <si>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</si>
  <si>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</si>
  <si>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</si>
  <si>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</si>
  <si>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</si>
  <si>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</si>
  <si>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</si>
  <si>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</si>
  <si>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</si>
  <si>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</si>
  <si>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</si>
  <si>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</si>
  <si>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</si>
  <si>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</si>
  <si>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</si>
  <si>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</si>
  <si>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</si>
  <si>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</si>
  <si>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</si>
  <si>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</si>
  <si>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</si>
  <si>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</si>
  <si>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</si>
  <si>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</si>
  <si>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</si>
  <si>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</si>
  <si>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</si>
  <si>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</si>
  <si>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</si>
  <si>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</si>
  <si>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</si>
  <si>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</si>
  <si>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</si>
  <si>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</si>
  <si>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</si>
  <si>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</si>
  <si>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</si>
  <si>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</si>
  <si>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</si>
  <si>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</si>
  <si>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</si>
  <si>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</si>
  <si>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</si>
  <si>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</si>
  <si>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</si>
  <si>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</si>
  <si>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</si>
  <si>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</si>
  <si>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</si>
  <si>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</si>
  <si>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</si>
  <si>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</si>
  <si>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</si>
  <si>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</si>
  <si>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</si>
  <si>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</si>
  <si>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</si>
  <si>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</si>
  <si>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</si>
  <si>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</si>
  <si>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</si>
  <si>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</si>
  <si>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</si>
  <si>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</si>
  <si>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</si>
  <si>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</si>
  <si>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</si>
  <si>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</si>
  <si>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</si>
  <si>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</si>
  <si>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</si>
  <si>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</si>
  <si>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</si>
  <si>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</si>
  <si>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</si>
  <si>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</si>
  <si>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</si>
  <si>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</si>
  <si>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</si>
  <si>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</si>
  <si>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</si>
  <si>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</si>
  <si>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</si>
  <si>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</si>
  <si>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</si>
  <si>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</si>
  <si>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</si>
  <si>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</si>
  <si>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</si>
  <si>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</si>
  <si>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</si>
  <si>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</si>
  <si>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</si>
  <si>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</si>
  <si>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</si>
  <si>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</si>
  <si>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</si>
  <si>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</si>
  <si>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</si>
  <si>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</si>
  <si>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</si>
  <si>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</si>
  <si>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</si>
  <si>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</si>
  <si>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</si>
  <si>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</si>
  <si>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</si>
  <si>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</si>
  <si>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</si>
  <si>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</si>
  <si>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</si>
  <si>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</si>
  <si>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</si>
  <si>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</si>
  <si>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</si>
  <si>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</si>
  <si>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</si>
  <si>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</si>
  <si>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</si>
  <si>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</si>
  <si>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</si>
  <si>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</si>
  <si>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</si>
  <si>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</si>
  <si>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</si>
  <si>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</si>
  <si>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</si>
  <si>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</si>
  <si>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</si>
  <si>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</si>
  <si>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</si>
  <si>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</si>
  <si>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</si>
  <si>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</si>
  <si>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</si>
  <si>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</si>
  <si>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</si>
  <si>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</si>
  <si>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</si>
  <si>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</si>
  <si>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</si>
  <si>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</si>
  <si>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</si>
  <si>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</si>
  <si>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</si>
  <si>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</si>
  <si>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</si>
  <si>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</si>
  <si>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</si>
  <si>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</si>
  <si>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</si>
  <si>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</si>
  <si>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</si>
  <si>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</si>
  <si>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</si>
  <si>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</si>
  <si>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</si>
  <si>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</si>
  <si>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</si>
  <si>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</si>
  <si>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</si>
  <si>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</si>
  <si>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</si>
  <si>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</si>
  <si>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</si>
  <si>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</si>
  <si>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</si>
  <si>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</si>
  <si>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</si>
  <si>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</si>
  <si>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</si>
  <si>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</si>
  <si>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</si>
  <si>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</si>
  <si>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</si>
  <si>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</si>
  <si>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</si>
  <si>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</si>
  <si>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</si>
  <si>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</si>
  <si>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</si>
  <si>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</si>
  <si>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</si>
  <si>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</si>
  <si>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</si>
  <si>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</si>
  <si>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</si>
  <si>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</si>
  <si>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</si>
  <si>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</si>
  <si>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</si>
  <si>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</si>
  <si>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</si>
  <si>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</si>
  <si>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</si>
  <si>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</si>
  <si>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</si>
  <si>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</si>
  <si>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</si>
  <si>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</si>
  <si>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</si>
  <si>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</si>
  <si>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</si>
  <si>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</si>
  <si>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</si>
  <si>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</si>
  <si>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</si>
  <si>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</si>
  <si>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</si>
  <si>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</si>
  <si>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</si>
  <si>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</si>
  <si>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</si>
  <si>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</si>
  <si>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</si>
  <si>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</si>
  <si>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</si>
  <si>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</si>
  <si>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</si>
  <si>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</si>
  <si>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</si>
  <si>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</si>
  <si>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</si>
  <si>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</si>
  <si>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</si>
  <si>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</si>
  <si>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</si>
  <si>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</si>
  <si>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</si>
  <si>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</si>
  <si>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</si>
  <si>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</si>
  <si>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</si>
  <si>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</si>
  <si>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</si>
  <si>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</si>
  <si>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</si>
  <si>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</si>
  <si>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</si>
  <si>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</si>
  <si>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</si>
  <si>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</si>
  <si>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</si>
  <si>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</si>
  <si>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</si>
  <si>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</si>
  <si>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</si>
  <si>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</si>
  <si>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</si>
  <si>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</si>
  <si>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</si>
  <si>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</si>
  <si>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</si>
  <si>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</si>
  <si>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</si>
  <si>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</si>
  <si>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</si>
  <si>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</si>
  <si>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</si>
  <si>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</si>
  <si>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</si>
  <si>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</si>
  <si>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</si>
  <si>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</si>
  <si>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</si>
  <si>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</si>
  <si>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</si>
  <si>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</si>
  <si>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</si>
  <si>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</si>
  <si>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</si>
  <si>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</si>
  <si>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</si>
  <si>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</si>
  <si>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</si>
  <si>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</si>
  <si>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</si>
  <si>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</si>
  <si>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</si>
  <si>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</si>
  <si>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</si>
  <si>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</si>
  <si>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</si>
  <si>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</si>
  <si>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</si>
  <si>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</si>
  <si>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</si>
  <si>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</si>
  <si>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</si>
  <si>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</si>
  <si>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</si>
  <si>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</si>
  <si>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</si>
  <si>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</si>
  <si>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</si>
  <si>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</si>
  <si>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</si>
  <si>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</si>
  <si>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</si>
  <si>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</si>
  <si>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</si>
  <si>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</si>
  <si>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</si>
  <si>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</si>
  <si>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</si>
  <si>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</si>
  <si>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</si>
  <si>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</si>
  <si>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</si>
  <si>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</si>
  <si>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</si>
  <si>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</si>
  <si>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</si>
  <si>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</si>
  <si>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</si>
  <si>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</si>
  <si>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</si>
  <si>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</si>
  <si>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</si>
  <si>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</si>
  <si>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</si>
  <si>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</si>
  <si>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</si>
  <si>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</si>
  <si>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</si>
  <si>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</si>
  <si>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</si>
  <si>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</si>
  <si>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</si>
  <si>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</si>
  <si>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</si>
  <si>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</si>
  <si>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</si>
  <si>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</si>
  <si>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</si>
  <si>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</si>
  <si>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</si>
  <si>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</si>
  <si>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</si>
  <si>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</si>
  <si>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</si>
  <si>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</si>
  <si>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</si>
  <si>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</si>
  <si>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</si>
  <si>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</si>
  <si>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</si>
  <si>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</si>
  <si>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</si>
  <si>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</si>
  <si>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</si>
  <si>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</si>
  <si>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</si>
  <si>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</si>
  <si>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</si>
  <si>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</si>
  <si>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</si>
  <si>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</si>
  <si>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</si>
  <si>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</si>
  <si>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</si>
  <si>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</si>
  <si>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</si>
  <si>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</si>
  <si>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</si>
  <si>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</si>
  <si>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</si>
  <si>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</si>
  <si>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</si>
  <si>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</si>
  <si>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</si>
  <si>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</si>
  <si>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</si>
  <si>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</si>
  <si>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</si>
  <si>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</si>
  <si>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</si>
  <si>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</si>
  <si>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</si>
  <si>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</si>
  <si>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</si>
  <si>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</si>
  <si>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</si>
  <si>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</si>
  <si>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</si>
  <si>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</si>
  <si>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</si>
  <si>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</si>
  <si>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</si>
  <si>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</si>
  <si>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</si>
  <si>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</si>
  <si>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</si>
  <si>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</si>
  <si>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</si>
  <si>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</si>
  <si>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</si>
  <si>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</si>
  <si>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</si>
  <si>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</si>
  <si>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</si>
  <si>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</si>
  <si>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</si>
  <si>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</si>
  <si>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</si>
  <si>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</si>
  <si>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</si>
  <si>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</si>
  <si>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</si>
  <si>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</si>
  <si>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</si>
  <si>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</si>
  <si>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</si>
  <si>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</si>
  <si>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</si>
  <si>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</si>
  <si>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</si>
  <si>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</si>
  <si>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</si>
  <si>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</si>
  <si>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</si>
  <si>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</si>
  <si>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</si>
  <si>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</si>
  <si>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</si>
  <si>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</si>
  <si>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</si>
  <si>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</si>
  <si>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</si>
  <si>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</si>
  <si>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</si>
  <si>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</si>
  <si>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</si>
  <si>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</si>
  <si>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</si>
  <si>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</si>
  <si>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</si>
  <si>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</si>
  <si>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</si>
  <si>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</si>
  <si>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</si>
  <si>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</si>
  <si>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</si>
  <si>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</si>
  <si>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</si>
  <si>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</si>
  <si>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</si>
  <si>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</si>
  <si>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</si>
  <si>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</si>
  <si>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</si>
  <si>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</si>
  <si>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</si>
  <si>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</si>
  <si>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</si>
  <si>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</si>
  <si>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</si>
  <si>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</si>
  <si>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</si>
  <si>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</si>
  <si>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</si>
  <si>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</si>
  <si>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</si>
  <si>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</si>
  <si>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</si>
  <si>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</si>
  <si>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</si>
  <si>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</si>
  <si>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</si>
  <si>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</si>
  <si>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</si>
  <si>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</si>
  <si>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</si>
  <si>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</si>
  <si>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</si>
  <si>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</si>
  <si>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</si>
  <si>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</si>
  <si>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</si>
  <si>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</si>
  <si>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</si>
  <si>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</si>
  <si>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</si>
  <si>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</si>
  <si>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</si>
  <si>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</si>
  <si>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</si>
  <si>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</si>
  <si>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</si>
  <si>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</si>
  <si>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</si>
  <si>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</si>
  <si>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</si>
  <si>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</si>
  <si>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</si>
  <si>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</si>
  <si>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</si>
  <si>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</si>
  <si>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</si>
  <si>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</si>
  <si>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</si>
  <si>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</si>
  <si>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</si>
  <si>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</si>
  <si>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</si>
  <si>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</si>
  <si>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</si>
  <si>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</si>
  <si>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</si>
  <si>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</si>
  <si>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</si>
  <si>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</si>
  <si>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</si>
  <si>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</si>
  <si>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</si>
  <si>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</si>
  <si>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</si>
  <si>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</si>
  <si>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</si>
  <si>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</si>
  <si>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</si>
  <si>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</si>
  <si>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</si>
  <si>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</si>
  <si>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</si>
  <si>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</si>
  <si>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</si>
  <si>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</si>
  <si>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</si>
  <si>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</si>
  <si>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</si>
  <si>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</si>
  <si>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</si>
  <si>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</si>
  <si>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</si>
  <si>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</si>
  <si>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</si>
  <si>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</si>
  <si>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</si>
  <si>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</si>
  <si>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</si>
  <si>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</si>
  <si>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</si>
  <si>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</si>
  <si>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</si>
  <si>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</si>
  <si>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</si>
  <si>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</si>
  <si>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</si>
  <si>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</si>
  <si>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</si>
  <si>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</si>
  <si>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</si>
  <si>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</si>
  <si>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</si>
  <si>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</si>
  <si>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</si>
  <si>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</si>
  <si>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</si>
  <si>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</si>
  <si>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</si>
  <si>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</si>
  <si>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</si>
  <si>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</si>
  <si>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</si>
  <si>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</si>
  <si>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</si>
  <si>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</si>
  <si>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</si>
  <si>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</si>
  <si>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</si>
  <si>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</si>
  <si>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</si>
  <si>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</si>
  <si>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</si>
  <si>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</si>
  <si>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</si>
  <si>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</si>
  <si>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</si>
  <si>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</si>
  <si>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</si>
  <si>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</si>
  <si>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</si>
  <si>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</si>
  <si>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</si>
  <si>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</si>
  <si>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</si>
  <si>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</si>
  <si>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</si>
  <si>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</si>
  <si>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</si>
  <si>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</si>
  <si>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</si>
  <si>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</si>
  <si>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</si>
  <si>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</si>
  <si>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</si>
  <si>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</si>
  <si>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</si>
  <si>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</si>
  <si>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</si>
  <si>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</si>
  <si>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</si>
  <si>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</si>
  <si>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</si>
  <si>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</si>
  <si>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</si>
  <si>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</si>
  <si>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</si>
  <si>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</si>
  <si>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</si>
  <si>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</si>
  <si>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</si>
  <si>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</si>
  <si>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</si>
  <si>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</si>
  <si>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</si>
  <si>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</si>
  <si>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</si>
  <si>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</si>
  <si>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</si>
  <si>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</si>
  <si>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</si>
  <si>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</si>
  <si>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</si>
  <si>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</si>
  <si>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</si>
  <si>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</si>
  <si>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</si>
  <si>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</si>
  <si>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</si>
  <si>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</si>
  <si>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</si>
  <si>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</si>
  <si>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</si>
  <si>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</si>
  <si>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</si>
  <si>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</si>
  <si>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</si>
  <si>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</si>
  <si>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</si>
  <si>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</si>
  <si>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</si>
  <si>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</si>
  <si>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</si>
  <si>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</si>
  <si>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</si>
  <si>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</si>
  <si>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</si>
  <si>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</si>
  <si>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</si>
  <si>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</si>
  <si>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</si>
  <si>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</si>
  <si>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</si>
  <si>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</si>
  <si>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</si>
  <si>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</si>
  <si>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</si>
  <si>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</si>
  <si>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</si>
  <si>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</si>
  <si>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</si>
  <si>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</si>
  <si>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</si>
  <si>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</si>
  <si>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</si>
  <si>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</si>
  <si>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</si>
  <si>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</si>
  <si>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</si>
  <si>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</si>
  <si>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</si>
  <si>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</si>
  <si>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</si>
  <si>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</si>
  <si>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</si>
  <si>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</si>
  <si>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</si>
  <si>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</si>
  <si>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</si>
  <si>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</si>
  <si>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</si>
  <si>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</si>
  <si>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</si>
  <si>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</si>
  <si>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</si>
  <si>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</si>
  <si>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</si>
  <si>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</si>
  <si>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</si>
  <si>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</si>
  <si>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</si>
  <si>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</si>
  <si>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</si>
  <si>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</si>
  <si>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</si>
  <si>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</si>
  <si>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</si>
  <si>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</si>
  <si>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</si>
  <si>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</si>
  <si>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</si>
  <si>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</si>
  <si>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</si>
  <si>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</si>
  <si>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</si>
  <si>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</si>
  <si>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</si>
  <si>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</si>
  <si>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</si>
  <si>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</si>
  <si>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</si>
  <si>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</si>
  <si>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</si>
  <si>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</si>
  <si>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</si>
  <si>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</si>
  <si>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</si>
  <si>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</si>
  <si>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</si>
  <si>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</si>
  <si>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</si>
  <si>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</si>
  <si>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</si>
  <si>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</si>
  <si>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</si>
  <si>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</si>
  <si>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</si>
  <si>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</si>
  <si>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</si>
  <si>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</si>
  <si>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</si>
  <si>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</si>
  <si>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</si>
  <si>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</si>
  <si>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</si>
  <si>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</si>
  <si>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</si>
  <si>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</si>
  <si>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</si>
  <si>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</si>
  <si>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</si>
  <si>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</si>
  <si>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</si>
  <si>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</si>
  <si>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</si>
  <si>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</si>
  <si>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</si>
  <si>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</si>
  <si>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</si>
  <si>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</si>
  <si>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</si>
  <si>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</si>
  <si>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</si>
  <si>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</si>
  <si>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</si>
  <si>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</si>
  <si>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</si>
  <si>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</si>
  <si>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</si>
  <si>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</si>
  <si>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</si>
  <si>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</si>
  <si>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</si>
  <si>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</si>
  <si>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</si>
  <si>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</si>
  <si>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</si>
  <si>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</si>
  <si>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</si>
  <si>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</si>
  <si>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</si>
  <si>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</si>
  <si>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</si>
  <si>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</si>
  <si>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</si>
  <si>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</si>
  <si>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</si>
  <si>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</si>
  <si>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</si>
  <si>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</si>
  <si>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</si>
  <si>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</si>
  <si>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</si>
  <si>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</si>
  <si>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</si>
  <si>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</si>
  <si>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</si>
  <si>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</si>
  <si>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</si>
  <si>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</si>
  <si>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</si>
  <si>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</si>
  <si>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</si>
  <si>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</si>
  <si>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</si>
  <si>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</si>
  <si>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</si>
  <si>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</si>
  <si>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</si>
  <si>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</si>
  <si>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</si>
  <si>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</si>
  <si>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</si>
  <si>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</si>
  <si>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</si>
  <si>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</si>
  <si>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</si>
  <si>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</si>
  <si>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</si>
  <si>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</si>
  <si>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</si>
  <si>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</si>
  <si>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</si>
  <si>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</si>
  <si>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</si>
  <si>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</si>
  <si>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</si>
  <si>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</si>
  <si>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</si>
  <si>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</si>
  <si>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</si>
  <si>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</si>
  <si>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</si>
  <si>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</si>
  <si>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</si>
  <si>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</si>
  <si>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</si>
  <si>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</si>
  <si>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</si>
  <si>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</si>
  <si>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</si>
  <si>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</si>
  <si>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</si>
  <si>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</si>
  <si>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</si>
  <si>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</si>
  <si>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</si>
  <si>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</si>
  <si>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</si>
  <si>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</si>
  <si>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</si>
  <si>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</si>
  <si>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</si>
  <si>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</si>
  <si>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</si>
  <si>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</si>
  <si>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</si>
  <si>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</si>
  <si>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</si>
  <si>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</si>
  <si>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</si>
  <si>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</si>
  <si>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</si>
  <si>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</si>
  <si>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</si>
  <si>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</si>
  <si>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</si>
  <si>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</si>
  <si>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</si>
  <si>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</si>
  <si>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</si>
  <si>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</si>
  <si>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</si>
  <si>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</si>
  <si>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</si>
  <si>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</si>
  <si>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</si>
  <si>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</si>
  <si>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</si>
  <si>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</si>
  <si>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</si>
  <si>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</si>
  <si>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</si>
  <si>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</si>
  <si>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</si>
  <si>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</si>
  <si>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</si>
  <si>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</si>
  <si>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</si>
  <si>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</si>
  <si>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</si>
  <si>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</si>
  <si>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</si>
  <si>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</si>
  <si>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</si>
  <si>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</si>
  <si>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</si>
  <si>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</si>
  <si>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</si>
  <si>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</si>
  <si>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</si>
  <si>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</si>
  <si>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</si>
  <si>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</si>
  <si>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</si>
  <si>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</si>
  <si>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</si>
  <si>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</si>
  <si>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</si>
  <si>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</si>
  <si>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</si>
  <si>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</si>
  <si>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</si>
  <si>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</si>
  <si>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</si>
  <si>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</si>
  <si>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</si>
  <si>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</si>
  <si>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</si>
  <si>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</si>
  <si>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</si>
  <si>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</si>
  <si>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</si>
  <si>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</si>
  <si>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</si>
  <si>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</si>
  <si>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</si>
  <si>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</si>
  <si>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</si>
  <si>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</si>
  <si>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</si>
  <si>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</si>
  <si>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</si>
  <si>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</si>
  <si>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</si>
  <si>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</si>
  <si>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</si>
  <si>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</si>
  <si>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</si>
  <si>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</si>
  <si>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</si>
  <si>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</si>
  <si>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</si>
  <si>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</si>
  <si>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</si>
  <si>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</si>
  <si>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</si>
  <si>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</si>
  <si>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</si>
  <si>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</si>
  <si>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</si>
  <si>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</si>
  <si>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</si>
  <si>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</si>
  <si>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</si>
  <si>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</si>
  <si>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</si>
  <si>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</si>
  <si>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</si>
  <si>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</si>
  <si>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</si>
  <si>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</si>
  <si>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</si>
  <si>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</si>
  <si>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</si>
  <si>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</si>
  <si>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</si>
  <si>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</si>
  <si>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</si>
  <si>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</si>
  <si>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</si>
  <si>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</si>
  <si>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</si>
  <si>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</si>
  <si>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</si>
  <si>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</si>
  <si>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</si>
  <si>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</si>
  <si>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</si>
  <si>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</si>
  <si>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</si>
  <si>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</si>
  <si>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</si>
  <si>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</si>
  <si>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</si>
  <si>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</si>
  <si>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</si>
  <si>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</si>
  <si>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</si>
  <si>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</si>
  <si>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</si>
  <si>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</si>
  <si>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</si>
  <si>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</si>
  <si>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</si>
  <si>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</si>
  <si>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</si>
  <si>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</si>
  <si>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</si>
  <si>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</si>
  <si>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</si>
  <si>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</si>
  <si>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</si>
  <si>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</si>
  <si>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</si>
  <si>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</si>
  <si>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</si>
  <si>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</si>
  <si>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</si>
  <si>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</si>
  <si>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</si>
  <si>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</si>
  <si>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</si>
  <si>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</si>
  <si>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</si>
  <si>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</si>
  <si>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</si>
  <si>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</si>
  <si>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</si>
  <si>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</si>
  <si>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</si>
  <si>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</si>
  <si>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</si>
  <si>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</si>
  <si>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</si>
  <si>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</si>
  <si>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</si>
  <si>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</si>
  <si>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</si>
  <si>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</si>
  <si>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</si>
  <si>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</si>
  <si>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</si>
  <si>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</si>
  <si>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</si>
  <si>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</si>
  <si>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</si>
  <si>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</si>
  <si>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</si>
  <si>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</si>
  <si>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</si>
  <si>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</si>
  <si>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</si>
  <si>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</si>
  <si>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</si>
  <si>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</si>
  <si>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</si>
  <si>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</si>
  <si>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</si>
  <si>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</si>
  <si>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</si>
  <si>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</si>
  <si>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</si>
  <si>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</si>
  <si>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</si>
  <si>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</si>
  <si>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</si>
  <si>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</si>
  <si>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</si>
  <si>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</si>
  <si>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</si>
  <si>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</si>
  <si>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</si>
  <si>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</si>
  <si>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</si>
  <si>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</si>
  <si>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</si>
  <si>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</si>
  <si>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</si>
  <si>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</si>
  <si>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</si>
  <si>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</si>
  <si>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</si>
  <si>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</si>
  <si>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</si>
  <si>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</si>
  <si>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</si>
  <si>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</si>
  <si>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</si>
  <si>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</si>
  <si>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</si>
  <si>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</si>
  <si>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</si>
  <si>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</si>
  <si>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</si>
  <si>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</si>
  <si>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</si>
  <si>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</si>
  <si>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</si>
  <si>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</si>
  <si>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</si>
  <si>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</si>
  <si>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</si>
  <si>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</si>
  <si>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</si>
  <si>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</si>
  <si>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</si>
  <si>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</si>
  <si>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</si>
  <si>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</si>
  <si>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</si>
  <si>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</si>
  <si>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</si>
  <si>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</si>
  <si>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</si>
  <si>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</si>
  <si>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</si>
  <si>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</si>
  <si>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</si>
  <si>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</si>
  <si>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</si>
  <si>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</si>
  <si>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</si>
  <si>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</si>
  <si>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</si>
  <si>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</si>
  <si>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</si>
  <si>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</si>
  <si>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</si>
  <si>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</si>
  <si>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</si>
  <si>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</si>
  <si>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</si>
  <si>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</si>
  <si>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</si>
  <si>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</si>
  <si>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</si>
  <si>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</si>
  <si>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</si>
  <si>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</si>
  <si>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</si>
  <si>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</si>
  <si>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</si>
  <si>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</si>
  <si>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</si>
  <si>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</si>
  <si>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</si>
  <si>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</si>
  <si>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</si>
  <si>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</si>
  <si>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</si>
  <si>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</si>
  <si>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</si>
  <si>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</si>
  <si>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</si>
  <si>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</si>
  <si>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</si>
  <si>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</si>
  <si>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</si>
  <si>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</si>
  <si>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</si>
  <si>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</si>
  <si>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</si>
  <si>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</si>
  <si>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</si>
  <si>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</si>
  <si>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</si>
  <si>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</si>
  <si>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</si>
  <si>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</si>
  <si>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</si>
  <si>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</si>
  <si>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</si>
  <si>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</si>
  <si>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</si>
  <si>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</si>
  <si>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</si>
  <si>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</si>
  <si>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</si>
  <si>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</si>
  <si>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</si>
  <si>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</si>
  <si>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</si>
  <si>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</si>
  <si>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</si>
  <si>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</si>
  <si>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</si>
  <si>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</si>
  <si>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</si>
  <si>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</si>
  <si>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</si>
  <si>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</si>
  <si>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</si>
  <si>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</si>
  <si>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</si>
  <si>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</si>
  <si>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</si>
  <si>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</si>
  <si>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</si>
  <si>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</si>
  <si>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</si>
  <si>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</si>
  <si>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</si>
  <si>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</si>
  <si>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</si>
  <si>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</si>
  <si>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</si>
  <si>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</si>
  <si>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</si>
  <si>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</si>
  <si>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</si>
  <si>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</si>
  <si>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</si>
  <si>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</si>
  <si>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</si>
  <si>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</si>
  <si>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</si>
  <si>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</si>
  <si>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</si>
  <si>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</si>
  <si>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</si>
  <si>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</si>
  <si>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</si>
  <si>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</si>
  <si>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</si>
  <si>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</si>
  <si>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</si>
  <si>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</si>
  <si>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</si>
  <si>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</si>
  <si>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</si>
  <si>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</si>
  <si>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</si>
  <si>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</si>
  <si>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</si>
  <si>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</si>
  <si>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</si>
  <si>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</si>
  <si>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</si>
  <si>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</si>
  <si>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</si>
  <si>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</si>
  <si>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</si>
  <si>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</si>
  <si>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</si>
  <si>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</si>
  <si>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</si>
  <si>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</si>
  <si>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</si>
  <si>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</si>
  <si>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</si>
  <si>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</si>
  <si>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</si>
  <si>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</si>
  <si>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</si>
  <si>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</si>
  <si>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</si>
  <si>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</si>
  <si>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</si>
  <si>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</si>
  <si>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</si>
  <si>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</si>
  <si>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</si>
  <si>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</si>
  <si>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</si>
  <si>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</si>
  <si>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</si>
  <si>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</si>
  <si>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</si>
  <si>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</si>
  <si>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</si>
  <si>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</si>
  <si>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</si>
  <si>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</si>
  <si>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</si>
  <si>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</si>
  <si>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</si>
  <si>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</si>
  <si>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</si>
  <si>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</si>
  <si>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</si>
  <si>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</si>
  <si>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</si>
  <si>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</si>
  <si>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</si>
  <si>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</si>
  <si>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</si>
  <si>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</si>
  <si>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</si>
  <si>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</si>
  <si>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</si>
  <si>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</si>
  <si>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</si>
  <si>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</si>
  <si>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</si>
  <si>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</si>
  <si>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</si>
  <si>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</si>
  <si>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</si>
  <si>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</si>
  <si>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</si>
  <si>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</si>
  <si>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</si>
  <si>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</si>
  <si>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</si>
  <si>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</si>
  <si>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</si>
  <si>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</si>
  <si>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</si>
  <si>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</si>
  <si>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</si>
  <si>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</si>
  <si>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</si>
  <si>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</si>
  <si>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</si>
  <si>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</si>
  <si>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</si>
  <si>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</si>
  <si>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</si>
  <si>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</si>
  <si>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</si>
  <si>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</si>
  <si>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</si>
  <si>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</si>
  <si>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</si>
  <si>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</si>
  <si>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</si>
  <si>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</si>
  <si>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</si>
  <si>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</si>
  <si>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</si>
  <si>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</si>
  <si>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</si>
  <si>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</si>
  <si>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</si>
  <si>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</si>
  <si>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</si>
  <si>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</si>
  <si>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</si>
  <si>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</si>
  <si>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</si>
  <si>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</si>
  <si>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</si>
  <si>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</si>
  <si>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</si>
  <si>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</si>
  <si>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</si>
  <si>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</si>
  <si>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</si>
  <si>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</si>
  <si>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</si>
  <si>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</si>
  <si>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</si>
  <si>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</si>
  <si>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</si>
  <si>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</si>
  <si>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</si>
  <si>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</si>
  <si>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</si>
  <si>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</si>
  <si>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</si>
  <si>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</si>
  <si>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</si>
  <si>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</si>
  <si>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</si>
  <si>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</si>
  <si>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</si>
  <si>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</si>
  <si>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</si>
  <si>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</si>
  <si>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</si>
  <si>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</si>
  <si>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</si>
  <si>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</si>
  <si>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</si>
  <si>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</si>
  <si>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</si>
  <si>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</si>
  <si>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</si>
  <si>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</si>
  <si>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</si>
  <si>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</si>
  <si>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</si>
  <si>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</si>
  <si>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</si>
  <si>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</si>
  <si>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</si>
  <si>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</si>
  <si>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</si>
  <si>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</si>
  <si>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</si>
  <si>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</si>
  <si>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</si>
  <si>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</si>
  <si>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</si>
  <si>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</si>
  <si>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</si>
  <si>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</si>
  <si>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</si>
  <si>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</si>
  <si>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</si>
  <si>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</si>
  <si>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</si>
  <si>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</si>
  <si>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</si>
  <si>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</si>
  <si>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</si>
  <si>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</si>
  <si>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</si>
  <si>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</si>
  <si>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</si>
  <si>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</si>
  <si>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</si>
  <si>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</si>
  <si>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</si>
  <si>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</si>
  <si>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</si>
  <si>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</si>
  <si>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</si>
  <si>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</si>
  <si>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</si>
  <si>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</si>
  <si>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</si>
  <si>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</si>
  <si>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</si>
  <si>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</si>
  <si>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</si>
  <si>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</si>
  <si>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</si>
  <si>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</si>
  <si>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</si>
  <si>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</si>
  <si>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</si>
  <si>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</si>
  <si>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</si>
  <si>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</si>
  <si>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</si>
  <si>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</si>
  <si>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</si>
  <si>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</si>
  <si>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</si>
  <si>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</si>
  <si>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</si>
  <si>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</si>
  <si>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</si>
  <si>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</si>
  <si>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</si>
  <si>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</si>
  <si>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</si>
  <si>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</si>
  <si>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</si>
  <si>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</si>
  <si>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</si>
  <si>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</si>
  <si>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</si>
  <si>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</si>
  <si>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</si>
  <si>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</si>
  <si>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</si>
  <si>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</si>
  <si>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</si>
  <si>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</si>
  <si>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</si>
  <si>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</si>
  <si>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</si>
  <si>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</si>
  <si>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</si>
  <si>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</si>
  <si>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</si>
  <si>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</si>
  <si>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</si>
  <si>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</si>
  <si>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</si>
  <si>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</si>
  <si>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</si>
  <si>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</si>
  <si>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</si>
  <si>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</si>
  <si>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</si>
  <si>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</si>
  <si>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</si>
  <si>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</si>
  <si>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</si>
  <si>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</si>
  <si>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</si>
  <si>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</si>
  <si>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</si>
  <si>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</si>
  <si>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</si>
  <si>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</si>
  <si>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</si>
  <si>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</si>
  <si>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</si>
  <si>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</si>
  <si>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</si>
  <si>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</si>
  <si>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</si>
  <si>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</si>
  <si>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</si>
  <si>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</si>
  <si>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</si>
  <si>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</si>
  <si>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</si>
  <si>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</si>
  <si>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</si>
  <si>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</si>
  <si>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</si>
  <si>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</si>
  <si>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</si>
  <si>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</si>
  <si>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</si>
  <si>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</si>
  <si>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</si>
  <si>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</si>
  <si>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</si>
  <si>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</si>
  <si>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</si>
  <si>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</si>
  <si>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</si>
  <si>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</si>
  <si>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</si>
  <si>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</si>
  <si>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</si>
  <si>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</si>
  <si>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</si>
  <si>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</si>
  <si>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</si>
  <si>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</si>
  <si>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</si>
  <si>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</si>
  <si>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</si>
  <si>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</si>
  <si>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</si>
  <si>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</si>
  <si>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</si>
  <si>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</si>
  <si>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</si>
  <si>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</si>
  <si>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</si>
  <si>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</si>
  <si>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</si>
  <si>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</si>
  <si>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</si>
  <si>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</si>
  <si>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</si>
  <si>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</si>
  <si>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</si>
  <si>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</si>
  <si>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</si>
  <si>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</si>
  <si>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</si>
  <si>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</si>
  <si>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</si>
  <si>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</si>
  <si>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</si>
  <si>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</si>
  <si>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</si>
  <si>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</si>
  <si>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</si>
  <si>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</si>
  <si>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</si>
  <si>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</si>
  <si>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</si>
  <si>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</si>
  <si>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</si>
  <si>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</si>
  <si>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</si>
  <si>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</si>
  <si>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</si>
  <si>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</si>
  <si>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</si>
  <si>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</si>
  <si>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</si>
  <si>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</si>
  <si>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</si>
  <si>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</si>
  <si>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</si>
  <si>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</si>
  <si>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</si>
  <si>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</si>
  <si>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</si>
  <si>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</si>
  <si>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</si>
  <si>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</si>
  <si>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</si>
  <si>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</si>
  <si>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</si>
  <si>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</si>
  <si>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</si>
  <si>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</si>
  <si>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</si>
  <si>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</si>
  <si>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</si>
  <si>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</si>
  <si>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</si>
  <si>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</si>
  <si>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</si>
  <si>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</si>
  <si>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</si>
  <si>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</si>
  <si>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</si>
  <si>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</si>
  <si>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</si>
  <si>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</si>
  <si>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</si>
  <si>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</si>
  <si>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</si>
  <si>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</si>
  <si>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</si>
  <si>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</si>
  <si>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</si>
  <si>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</si>
  <si>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</si>
  <si>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</si>
  <si>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</si>
  <si>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</si>
  <si>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</si>
  <si>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</si>
  <si>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</si>
  <si>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</si>
  <si>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</si>
  <si>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</si>
  <si>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</si>
  <si>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</si>
  <si>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</si>
  <si>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</si>
  <si>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</si>
  <si>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</si>
  <si>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</si>
  <si>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</si>
  <si>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</si>
  <si>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</si>
  <si>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</si>
  <si>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</si>
  <si>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</si>
  <si>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</si>
  <si>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</si>
  <si>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</si>
  <si>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</si>
  <si>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</si>
  <si>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</si>
  <si>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</si>
  <si>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</si>
  <si>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</si>
  <si>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</si>
  <si>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</si>
  <si>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</si>
  <si>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</si>
  <si>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</si>
  <si>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</si>
  <si>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</si>
  <si>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</si>
  <si>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</si>
  <si>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</si>
  <si>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</si>
  <si>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</si>
  <si>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</si>
  <si>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</si>
  <si>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</si>
  <si>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</si>
  <si>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</si>
  <si>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</si>
  <si>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</si>
  <si>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</si>
  <si>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</si>
  <si>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</si>
  <si>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</si>
  <si>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</si>
  <si>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</si>
  <si>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</si>
  <si>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</si>
  <si>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</si>
  <si>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</si>
  <si>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</si>
  <si>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</si>
  <si>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</si>
  <si>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</si>
  <si>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</si>
  <si>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</si>
  <si>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</si>
  <si>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</si>
  <si>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</si>
  <si>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</si>
  <si>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</si>
  <si>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</si>
  <si>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</si>
  <si>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</si>
  <si>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</si>
  <si>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</si>
  <si>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</si>
  <si>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</si>
  <si>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</si>
  <si>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</si>
  <si>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</si>
  <si>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</si>
  <si>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</si>
  <si>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</si>
  <si>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</si>
  <si>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</si>
  <si>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</si>
  <si>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</si>
  <si>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</si>
  <si>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</si>
  <si>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</si>
  <si>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</si>
  <si>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</si>
  <si>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</si>
  <si>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</si>
  <si>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</si>
  <si>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</si>
  <si>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</si>
  <si>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</si>
  <si>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</si>
  <si>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</si>
  <si>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</si>
  <si>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</si>
  <si>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</si>
  <si>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</si>
  <si>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</si>
  <si>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</si>
  <si>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</si>
  <si>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</si>
  <si>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</si>
  <si>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</si>
  <si>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</si>
  <si>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</si>
  <si>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</si>
  <si>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</si>
  <si>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</si>
  <si>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</si>
  <si>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</si>
  <si>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</si>
  <si>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</si>
  <si>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</si>
  <si>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</si>
  <si>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</si>
  <si>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</si>
  <si>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</si>
  <si>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</si>
  <si>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</si>
  <si>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</si>
  <si>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</si>
  <si>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</si>
  <si>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</si>
  <si>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</si>
  <si>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</si>
  <si>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</si>
  <si>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</si>
  <si>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</si>
  <si>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</si>
  <si>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</si>
  <si>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</si>
  <si>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</si>
  <si>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</si>
  <si>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</si>
  <si>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</si>
  <si>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</si>
  <si>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</si>
  <si>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</si>
  <si>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</si>
  <si>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</si>
  <si>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</si>
  <si>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</si>
  <si>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</si>
  <si>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</si>
  <si>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</si>
  <si>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</si>
  <si>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</si>
  <si>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</si>
  <si>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</si>
  <si>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</si>
  <si>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</si>
  <si>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</si>
  <si>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</si>
  <si>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</si>
  <si>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</si>
  <si>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</si>
  <si>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</si>
  <si>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</si>
  <si>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</si>
  <si>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</si>
  <si>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</si>
  <si>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</si>
  <si>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</si>
  <si>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</si>
  <si>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</si>
  <si>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</si>
  <si>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</si>
  <si>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</si>
  <si>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</si>
  <si>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</si>
  <si>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</si>
  <si>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</si>
  <si>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</si>
  <si>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</si>
  <si>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</si>
  <si>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</si>
  <si>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</si>
  <si>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</si>
  <si>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</si>
  <si>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</si>
  <si>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</si>
  <si>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</si>
  <si>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</si>
  <si>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</si>
  <si>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</si>
  <si>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</si>
  <si>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</si>
  <si>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</si>
  <si>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</si>
  <si>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</si>
  <si>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</si>
  <si>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</si>
  <si>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</si>
  <si>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</si>
  <si>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</si>
  <si>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</si>
  <si>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</si>
  <si>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</si>
  <si>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</si>
  <si>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</si>
  <si>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</si>
  <si>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</si>
  <si>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</si>
  <si>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</si>
  <si>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</si>
  <si>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</si>
  <si>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</si>
  <si>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</si>
  <si>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</si>
  <si>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</si>
  <si>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</si>
  <si>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</si>
  <si>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</si>
  <si>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</si>
  <si>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</si>
  <si>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</si>
  <si>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</si>
  <si>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</si>
  <si>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</si>
  <si>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</si>
  <si>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</si>
  <si>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</si>
  <si>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</si>
  <si>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</si>
  <si>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</si>
  <si>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</si>
  <si>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</si>
  <si>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</si>
  <si>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</si>
  <si>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</si>
  <si>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</si>
  <si>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</si>
  <si>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</si>
  <si>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</si>
  <si>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</si>
  <si>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</si>
  <si>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</si>
  <si>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</si>
  <si>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</si>
  <si>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</si>
  <si>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</si>
  <si>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</si>
  <si>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</si>
  <si>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</si>
  <si>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</si>
  <si>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</si>
  <si>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</si>
  <si>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</si>
  <si>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</si>
  <si>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</si>
  <si>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</si>
  <si>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</si>
  <si>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</si>
  <si>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</si>
  <si>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</si>
  <si>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</si>
  <si>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</si>
  <si>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</si>
  <si>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</si>
  <si>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</si>
  <si>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</si>
  <si>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</si>
  <si>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</si>
  <si>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</si>
  <si>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</si>
  <si>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</si>
  <si>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</si>
  <si>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</si>
  <si>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</si>
  <si>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</si>
  <si>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</si>
  <si>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</si>
  <si>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</si>
  <si>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</si>
  <si>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</si>
  <si>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</si>
  <si>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</si>
  <si>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</si>
  <si>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</si>
  <si>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</si>
  <si>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</si>
  <si>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</si>
  <si>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</si>
  <si>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</si>
  <si>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</si>
  <si>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</si>
  <si>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</si>
  <si>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</si>
  <si>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</si>
  <si>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</si>
  <si>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</si>
  <si>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</si>
  <si>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</si>
  <si>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</si>
  <si>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</si>
  <si>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</si>
  <si>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</si>
  <si>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</si>
  <si>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</si>
  <si>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</si>
  <si>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</si>
  <si>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</si>
  <si>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</si>
  <si>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</si>
  <si>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</si>
  <si>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</si>
  <si>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</si>
  <si>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</si>
  <si>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</si>
  <si>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</si>
  <si>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</si>
  <si>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</si>
  <si>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</si>
  <si>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</si>
  <si>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</si>
  <si>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</si>
  <si>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</si>
  <si>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</si>
  <si>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</si>
  <si>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</si>
  <si>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</si>
  <si>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</si>
  <si>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</si>
  <si>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</si>
  <si>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</si>
  <si>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</si>
  <si>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</si>
  <si>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</si>
  <si>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</si>
  <si>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</si>
  <si>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</si>
  <si>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</si>
  <si>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</si>
  <si>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</si>
  <si>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</si>
  <si>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</si>
  <si>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</si>
  <si>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</si>
  <si>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</si>
  <si>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</si>
  <si>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</si>
  <si>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</si>
  <si>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</si>
  <si>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</si>
  <si>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</si>
  <si>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</si>
  <si>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</si>
  <si>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</si>
  <si>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</si>
  <si>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</si>
  <si>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</si>
  <si>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</si>
  <si>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</si>
  <si>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</si>
  <si>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</si>
  <si>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</si>
  <si>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</si>
  <si>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</si>
  <si>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</si>
  <si>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</si>
  <si>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</si>
  <si>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</si>
  <si>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</si>
  <si>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</si>
  <si>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</si>
  <si>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</si>
  <si>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</si>
  <si>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</si>
  <si>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</si>
  <si>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</si>
  <si>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</si>
  <si>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</si>
  <si>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</si>
  <si>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</si>
  <si>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</si>
  <si>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</si>
  <si>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</si>
  <si>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</si>
  <si>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</si>
  <si>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</si>
  <si>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</si>
  <si>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</si>
  <si>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</si>
  <si>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</si>
  <si>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</si>
  <si>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</si>
  <si>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</si>
  <si>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</si>
  <si>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</si>
  <si>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</si>
  <si>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</si>
  <si>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</si>
  <si>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</si>
  <si>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</si>
  <si>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</si>
  <si>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</si>
  <si>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</si>
  <si>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</si>
  <si>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</si>
  <si>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</si>
  <si>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</si>
  <si>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</si>
  <si>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</si>
  <si>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</si>
  <si>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</si>
  <si>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</si>
  <si>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</si>
  <si>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</si>
  <si>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</si>
  <si>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</si>
  <si>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</si>
  <si>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</si>
  <si>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</si>
  <si>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</si>
  <si>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</si>
  <si>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</si>
  <si>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</si>
  <si>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</si>
  <si>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</si>
  <si>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</si>
  <si>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</si>
  <si>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</si>
  <si>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</si>
  <si>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</si>
  <si>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</si>
  <si>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</si>
  <si>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</si>
  <si>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</si>
  <si>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</si>
  <si>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</si>
  <si>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</si>
  <si>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</si>
  <si>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</si>
  <si>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</si>
  <si>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</si>
  <si>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</si>
  <si>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</si>
  <si>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</si>
  <si>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</si>
  <si>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</si>
  <si>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</si>
  <si>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</si>
  <si>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</si>
  <si>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</si>
  <si>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</si>
  <si>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</si>
  <si>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</si>
  <si>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</si>
  <si>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</si>
  <si>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</si>
  <si>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</si>
  <si>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</si>
  <si>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</si>
  <si>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</si>
  <si>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</si>
  <si>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</si>
  <si>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</si>
  <si>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</si>
  <si>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</si>
  <si>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</si>
  <si>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</si>
  <si>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</si>
  <si>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</si>
  <si>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</si>
  <si>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</si>
  <si>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</si>
  <si>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</si>
  <si>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</si>
  <si>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</si>
  <si>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</si>
  <si>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</si>
  <si>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</si>
  <si>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</si>
  <si>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</si>
  <si>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</si>
  <si>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</si>
  <si>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</si>
  <si>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</si>
  <si>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</si>
  <si>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</si>
  <si>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</si>
  <si>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</si>
  <si>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</si>
  <si>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</si>
  <si>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</si>
  <si>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</si>
  <si>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</si>
  <si>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</si>
  <si>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</si>
  <si>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</si>
  <si>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</si>
  <si>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</si>
  <si>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</si>
  <si>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</si>
  <si>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</si>
  <si>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</si>
  <si>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</si>
  <si>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</si>
  <si>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</si>
  <si>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</si>
  <si>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</si>
  <si>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</si>
  <si>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</si>
  <si>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</si>
  <si>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</si>
  <si>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</si>
  <si>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</si>
  <si>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</si>
  <si>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</si>
  <si>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</si>
  <si>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</si>
  <si>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</si>
  <si>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</si>
  <si>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</si>
  <si>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</si>
  <si>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</si>
  <si>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</si>
  <si>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</si>
  <si>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</si>
  <si>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</si>
  <si>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</si>
  <si>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</si>
  <si>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</si>
  <si>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</si>
  <si>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</si>
  <si>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</si>
  <si>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</si>
  <si>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</si>
  <si>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</si>
  <si>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</si>
  <si>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</si>
  <si>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</si>
  <si>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</si>
  <si>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</si>
  <si>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</si>
  <si>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</si>
  <si>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</si>
  <si>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</si>
  <si>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</si>
  <si>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</si>
  <si>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</si>
  <si>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</si>
  <si>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</si>
  <si>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</si>
  <si>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</si>
  <si>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</si>
  <si>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</si>
  <si>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</si>
  <si>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</si>
  <si>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</si>
  <si>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</si>
  <si>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</si>
  <si>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</si>
  <si>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</si>
  <si>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</si>
  <si>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</si>
  <si>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</si>
  <si>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</si>
  <si>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</si>
  <si>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</si>
  <si>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</si>
  <si>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</si>
  <si>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</si>
  <si>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</si>
  <si>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</si>
  <si>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</si>
  <si>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</si>
  <si>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</si>
  <si>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</si>
  <si>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</si>
  <si>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</si>
  <si>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</si>
  <si>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</si>
  <si>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</si>
  <si>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</si>
  <si>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</si>
  <si>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</si>
  <si>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</si>
  <si>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</si>
  <si>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</si>
  <si>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</si>
  <si>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</si>
  <si>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</si>
  <si>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</si>
  <si>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</si>
  <si>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</si>
  <si>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</si>
  <si>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</si>
  <si>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</si>
  <si>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</si>
  <si>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</si>
  <si>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</si>
  <si>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</si>
  <si>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</si>
  <si>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</si>
  <si>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</si>
  <si>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</si>
  <si>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</si>
  <si>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</si>
  <si>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</si>
  <si>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</si>
  <si>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</si>
  <si>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</si>
  <si>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</si>
  <si>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</si>
  <si>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</si>
  <si>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</si>
  <si>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</si>
  <si>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</si>
  <si>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</si>
  <si>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</si>
  <si>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</si>
  <si>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</si>
  <si>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</si>
  <si>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</si>
  <si>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</si>
  <si>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</si>
  <si>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</si>
  <si>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</si>
  <si>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</si>
  <si>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</si>
  <si>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</si>
  <si>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</si>
  <si>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</si>
  <si>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出让金+开发费</t>
  </si>
  <si>
    <t>1层</t>
    <phoneticPr fontId="134" type="noConversion"/>
  </si>
  <si>
    <t>建筑面积</t>
    <phoneticPr fontId="134" type="noConversion"/>
  </si>
  <si>
    <t>楼层</t>
    <phoneticPr fontId="134" type="noConversion"/>
  </si>
  <si>
    <t>2层</t>
    <phoneticPr fontId="134" type="noConversion"/>
  </si>
  <si>
    <t>3层</t>
  </si>
  <si>
    <t>4层</t>
  </si>
  <si>
    <t>5层</t>
  </si>
  <si>
    <t>6层</t>
  </si>
  <si>
    <t>7层</t>
  </si>
  <si>
    <t>8层</t>
  </si>
  <si>
    <t>9层</t>
  </si>
  <si>
    <t>10层</t>
  </si>
  <si>
    <t>11层</t>
  </si>
  <si>
    <t>12层</t>
  </si>
  <si>
    <t>13层</t>
  </si>
  <si>
    <t>14层</t>
  </si>
  <si>
    <t>屋面附属用房面积</t>
  </si>
  <si>
    <t>楼层/单元</t>
    <phoneticPr fontId="134" type="noConversion"/>
  </si>
  <si>
    <t>A5</t>
    <phoneticPr fontId="134" type="noConversion"/>
  </si>
  <si>
    <r>
      <t>A</t>
    </r>
    <r>
      <rPr>
        <sz val="11"/>
        <color theme="1"/>
        <rFont val="宋体"/>
        <family val="3"/>
        <charset val="134"/>
        <scheme val="minor"/>
      </rPr>
      <t>6</t>
    </r>
    <phoneticPr fontId="134" type="noConversion"/>
  </si>
  <si>
    <t>A7</t>
    <phoneticPr fontId="134" type="noConversion"/>
  </si>
  <si>
    <t>空置</t>
  </si>
  <si>
    <t>客户名称</t>
    <phoneticPr fontId="134" type="noConversion"/>
  </si>
  <si>
    <t>租赁面积（使用面积折算建筑面积）</t>
    <phoneticPr fontId="134" type="noConversion"/>
  </si>
  <si>
    <t>租赁面积（合同）</t>
    <phoneticPr fontId="134" type="noConversion"/>
  </si>
  <si>
    <t>可出租面积</t>
    <phoneticPr fontId="134" type="noConversion"/>
  </si>
  <si>
    <t>租赁面积（测绘）</t>
    <phoneticPr fontId="134" type="noConversion"/>
  </si>
  <si>
    <t>月租金</t>
    <phoneticPr fontId="134" type="noConversion"/>
  </si>
  <si>
    <t>年租金</t>
    <phoneticPr fontId="134" type="noConversion"/>
  </si>
  <si>
    <t>起租日</t>
    <phoneticPr fontId="134" type="noConversion"/>
  </si>
  <si>
    <t>到期日</t>
    <phoneticPr fontId="134" type="noConversion"/>
  </si>
  <si>
    <t>中电建新能源集团股份有限公司</t>
  </si>
  <si>
    <t>A0826-31</t>
  </si>
  <si>
    <t>A0818-25</t>
  </si>
  <si>
    <r>
      <t>A0832-36/850/</t>
    </r>
    <r>
      <rPr>
        <sz val="11"/>
        <color theme="1"/>
        <rFont val="宋体"/>
        <family val="3"/>
        <charset val="134"/>
        <scheme val="minor"/>
      </rPr>
      <t>85</t>
    </r>
    <phoneticPr fontId="134" type="noConversion"/>
  </si>
  <si>
    <r>
      <t>A0801-</t>
    </r>
    <r>
      <rPr>
        <sz val="11"/>
        <color theme="1"/>
        <rFont val="宋体"/>
        <family val="3"/>
        <charset val="134"/>
        <scheme val="minor"/>
      </rPr>
      <t>03/0805/A0839</t>
    </r>
  </si>
  <si>
    <t>A806-816</t>
  </si>
  <si>
    <t>深圳竹云科技股份有限公司北京分公司</t>
  </si>
  <si>
    <t>A817</t>
  </si>
  <si>
    <t>A0837-38</t>
  </si>
  <si>
    <t>A852-53</t>
  </si>
  <si>
    <t>A901</t>
  </si>
  <si>
    <t>A0902-0903</t>
  </si>
  <si>
    <t>A0905</t>
  </si>
  <si>
    <r>
      <t>A0906/07/0</t>
    </r>
    <r>
      <rPr>
        <sz val="11"/>
        <color theme="1"/>
        <rFont val="宋体"/>
        <family val="3"/>
        <charset val="134"/>
        <scheme val="minor"/>
      </rPr>
      <t>8</t>
    </r>
    <phoneticPr fontId="134" type="noConversion"/>
  </si>
  <si>
    <t>A909-12/A0927-30/09</t>
  </si>
  <si>
    <t>北京谈云海品牌咨询有限公司</t>
  </si>
  <si>
    <t>泛升云微电子（苏州）有限公司</t>
  </si>
  <si>
    <t>A0926</t>
  </si>
  <si>
    <t>A0931</t>
  </si>
  <si>
    <t>A0915</t>
  </si>
  <si>
    <t>A0916</t>
  </si>
  <si>
    <t>A0917/18</t>
  </si>
  <si>
    <t>A0919</t>
  </si>
  <si>
    <t>A0920/21</t>
  </si>
  <si>
    <t>中泰祥瑞（北京）技术发展有限公司</t>
  </si>
  <si>
    <t>北京亿通电付科技有限公司</t>
    <phoneticPr fontId="134" type="noConversion"/>
  </si>
  <si>
    <t>本贸科技股份有限公司北京分公司</t>
  </si>
  <si>
    <t>北京广田资本管理中心（有限合伙）</t>
  </si>
  <si>
    <t>卓越工坊（北京）科技有限公司</t>
  </si>
  <si>
    <t>A0922-25</t>
  </si>
  <si>
    <t>A1206-1212</t>
  </si>
  <si>
    <r>
      <t>A1201-</t>
    </r>
    <r>
      <rPr>
        <sz val="11"/>
        <color theme="1"/>
        <rFont val="宋体"/>
        <family val="3"/>
        <charset val="134"/>
        <scheme val="minor"/>
      </rPr>
      <t>05/50-53</t>
    </r>
    <phoneticPr fontId="134" type="noConversion"/>
  </si>
  <si>
    <t>A0935-39</t>
  </si>
  <si>
    <t>A1226</t>
  </si>
  <si>
    <t>A0950/951</t>
  </si>
  <si>
    <t>A0952-0953</t>
  </si>
  <si>
    <t>卓艺工坊（北京）文化发展有限公司</t>
  </si>
  <si>
    <t>华美孚泰油气增产技术服务有限责任公司</t>
  </si>
  <si>
    <t>深圳量道投资管理有限公司</t>
  </si>
  <si>
    <t>A1022-1039</t>
  </si>
  <si>
    <t>A1001</t>
  </si>
  <si>
    <t>A1002</t>
  </si>
  <si>
    <t>A1003、1005</t>
  </si>
  <si>
    <t>A1006-1012</t>
  </si>
  <si>
    <t>A1015</t>
  </si>
  <si>
    <t>A1016-1021</t>
  </si>
  <si>
    <t>A1050-1053</t>
  </si>
  <si>
    <t>A1101/1102</t>
  </si>
  <si>
    <t>A1103/1105</t>
  </si>
  <si>
    <t>A1106</t>
  </si>
  <si>
    <t>A1107</t>
  </si>
  <si>
    <t>北京汇量山河信息科技有限公司</t>
  </si>
  <si>
    <t>北京汇聚世纪信息科技有限公司</t>
    <phoneticPr fontId="134" type="noConversion"/>
  </si>
  <si>
    <t>北京汇聚山河网络技术有限公司</t>
  </si>
  <si>
    <t>北京球球趣玩科技有限公司</t>
  </si>
  <si>
    <t>北京热云科技有限公司</t>
  </si>
  <si>
    <t>广州汇量营销科技有限公司北京分公司</t>
  </si>
  <si>
    <t>广州汇量信息科技有限公司北京分公司</t>
  </si>
  <si>
    <t>汇量云（北京）科技有限公司</t>
  </si>
  <si>
    <t>北京柠檬解忧科技发展有限公司</t>
  </si>
  <si>
    <t>北京星辰乐康科技有限公司</t>
  </si>
  <si>
    <t>木易健康（北京）科技有限公司</t>
  </si>
  <si>
    <t>元保保险经纪（北京）有限公司北京分公司</t>
  </si>
  <si>
    <t>A1115/1116</t>
  </si>
  <si>
    <t>A1117</t>
  </si>
  <si>
    <t>A1151</t>
  </si>
  <si>
    <t>A1118</t>
  </si>
  <si>
    <t>A1153</t>
  </si>
  <si>
    <t>A1150</t>
  </si>
  <si>
    <r>
      <t>A1110-</t>
    </r>
    <r>
      <rPr>
        <sz val="11"/>
        <color theme="1"/>
        <rFont val="宋体"/>
        <family val="3"/>
        <charset val="134"/>
        <scheme val="minor"/>
      </rPr>
      <t>1112/1119-1123/1125-1133/1135-1139/1108/1109/1152</t>
    </r>
    <phoneticPr fontId="134" type="noConversion"/>
  </si>
  <si>
    <t>A1215</t>
  </si>
  <si>
    <t>A1216-19</t>
  </si>
  <si>
    <r>
      <t>A1220/21/2</t>
    </r>
    <r>
      <rPr>
        <sz val="11"/>
        <color theme="1"/>
        <rFont val="宋体"/>
        <family val="3"/>
        <charset val="134"/>
        <scheme val="minor"/>
      </rPr>
      <t>2/23/25</t>
    </r>
    <phoneticPr fontId="134" type="noConversion"/>
  </si>
  <si>
    <t>A1227</t>
  </si>
  <si>
    <t>元保数科（北京）科技有限公司</t>
  </si>
  <si>
    <t>北京亿保科技合伙企业（有限合伙）</t>
  </si>
  <si>
    <t>北京亿学牛牛科技有限公司</t>
  </si>
  <si>
    <t>行则至远（北京）科技有限公司</t>
  </si>
  <si>
    <t>行则智致（北京）科技有限公司</t>
  </si>
  <si>
    <t>元保保险经纪（北京）有限公司</t>
  </si>
  <si>
    <t>元保科创（北京）科技有限公司</t>
  </si>
  <si>
    <t>北京数变科技有限公司</t>
  </si>
  <si>
    <t>北京润心医疗科技有限公司</t>
  </si>
  <si>
    <t>北京中金坤泰设备有限公司</t>
  </si>
  <si>
    <t>A1228-31</t>
  </si>
  <si>
    <t>A1232/1233</t>
  </si>
  <si>
    <t>A1235</t>
  </si>
  <si>
    <t>A1236-1239</t>
  </si>
  <si>
    <t>A1501/1502</t>
  </si>
  <si>
    <t>A1503</t>
  </si>
  <si>
    <t>A1505</t>
  </si>
  <si>
    <t>A1520-21</t>
  </si>
  <si>
    <t>A1522</t>
  </si>
  <si>
    <t>A1523</t>
  </si>
  <si>
    <t>A1506</t>
  </si>
  <si>
    <t>A1507</t>
  </si>
  <si>
    <t>A1529-31</t>
  </si>
  <si>
    <t>A1509</t>
  </si>
  <si>
    <t>A1508</t>
  </si>
  <si>
    <t>A1510-12</t>
  </si>
  <si>
    <t>A1515</t>
  </si>
  <si>
    <t>A1516-17</t>
  </si>
  <si>
    <t>A1518</t>
  </si>
  <si>
    <t>北京中航美林机械设备有限责任公司</t>
  </si>
  <si>
    <t>北京倍数云众科技有限公司</t>
  </si>
  <si>
    <t>北京印信科技有限公司</t>
  </si>
  <si>
    <t>北京智芯原动科技有限公司</t>
  </si>
  <si>
    <t>北京云上知位科技有限公司</t>
  </si>
  <si>
    <t>北京大新鸣泰企业管理中心（有限合伙）</t>
  </si>
  <si>
    <t>江苏睿智聚合科技有限公司</t>
  </si>
  <si>
    <t>北京神州睿行科技有限公司</t>
  </si>
  <si>
    <t>北京千尧新能源科技开发有限公司</t>
  </si>
  <si>
    <t>北京汇观软件有限公司</t>
  </si>
  <si>
    <t>三甲融泰贸易发展有限公司</t>
  </si>
  <si>
    <t>A1519</t>
  </si>
  <si>
    <t>A1525-27</t>
  </si>
  <si>
    <t>A1528</t>
  </si>
  <si>
    <t>A1532/1533</t>
  </si>
  <si>
    <t>A1535-36</t>
  </si>
  <si>
    <t>A1537</t>
  </si>
  <si>
    <t>A1538</t>
  </si>
  <si>
    <t>A1539</t>
  </si>
  <si>
    <t>A1550-53</t>
  </si>
  <si>
    <t>A16</t>
  </si>
  <si>
    <t>A17</t>
  </si>
  <si>
    <t>石家庄壹宝能源开发有限公司</t>
  </si>
  <si>
    <t>北京富藏甲投资管理有限公司</t>
  </si>
  <si>
    <t>北京壹宝能源科技集团有限公司</t>
  </si>
  <si>
    <t>小质科技（深圳）有限公司</t>
  </si>
  <si>
    <t>北京恒远汇达装备科技有限公司</t>
  </si>
  <si>
    <t>镕铭微电子（济南）有限公司</t>
  </si>
  <si>
    <t>北京哥斯达投资管理有限公司</t>
  </si>
  <si>
    <t>A101</t>
  </si>
  <si>
    <t>中国银行股份有限公司北京奥运村支行</t>
  </si>
  <si>
    <t>A102</t>
  </si>
  <si>
    <t>北京众德口腔门诊部有限公司</t>
  </si>
  <si>
    <t>A103-1</t>
  </si>
  <si>
    <t>A103</t>
  </si>
  <si>
    <t>宁波银行股份有限公司北京分行</t>
  </si>
  <si>
    <t>A303</t>
  </si>
  <si>
    <t>A104</t>
  </si>
  <si>
    <t>A105</t>
  </si>
  <si>
    <t>A106</t>
  </si>
  <si>
    <t>A107A</t>
  </si>
  <si>
    <r>
      <t>A107B/108/</t>
    </r>
    <r>
      <rPr>
        <sz val="11"/>
        <color theme="1"/>
        <rFont val="宋体"/>
        <family val="3"/>
        <charset val="134"/>
        <scheme val="minor"/>
      </rPr>
      <t>109/211/212</t>
    </r>
    <phoneticPr fontId="134" type="noConversion"/>
  </si>
  <si>
    <t>210A</t>
  </si>
  <si>
    <t>A0110</t>
  </si>
  <si>
    <t>A0201</t>
  </si>
  <si>
    <t>A202</t>
  </si>
  <si>
    <t>A203</t>
  </si>
  <si>
    <t>A204</t>
  </si>
  <si>
    <t>A0205</t>
  </si>
  <si>
    <t>A0206</t>
  </si>
  <si>
    <t>A0207</t>
  </si>
  <si>
    <t>北京阿含泰餐饮管理有限责任公司</t>
  </si>
  <si>
    <t>中国民生银行股份有限公司北京分行</t>
  </si>
  <si>
    <t>北京三和文采图文设计中心</t>
  </si>
  <si>
    <t>北京世纪荟餐饮文化管理有限公司</t>
  </si>
  <si>
    <t>北京世纪萃华餐饮管理有限公司</t>
  </si>
  <si>
    <t>北京银行股份有限公司奥运村支行</t>
  </si>
  <si>
    <t>A208-1</t>
  </si>
  <si>
    <t>A208-3</t>
  </si>
  <si>
    <t>A208</t>
  </si>
  <si>
    <t>A209-2</t>
  </si>
  <si>
    <t>A209</t>
  </si>
  <si>
    <t>A209-1</t>
  </si>
  <si>
    <t>A210</t>
  </si>
  <si>
    <t>A210-3</t>
  </si>
  <si>
    <t>A0213</t>
  </si>
  <si>
    <t>A0301-02</t>
  </si>
  <si>
    <t>A305</t>
  </si>
  <si>
    <t>301南侧</t>
  </si>
  <si>
    <t>01-0103</t>
  </si>
  <si>
    <t>北京名仕佳人女子美容会所有限责任公司</t>
  </si>
  <si>
    <t>华高卡达（北京）教育咨询有限公司</t>
  </si>
  <si>
    <t>北京馅老满餐饮文化有限公司</t>
  </si>
  <si>
    <t>北京凯美苑饮食服务有限公司</t>
  </si>
  <si>
    <t>北京杏林美医疗美容门诊部有限责任公司</t>
  </si>
  <si>
    <t>北京互联诚健康管理有限公司</t>
  </si>
  <si>
    <t>北京振达绿厨餐饮管理有限公司</t>
  </si>
  <si>
    <t>用途</t>
    <phoneticPr fontId="134" type="noConversion"/>
  </si>
  <si>
    <t>办公</t>
    <phoneticPr fontId="134" type="noConversion"/>
  </si>
  <si>
    <t>楼层</t>
    <phoneticPr fontId="134" type="noConversion"/>
  </si>
  <si>
    <t>日租金</t>
    <phoneticPr fontId="134" type="noConversion"/>
  </si>
  <si>
    <t>商业</t>
    <phoneticPr fontId="134" type="noConversion"/>
  </si>
  <si>
    <t>1-2</t>
    <phoneticPr fontId="134" type="noConversion"/>
  </si>
  <si>
    <t>抵押</t>
  </si>
  <si>
    <t>房地产抵押价值</t>
  </si>
  <si>
    <t>北京市</t>
  </si>
  <si>
    <t>企业</t>
  </si>
  <si>
    <t>办公</t>
    <phoneticPr fontId="134" type="noConversion"/>
  </si>
  <si>
    <t>商业</t>
    <phoneticPr fontId="3" type="noConversion"/>
  </si>
  <si>
    <t>办公</t>
    <phoneticPr fontId="3" type="noConversion"/>
  </si>
  <si>
    <t>地上</t>
  </si>
  <si>
    <t>是</t>
  </si>
  <si>
    <t>成新度</t>
  </si>
  <si>
    <t>押一</t>
  </si>
  <si>
    <t>钢混</t>
  </si>
  <si>
    <t>非生产用房</t>
  </si>
  <si>
    <t>否</t>
  </si>
  <si>
    <t>收益法-商业</t>
  </si>
  <si>
    <t>收益法-办公</t>
  </si>
  <si>
    <t>收益法-办公</t>
    <phoneticPr fontId="16" type="noConversion"/>
  </si>
  <si>
    <t>收益法（汇总）</t>
  </si>
  <si>
    <t>总价</t>
  </si>
  <si>
    <t>成本比率</t>
  </si>
  <si>
    <t>成本法</t>
  </si>
  <si>
    <t>北京市朝阳区大屯地区0205-659地块及周边储备用地B4综合性商业金融服务业用地</t>
  </si>
  <si>
    <t>商业、办公</t>
    <phoneticPr fontId="30" type="noConversion"/>
  </si>
  <si>
    <r>
      <t>21</t>
    </r>
    <r>
      <rPr>
        <sz val="11"/>
        <color indexed="8"/>
        <rFont val="宋体"/>
        <family val="3"/>
        <charset val="134"/>
      </rPr>
      <t>、</t>
    </r>
    <r>
      <rPr>
        <sz val="11"/>
        <color indexed="8"/>
        <rFont val="Arial"/>
        <family val="2"/>
      </rPr>
      <t>31</t>
    </r>
    <phoneticPr fontId="30" type="noConversion"/>
  </si>
  <si>
    <r>
      <t>40</t>
    </r>
    <r>
      <rPr>
        <sz val="11"/>
        <color indexed="8"/>
        <rFont val="宋体"/>
        <family val="3"/>
        <charset val="134"/>
      </rPr>
      <t>、</t>
    </r>
    <r>
      <rPr>
        <sz val="11"/>
        <color indexed="8"/>
        <rFont val="Arial"/>
        <family val="2"/>
      </rPr>
      <t>50</t>
    </r>
    <phoneticPr fontId="30" type="noConversion"/>
  </si>
  <si>
    <t>正常</t>
  </si>
  <si>
    <r>
      <t>B4</t>
    </r>
    <r>
      <rPr>
        <sz val="11"/>
        <color indexed="8"/>
        <rFont val="宋体"/>
        <family val="3"/>
        <charset val="134"/>
      </rPr>
      <t>综合性商业金融服务业用地</t>
    </r>
    <phoneticPr fontId="30" type="noConversion"/>
  </si>
  <si>
    <t>临时三通一平</t>
    <phoneticPr fontId="30"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</si>
  <si>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</si>
  <si>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</si>
  <si>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</si>
  <si>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</si>
  <si>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</si>
  <si>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</si>
  <si>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</si>
  <si>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</si>
  <si>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</si>
  <si>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</si>
  <si>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</si>
  <si>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</si>
  <si>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</si>
  <si>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</si>
  <si>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</si>
  <si>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</si>
  <si>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</si>
  <si>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</si>
  <si>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</si>
  <si>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</si>
  <si>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北京市 </t>
  </si>
  <si>
    <t xml:space="preserve"> 京土储挂(朝)[2023]074号 </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</si>
  <si>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</si>
  <si>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</si>
  <si>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</si>
  <si>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</si>
  <si>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</si>
  <si>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</si>
  <si>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北京市朝阳区太阳宫乡0301-613地块B4综合性商业金融服务业用地</t>
  </si>
  <si>
    <t xml:space="preserve"> 京土储挂(朝)[2023]031号 </t>
  </si>
  <si>
    <t xml:space="preserve"> 北京懋源鸿竺房地产开发有限公司  </t>
  </si>
  <si>
    <t>北京市朝阳区朝阳站交通枢纽南侧建设用地一体化项目0313-5597、5598、5599地块B4综合性商业金融服务业用地</t>
  </si>
  <si>
    <t xml:space="preserve"> 京土储挂(朝)[2023]001号 </t>
  </si>
  <si>
    <t xml:space="preserve"> 北京顺进商务咨询有限公司  </t>
  </si>
  <si>
    <t>北京市朝阳区望京花家地西里三组团配套综合楼1006-605地块B4商业金融用地</t>
  </si>
  <si>
    <t xml:space="preserve"> 京土整储挂(朝)[2020]004号 </t>
  </si>
  <si>
    <t xml:space="preserve"> ≤3 </t>
  </si>
  <si>
    <t xml:space="preserve"> B4商业金融用地 </t>
  </si>
  <si>
    <t xml:space="preserve"> 北京金隅嘉业房地产开发有限公司  </t>
  </si>
  <si>
    <t>北京市朝阳区朝阳站交通枢纽南侧建设用地一体化项目0313-5597、5598、5599地块</t>
    <phoneticPr fontId="3" type="noConversion"/>
  </si>
  <si>
    <t>北京市朝阳区太阳宫乡0301-613地块</t>
    <phoneticPr fontId="3" type="noConversion"/>
  </si>
  <si>
    <t>北京市朝阳区大屯地区0205-659地块及周边储备用地</t>
    <phoneticPr fontId="3" type="noConversion"/>
  </si>
  <si>
    <t>一般</t>
  </si>
  <si>
    <t>较好</t>
  </si>
  <si>
    <t>好</t>
  </si>
  <si>
    <t>七通</t>
  </si>
  <si>
    <t>较规则</t>
    <phoneticPr fontId="30" type="noConversion"/>
  </si>
  <si>
    <t>较好</t>
    <phoneticPr fontId="30" type="noConversion"/>
  </si>
  <si>
    <t>六通一平</t>
  </si>
  <si>
    <t>六通一平</t>
    <phoneticPr fontId="30" type="noConversion"/>
  </si>
  <si>
    <t>五通一平</t>
    <phoneticPr fontId="30" type="noConversion"/>
  </si>
  <si>
    <t>四通一平</t>
    <phoneticPr fontId="30" type="noConversion"/>
  </si>
  <si>
    <t>未包含在土地购买价格中</t>
  </si>
  <si>
    <t>全部缴纳</t>
  </si>
  <si>
    <t>已包含在土地取得成本中</t>
  </si>
  <si>
    <t>情况3</t>
  </si>
  <si>
    <t>自行开发建设</t>
  </si>
  <si>
    <t>非个人房产</t>
  </si>
  <si>
    <t>出让合同总建面</t>
    <phoneticPr fontId="8" type="noConversion"/>
  </si>
  <si>
    <t>建筑面积</t>
    <phoneticPr fontId="8" type="noConversion"/>
  </si>
  <si>
    <t>出让金</t>
    <phoneticPr fontId="8" type="noConversion"/>
  </si>
  <si>
    <t>现房</t>
  </si>
  <si>
    <t>项目局部</t>
  </si>
  <si>
    <t>商务金融用地</t>
  </si>
  <si>
    <t>宗地容积率</t>
  </si>
  <si>
    <t>不临65条商业街</t>
  </si>
  <si>
    <t>楼层修正</t>
  </si>
  <si>
    <t>与级别开发程度一致</t>
  </si>
  <si>
    <t>基准地价修正-商业</t>
  </si>
  <si>
    <t>基准地价修正-办公</t>
  </si>
  <si>
    <t>基准地价修正-办公</t>
    <phoneticPr fontId="16" type="noConversion"/>
  </si>
  <si>
    <t>地价指数</t>
  </si>
  <si>
    <t>项目模式</t>
  </si>
  <si>
    <t>售价</t>
  </si>
  <si>
    <t>北辰世纪中心</t>
    <phoneticPr fontId="3" type="noConversion"/>
  </si>
  <si>
    <t>商业繁华程度</t>
    <phoneticPr fontId="31" type="noConversion"/>
  </si>
  <si>
    <t>地下占比</t>
    <phoneticPr fontId="31" type="noConversion"/>
  </si>
  <si>
    <t>商业、办公</t>
    <phoneticPr fontId="31" type="noConversion"/>
  </si>
  <si>
    <t>办公</t>
    <phoneticPr fontId="31" type="noConversion"/>
  </si>
  <si>
    <t>主干道</t>
    <phoneticPr fontId="31" type="noConversion"/>
  </si>
  <si>
    <t>标准写字楼</t>
  </si>
  <si>
    <t>精装修</t>
  </si>
  <si>
    <t>专业物业管理</t>
  </si>
  <si>
    <t>六通</t>
  </si>
  <si>
    <t>毛坯</t>
  </si>
  <si>
    <t>普通装修</t>
  </si>
  <si>
    <t>普通装修</t>
    <phoneticPr fontId="31" type="noConversion"/>
  </si>
  <si>
    <t>较好</t>
    <phoneticPr fontId="31" type="noConversion"/>
  </si>
  <si>
    <t>次干道</t>
    <phoneticPr fontId="31" type="noConversion"/>
  </si>
  <si>
    <t>一般</t>
    <phoneticPr fontId="31" type="noConversion"/>
  </si>
  <si>
    <t>10%-20%</t>
    <phoneticPr fontId="31" type="noConversion"/>
  </si>
  <si>
    <t>0%-10%</t>
    <phoneticPr fontId="31" type="noConversion"/>
  </si>
  <si>
    <t>20%-30%</t>
    <phoneticPr fontId="31" type="noConversion"/>
  </si>
  <si>
    <t>30%-40%</t>
    <phoneticPr fontId="31" type="noConversion"/>
  </si>
  <si>
    <t>30-40</t>
  </si>
  <si>
    <t>40-50</t>
    <phoneticPr fontId="3" type="noConversion"/>
  </si>
  <si>
    <t>30-40</t>
    <phoneticPr fontId="3" type="noConversion"/>
  </si>
  <si>
    <t>20-30</t>
    <phoneticPr fontId="3" type="noConversion"/>
  </si>
  <si>
    <t>高速</t>
    <phoneticPr fontId="3" type="noConversion"/>
  </si>
  <si>
    <t>快速</t>
    <phoneticPr fontId="3" type="noConversion"/>
  </si>
  <si>
    <t>主干道</t>
    <phoneticPr fontId="3" type="noConversion"/>
  </si>
  <si>
    <t>次干道</t>
    <phoneticPr fontId="3" type="noConversion"/>
  </si>
  <si>
    <t>支路</t>
    <phoneticPr fontId="3" type="noConversion"/>
  </si>
  <si>
    <t>简单装修</t>
  </si>
  <si>
    <t>比较法-办公</t>
  </si>
  <si>
    <t>北京</t>
  </si>
  <si>
    <t>写字楼</t>
  </si>
  <si>
    <t>成交</t>
  </si>
  <si>
    <t>资产交易</t>
  </si>
  <si>
    <t>甲级</t>
  </si>
  <si>
    <t>北京朝阳区创远路28号院1号楼</t>
    <phoneticPr fontId="134" type="noConversion"/>
  </si>
  <si>
    <t>望京·华樾中心</t>
  </si>
  <si>
    <t>朝阳</t>
  </si>
  <si>
    <t>来广营</t>
  </si>
  <si>
    <t>乐华娱乐(内资)</t>
  </si>
  <si>
    <t>北京金开连泰</t>
  </si>
  <si>
    <t>望京·华樾中心</t>
    <phoneticPr fontId="31" type="noConversion"/>
  </si>
  <si>
    <t>商业占比</t>
    <phoneticPr fontId="134" type="noConversion"/>
  </si>
  <si>
    <t>冠华大厦</t>
    <phoneticPr fontId="31" type="noConversion"/>
  </si>
  <si>
    <t>20-30</t>
    <phoneticPr fontId="31" type="noConversion"/>
  </si>
  <si>
    <t>快速</t>
  </si>
  <si>
    <t>较差</t>
  </si>
  <si>
    <t>差</t>
  </si>
  <si>
    <t>次干道</t>
  </si>
  <si>
    <t>核定</t>
    <phoneticPr fontId="8" type="noConversion"/>
  </si>
  <si>
    <t>保利佲悦大都汇2号楼</t>
    <phoneticPr fontId="134" type="noConversion"/>
  </si>
  <si>
    <t>保利佲悦大都汇</t>
    <phoneticPr fontId="134" type="noConversion"/>
  </si>
  <si>
    <t>丰台</t>
  </si>
  <si>
    <t>科技园区</t>
  </si>
  <si>
    <t>乙级</t>
  </si>
  <si>
    <t>保利发展控股集团股份有限公司</t>
  </si>
  <si>
    <t>保利佲悦大都汇2号楼</t>
    <phoneticPr fontId="31" type="noConversion"/>
  </si>
  <si>
    <t>价值时点</t>
    <phoneticPr fontId="134" type="noConversion"/>
  </si>
  <si>
    <t>办公最长租赁期</t>
    <phoneticPr fontId="134" type="noConversion"/>
  </si>
  <si>
    <t>办公剩余租赁期</t>
    <phoneticPr fontId="134" type="noConversion"/>
  </si>
  <si>
    <t>年增长率</t>
    <phoneticPr fontId="134" type="noConversion"/>
  </si>
  <si>
    <t>空置率</t>
    <phoneticPr fontId="134" type="noConversion"/>
  </si>
  <si>
    <t>市场租金</t>
    <phoneticPr fontId="134" type="noConversion"/>
  </si>
  <si>
    <t>第一期</t>
    <phoneticPr fontId="134" type="noConversion"/>
  </si>
  <si>
    <t>第二期</t>
    <phoneticPr fontId="134" type="noConversion"/>
  </si>
  <si>
    <t>第三期</t>
    <phoneticPr fontId="134" type="noConversion"/>
  </si>
  <si>
    <t>第四期</t>
    <phoneticPr fontId="134" type="noConversion"/>
  </si>
  <si>
    <t>第五期</t>
    <phoneticPr fontId="134" type="noConversion"/>
  </si>
  <si>
    <t>第六期</t>
    <phoneticPr fontId="134" type="noConversion"/>
  </si>
  <si>
    <t>第七期</t>
    <phoneticPr fontId="134" type="noConversion"/>
  </si>
  <si>
    <t>办公租期内总租金</t>
    <phoneticPr fontId="134" type="noConversion"/>
  </si>
  <si>
    <t>办公租期内平均日租金</t>
    <phoneticPr fontId="134" type="noConversion"/>
  </si>
  <si>
    <t>办公租期外首年租金</t>
    <phoneticPr fontId="134" type="noConversion"/>
  </si>
  <si>
    <t>商业最长租赁期</t>
    <phoneticPr fontId="134" type="noConversion"/>
  </si>
  <si>
    <t>商业剩余租赁期</t>
    <phoneticPr fontId="134" type="noConversion"/>
  </si>
  <si>
    <t>建筑面积</t>
  </si>
  <si>
    <t>1层</t>
    <phoneticPr fontId="134" type="noConversion"/>
  </si>
  <si>
    <t>2层</t>
    <phoneticPr fontId="134" type="noConversion"/>
  </si>
  <si>
    <t>系数</t>
    <phoneticPr fontId="134" type="noConversion"/>
  </si>
  <si>
    <t>商业租期内总租金</t>
    <phoneticPr fontId="134" type="noConversion"/>
  </si>
  <si>
    <t>商业租期内平均日租金</t>
    <phoneticPr fontId="134" type="noConversion"/>
  </si>
  <si>
    <t>商业租期外首年租金</t>
    <phoneticPr fontId="134" type="noConversion"/>
  </si>
  <si>
    <t>已与相邻房合并</t>
    <phoneticPr fontId="134" type="noConversion"/>
  </si>
  <si>
    <t>1层外铺租金</t>
    <phoneticPr fontId="134" type="noConversion"/>
  </si>
  <si>
    <t>1层内铺租金</t>
    <phoneticPr fontId="134" type="noConversion"/>
  </si>
  <si>
    <t>2层租金</t>
    <phoneticPr fontId="134" type="noConversion"/>
  </si>
  <si>
    <t>商业可出租面积</t>
    <phoneticPr fontId="134" type="noConversion"/>
  </si>
  <si>
    <t>办公可出租面积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</si>
</sst>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rgb="FF000000"/>
      <name val="Times New Roman"/>
      <family val="1"/>
    </font>
    <font>
      <sz val="11"/>
      <color theme="1"/>
      <name val="宋体"/>
      <family val="2"/>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192" fontId="273" fillId="0" borderId="0"/>
    <xf numFmtId="43" fontId="273" fillId="0" borderId="0" applyFon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14" borderId="0" xfId="0" applyFont="1" applyFill="1">
      <alignment vertical="center"/>
    </xf>
    <xf numFmtId="0" fontId="0" fillId="14" borderId="0" xfId="0" applyFill="1">
      <alignment vertical="center"/>
    </xf>
    <xf numFmtId="4" fontId="0" fillId="14" borderId="0" xfId="0" applyNumberFormat="1" applyFill="1">
      <alignment vertical="center"/>
    </xf>
    <xf numFmtId="14" fontId="0" fillId="14" borderId="0" xfId="0" applyNumberFormat="1" applyFill="1">
      <alignment vertical="center"/>
    </xf>
    <xf numFmtId="0" fontId="0" fillId="22" borderId="0" xfId="0" applyFill="1">
      <alignment vertical="center"/>
    </xf>
    <xf numFmtId="4" fontId="0" fillId="22" borderId="0" xfId="0" applyNumberFormat="1" applyFill="1">
      <alignment vertical="center"/>
    </xf>
    <xf numFmtId="14" fontId="0" fillId="22" borderId="0" xfId="0" applyNumberFormat="1" applyFill="1">
      <alignment vertical="center"/>
    </xf>
    <xf numFmtId="0" fontId="0" fillId="8" borderId="0" xfId="0" applyFill="1">
      <alignment vertical="center"/>
    </xf>
    <xf numFmtId="0" fontId="95" fillId="22" borderId="0" xfId="0" applyFont="1" applyFill="1">
      <alignment vertical="center"/>
    </xf>
    <xf numFmtId="0" fontId="271" fillId="15" borderId="0" xfId="0" applyFont="1" applyFill="1">
      <alignment vertical="center"/>
    </xf>
    <xf numFmtId="4" fontId="271" fillId="15" borderId="0" xfId="0" applyNumberFormat="1" applyFont="1" applyFill="1">
      <alignment vertical="center"/>
    </xf>
    <xf numFmtId="0" fontId="95" fillId="0" borderId="0" xfId="0" quotePrefix="1" applyFont="1">
      <alignment vertical="center"/>
    </xf>
    <xf numFmtId="0" fontId="77" fillId="0" borderId="1" xfId="0" applyFont="1" applyBorder="1" applyAlignment="1" applyProtection="1">
      <alignment horizontal="center" vertical="center" wrapText="1"/>
      <protection locked="0"/>
    </xf>
    <xf numFmtId="2" fontId="47"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2" borderId="51" xfId="0"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14" fillId="7" borderId="0" xfId="0" applyFont="1" applyFill="1" applyProtection="1">
      <alignment vertical="center"/>
      <protection locked="0"/>
    </xf>
    <xf numFmtId="2" fontId="0" fillId="0" borderId="0" xfId="0" applyNumberFormat="1">
      <alignment vertical="center"/>
    </xf>
    <xf numFmtId="2" fontId="270" fillId="0" borderId="0" xfId="0" applyNumberFormat="1" applyFont="1">
      <alignment vertical="center"/>
    </xf>
    <xf numFmtId="0" fontId="128" fillId="0" borderId="2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9" fontId="51" fillId="0" borderId="37" xfId="17"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272" fillId="5" borderId="1" xfId="19" applyFill="1" applyBorder="1" applyAlignment="1">
      <alignment vertical="center" wrapText="1"/>
    </xf>
    <xf numFmtId="14" fontId="272" fillId="5" borderId="1" xfId="19" applyNumberFormat="1" applyFill="1" applyBorder="1" applyAlignment="1">
      <alignment vertical="center" wrapText="1"/>
    </xf>
    <xf numFmtId="4" fontId="272" fillId="5" borderId="1" xfId="19" applyNumberFormat="1" applyFill="1" applyBorder="1" applyAlignment="1">
      <alignment horizontal="center" vertical="center" wrapText="1"/>
    </xf>
    <xf numFmtId="3" fontId="272" fillId="5" borderId="1" xfId="19" applyNumberForma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77" fillId="7" borderId="0" xfId="0" applyFont="1" applyFill="1" applyProtection="1">
      <alignment vertical="center"/>
      <protection locked="0"/>
    </xf>
    <xf numFmtId="0" fontId="274" fillId="5" borderId="1" xfId="19" applyFont="1" applyFill="1" applyBorder="1" applyAlignment="1">
      <alignment vertical="center" wrapText="1"/>
    </xf>
    <xf numFmtId="14" fontId="0" fillId="0" borderId="0" xfId="0" applyNumberFormat="1">
      <alignment vertical="center"/>
    </xf>
    <xf numFmtId="9" fontId="0" fillId="0" borderId="0" xfId="0" applyNumberFormat="1">
      <alignment vertical="center"/>
    </xf>
    <xf numFmtId="14" fontId="95" fillId="14" borderId="0" xfId="0" applyNumberFormat="1" applyFont="1" applyFill="1">
      <alignment vertical="center"/>
    </xf>
    <xf numFmtId="4" fontId="0" fillId="0" borderId="0" xfId="0" applyNumberFormat="1">
      <alignment vertical="center"/>
    </xf>
    <xf numFmtId="0" fontId="99" fillId="0" borderId="1" xfId="0" applyFont="1" applyBorder="1" applyAlignment="1">
      <alignment horizontal="left" vertical="center" wrapText="1"/>
    </xf>
    <xf numFmtId="10" fontId="47" fillId="7" borderId="0" xfId="17" applyNumberFormat="1" applyFont="1" applyFill="1" applyProtection="1">
      <alignment vertical="center"/>
      <protection locked="0"/>
    </xf>
    <xf numFmtId="10" fontId="47" fillId="7" borderId="0" xfId="0" applyNumberFormat="1" applyFont="1" applyFill="1" applyProtection="1">
      <alignment vertical="center"/>
      <protection locked="0"/>
    </xf>
    <xf numFmtId="196"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72" fillId="0" borderId="0" xfId="19"/>
    <xf numFmtId="14" fontId="272" fillId="0" borderId="0" xfId="19" applyNumberFormat="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8" borderId="0" xfId="0" applyFont="1" applyFill="1">
      <alignment vertical="center"/>
    </xf>
    <xf numFmtId="179" fontId="53" fillId="8" borderId="1" xfId="0" applyNumberFormat="1" applyFont="1" applyFill="1" applyBorder="1" applyAlignment="1" applyProtection="1">
      <alignment horizontal="center" vertical="center" wrapText="1"/>
      <protection locked="0"/>
    </xf>
  </cellXfs>
  <cellStyles count="22">
    <cellStyle name="百分比" xfId="17" builtinId="5"/>
    <cellStyle name="百分比 2" xfId="14" xr:uid="{00000000-0005-0000-0000-000001000000}"/>
    <cellStyle name="常规" xfId="0" builtinId="0"/>
    <cellStyle name="常规 10" xfId="19" xr:uid="{50B36715-F01C-4833-8D02-1F508794450D}"/>
    <cellStyle name="常规 10 2" xfId="20" xr:uid="{663DE3EF-4A5B-41FE-8F2B-F6FA889F7F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77705A70-3569-4EE3-BE81-BB2F564222B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132821</xdr:colOff>
      <xdr:row>3</xdr:row>
      <xdr:rowOff>9460</xdr:rowOff>
    </xdr:to>
    <xdr:pic>
      <xdr:nvPicPr>
        <xdr:cNvPr id="2" name="图片 1">
          <a:extLst>
            <a:ext uri="{FF2B5EF4-FFF2-40B4-BE49-F238E27FC236}">
              <a16:creationId xmlns:a16="http://schemas.microsoft.com/office/drawing/2014/main" id="{866D7342-3A12-911F-22E2-F4C495A1C2CE}"/>
            </a:ext>
          </a:extLst>
        </xdr:cNvPr>
        <xdr:cNvPicPr>
          <a:picLocks noChangeAspect="1"/>
        </xdr:cNvPicPr>
      </xdr:nvPicPr>
      <xdr:blipFill>
        <a:blip xmlns:r="http://schemas.openxmlformats.org/officeDocument/2006/relationships" r:embed="rId1"/>
        <a:stretch>
          <a:fillRect/>
        </a:stretch>
      </xdr:blipFill>
      <xdr:spPr>
        <a:xfrm>
          <a:off x="0" y="0"/>
          <a:ext cx="4228571" cy="523810"/>
        </a:xfrm>
        <a:prstGeom prst="rect">
          <a:avLst/>
        </a:prstGeom>
      </xdr:spPr>
    </xdr:pic>
    <xdr:clientData/>
  </xdr:twoCellAnchor>
  <xdr:twoCellAnchor editAs="oneCell">
    <xdr:from>
      <xdr:col>5</xdr:col>
      <xdr:colOff>638175</xdr:colOff>
      <xdr:row>0</xdr:row>
      <xdr:rowOff>0</xdr:rowOff>
    </xdr:from>
    <xdr:to>
      <xdr:col>13</xdr:col>
      <xdr:colOff>675118</xdr:colOff>
      <xdr:row>15</xdr:row>
      <xdr:rowOff>167192</xdr:rowOff>
    </xdr:to>
    <xdr:pic>
      <xdr:nvPicPr>
        <xdr:cNvPr id="3" name="图片 2">
          <a:extLst>
            <a:ext uri="{FF2B5EF4-FFF2-40B4-BE49-F238E27FC236}">
              <a16:creationId xmlns:a16="http://schemas.microsoft.com/office/drawing/2014/main" id="{860DB0B6-E44D-8D12-2090-A7E38C876C2A}"/>
            </a:ext>
          </a:extLst>
        </xdr:cNvPr>
        <xdr:cNvPicPr>
          <a:picLocks noChangeAspect="1"/>
        </xdr:cNvPicPr>
      </xdr:nvPicPr>
      <xdr:blipFill>
        <a:blip xmlns:r="http://schemas.openxmlformats.org/officeDocument/2006/relationships" r:embed="rId2"/>
        <a:stretch>
          <a:fillRect/>
        </a:stretch>
      </xdr:blipFill>
      <xdr:spPr>
        <a:xfrm>
          <a:off x="4733925" y="0"/>
          <a:ext cx="5523343" cy="2738942"/>
        </a:xfrm>
        <a:prstGeom prst="rect">
          <a:avLst/>
        </a:prstGeom>
      </xdr:spPr>
    </xdr:pic>
    <xdr:clientData/>
  </xdr:twoCellAnchor>
  <xdr:twoCellAnchor editAs="oneCell">
    <xdr:from>
      <xdr:col>5</xdr:col>
      <xdr:colOff>551492</xdr:colOff>
      <xdr:row>16</xdr:row>
      <xdr:rowOff>171449</xdr:rowOff>
    </xdr:from>
    <xdr:to>
      <xdr:col>17</xdr:col>
      <xdr:colOff>36652</xdr:colOff>
      <xdr:row>43</xdr:row>
      <xdr:rowOff>84872</xdr:rowOff>
    </xdr:to>
    <xdr:pic>
      <xdr:nvPicPr>
        <xdr:cNvPr id="4" name="图片 3">
          <a:extLst>
            <a:ext uri="{FF2B5EF4-FFF2-40B4-BE49-F238E27FC236}">
              <a16:creationId xmlns:a16="http://schemas.microsoft.com/office/drawing/2014/main" id="{7BF56D37-D9FD-48F8-7534-DAF654A5A679}"/>
            </a:ext>
          </a:extLst>
        </xdr:cNvPr>
        <xdr:cNvPicPr>
          <a:picLocks noChangeAspect="1"/>
        </xdr:cNvPicPr>
      </xdr:nvPicPr>
      <xdr:blipFill>
        <a:blip xmlns:r="http://schemas.openxmlformats.org/officeDocument/2006/relationships" r:embed="rId3"/>
        <a:stretch>
          <a:fillRect/>
        </a:stretch>
      </xdr:blipFill>
      <xdr:spPr>
        <a:xfrm>
          <a:off x="4647242" y="2914649"/>
          <a:ext cx="7714760" cy="4542573"/>
        </a:xfrm>
        <a:prstGeom prst="rect">
          <a:avLst/>
        </a:prstGeom>
      </xdr:spPr>
    </xdr:pic>
    <xdr:clientData/>
  </xdr:twoCellAnchor>
  <xdr:twoCellAnchor editAs="oneCell">
    <xdr:from>
      <xdr:col>0</xdr:col>
      <xdr:colOff>1285875</xdr:colOff>
      <xdr:row>41</xdr:row>
      <xdr:rowOff>57150</xdr:rowOff>
    </xdr:from>
    <xdr:to>
      <xdr:col>4</xdr:col>
      <xdr:colOff>571163</xdr:colOff>
      <xdr:row>54</xdr:row>
      <xdr:rowOff>161633</xdr:rowOff>
    </xdr:to>
    <xdr:pic>
      <xdr:nvPicPr>
        <xdr:cNvPr id="6" name="图片 5">
          <a:extLst>
            <a:ext uri="{FF2B5EF4-FFF2-40B4-BE49-F238E27FC236}">
              <a16:creationId xmlns:a16="http://schemas.microsoft.com/office/drawing/2014/main" id="{D3FCBB32-68A7-4DA4-8A5F-0F7E65609491}"/>
            </a:ext>
          </a:extLst>
        </xdr:cNvPr>
        <xdr:cNvPicPr>
          <a:picLocks noChangeAspect="1"/>
        </xdr:cNvPicPr>
      </xdr:nvPicPr>
      <xdr:blipFill>
        <a:blip xmlns:r="http://schemas.openxmlformats.org/officeDocument/2006/relationships" r:embed="rId4"/>
        <a:stretch>
          <a:fillRect/>
        </a:stretch>
      </xdr:blipFill>
      <xdr:spPr>
        <a:xfrm>
          <a:off x="1285875" y="7086600"/>
          <a:ext cx="2695238" cy="2333333"/>
        </a:xfrm>
        <a:prstGeom prst="rect">
          <a:avLst/>
        </a:prstGeom>
      </xdr:spPr>
    </xdr:pic>
    <xdr:clientData/>
  </xdr:twoCellAnchor>
  <xdr:twoCellAnchor editAs="oneCell">
    <xdr:from>
      <xdr:col>6</xdr:col>
      <xdr:colOff>28575</xdr:colOff>
      <xdr:row>44</xdr:row>
      <xdr:rowOff>9525</xdr:rowOff>
    </xdr:from>
    <xdr:to>
      <xdr:col>9</xdr:col>
      <xdr:colOff>352127</xdr:colOff>
      <xdr:row>47</xdr:row>
      <xdr:rowOff>123746</xdr:rowOff>
    </xdr:to>
    <xdr:pic>
      <xdr:nvPicPr>
        <xdr:cNvPr id="7" name="图片 6">
          <a:extLst>
            <a:ext uri="{FF2B5EF4-FFF2-40B4-BE49-F238E27FC236}">
              <a16:creationId xmlns:a16="http://schemas.microsoft.com/office/drawing/2014/main" id="{AC2005D7-7199-A486-6AED-6B9394951462}"/>
            </a:ext>
          </a:extLst>
        </xdr:cNvPr>
        <xdr:cNvPicPr>
          <a:picLocks noChangeAspect="1"/>
        </xdr:cNvPicPr>
      </xdr:nvPicPr>
      <xdr:blipFill>
        <a:blip xmlns:r="http://schemas.openxmlformats.org/officeDocument/2006/relationships" r:embed="rId5"/>
        <a:stretch>
          <a:fillRect/>
        </a:stretch>
      </xdr:blipFill>
      <xdr:spPr>
        <a:xfrm>
          <a:off x="4810125" y="7553325"/>
          <a:ext cx="2380952" cy="628571"/>
        </a:xfrm>
        <a:prstGeom prst="rect">
          <a:avLst/>
        </a:prstGeom>
      </xdr:spPr>
    </xdr:pic>
    <xdr:clientData/>
  </xdr:twoCellAnchor>
  <xdr:twoCellAnchor editAs="oneCell">
    <xdr:from>
      <xdr:col>5</xdr:col>
      <xdr:colOff>523875</xdr:colOff>
      <xdr:row>49</xdr:row>
      <xdr:rowOff>133350</xdr:rowOff>
    </xdr:from>
    <xdr:to>
      <xdr:col>12</xdr:col>
      <xdr:colOff>523275</xdr:colOff>
      <xdr:row>53</xdr:row>
      <xdr:rowOff>66598</xdr:rowOff>
    </xdr:to>
    <xdr:pic>
      <xdr:nvPicPr>
        <xdr:cNvPr id="8" name="图片 7">
          <a:extLst>
            <a:ext uri="{FF2B5EF4-FFF2-40B4-BE49-F238E27FC236}">
              <a16:creationId xmlns:a16="http://schemas.microsoft.com/office/drawing/2014/main" id="{840FDE19-A9E0-0217-72DB-B08364D1C158}"/>
            </a:ext>
          </a:extLst>
        </xdr:cNvPr>
        <xdr:cNvPicPr>
          <a:picLocks noChangeAspect="1"/>
        </xdr:cNvPicPr>
      </xdr:nvPicPr>
      <xdr:blipFill>
        <a:blip xmlns:r="http://schemas.openxmlformats.org/officeDocument/2006/relationships" r:embed="rId6"/>
        <a:stretch>
          <a:fillRect/>
        </a:stretch>
      </xdr:blipFill>
      <xdr:spPr>
        <a:xfrm>
          <a:off x="4619625" y="8534400"/>
          <a:ext cx="4800000" cy="619048"/>
        </a:xfrm>
        <a:prstGeom prst="rect">
          <a:avLst/>
        </a:prstGeom>
      </xdr:spPr>
    </xdr:pic>
    <xdr:clientData/>
  </xdr:twoCellAnchor>
  <xdr:twoCellAnchor editAs="oneCell">
    <xdr:from>
      <xdr:col>6</xdr:col>
      <xdr:colOff>0</xdr:colOff>
      <xdr:row>56</xdr:row>
      <xdr:rowOff>0</xdr:rowOff>
    </xdr:from>
    <xdr:to>
      <xdr:col>11</xdr:col>
      <xdr:colOff>75762</xdr:colOff>
      <xdr:row>61</xdr:row>
      <xdr:rowOff>28464</xdr:rowOff>
    </xdr:to>
    <xdr:pic>
      <xdr:nvPicPr>
        <xdr:cNvPr id="9" name="图片 8">
          <a:extLst>
            <a:ext uri="{FF2B5EF4-FFF2-40B4-BE49-F238E27FC236}">
              <a16:creationId xmlns:a16="http://schemas.microsoft.com/office/drawing/2014/main" id="{6FD24ECD-9750-8049-A5E2-3D58B564E3F6}"/>
            </a:ext>
          </a:extLst>
        </xdr:cNvPr>
        <xdr:cNvPicPr>
          <a:picLocks noChangeAspect="1"/>
        </xdr:cNvPicPr>
      </xdr:nvPicPr>
      <xdr:blipFill>
        <a:blip xmlns:r="http://schemas.openxmlformats.org/officeDocument/2006/relationships" r:embed="rId7"/>
        <a:stretch>
          <a:fillRect/>
        </a:stretch>
      </xdr:blipFill>
      <xdr:spPr>
        <a:xfrm>
          <a:off x="4781550" y="9601200"/>
          <a:ext cx="3504762" cy="885714"/>
        </a:xfrm>
        <a:prstGeom prst="rect">
          <a:avLst/>
        </a:prstGeom>
      </xdr:spPr>
    </xdr:pic>
    <xdr:clientData/>
  </xdr:twoCellAnchor>
  <xdr:twoCellAnchor editAs="oneCell">
    <xdr:from>
      <xdr:col>1</xdr:col>
      <xdr:colOff>38100</xdr:colOff>
      <xdr:row>23</xdr:row>
      <xdr:rowOff>123825</xdr:rowOff>
    </xdr:from>
    <xdr:to>
      <xdr:col>4</xdr:col>
      <xdr:colOff>666409</xdr:colOff>
      <xdr:row>39</xdr:row>
      <xdr:rowOff>142530</xdr:rowOff>
    </xdr:to>
    <xdr:pic>
      <xdr:nvPicPr>
        <xdr:cNvPr id="10" name="图片 9">
          <a:extLst>
            <a:ext uri="{FF2B5EF4-FFF2-40B4-BE49-F238E27FC236}">
              <a16:creationId xmlns:a16="http://schemas.microsoft.com/office/drawing/2014/main" id="{B528B833-959C-9425-45E1-F14AA0C42146}"/>
            </a:ext>
          </a:extLst>
        </xdr:cNvPr>
        <xdr:cNvPicPr>
          <a:picLocks noChangeAspect="1"/>
        </xdr:cNvPicPr>
      </xdr:nvPicPr>
      <xdr:blipFill>
        <a:blip xmlns:r="http://schemas.openxmlformats.org/officeDocument/2006/relationships" r:embed="rId8"/>
        <a:stretch>
          <a:fillRect/>
        </a:stretch>
      </xdr:blipFill>
      <xdr:spPr>
        <a:xfrm>
          <a:off x="1352550" y="4067175"/>
          <a:ext cx="2723809" cy="2761905"/>
        </a:xfrm>
        <a:prstGeom prst="rect">
          <a:avLst/>
        </a:prstGeom>
      </xdr:spPr>
    </xdr:pic>
    <xdr:clientData/>
  </xdr:twoCellAnchor>
  <xdr:twoCellAnchor editAs="oneCell">
    <xdr:from>
      <xdr:col>0</xdr:col>
      <xdr:colOff>0</xdr:colOff>
      <xdr:row>63</xdr:row>
      <xdr:rowOff>123825</xdr:rowOff>
    </xdr:from>
    <xdr:to>
      <xdr:col>15</xdr:col>
      <xdr:colOff>503393</xdr:colOff>
      <xdr:row>67</xdr:row>
      <xdr:rowOff>28501</xdr:rowOff>
    </xdr:to>
    <xdr:pic>
      <xdr:nvPicPr>
        <xdr:cNvPr id="5" name="图片 4">
          <a:extLst>
            <a:ext uri="{FF2B5EF4-FFF2-40B4-BE49-F238E27FC236}">
              <a16:creationId xmlns:a16="http://schemas.microsoft.com/office/drawing/2014/main" id="{445F15B5-4660-0538-CE29-4E9FBCBE0FD7}"/>
            </a:ext>
          </a:extLst>
        </xdr:cNvPr>
        <xdr:cNvPicPr>
          <a:picLocks noChangeAspect="1"/>
        </xdr:cNvPicPr>
      </xdr:nvPicPr>
      <xdr:blipFill>
        <a:blip xmlns:r="http://schemas.openxmlformats.org/officeDocument/2006/relationships" r:embed="rId9"/>
        <a:stretch>
          <a:fillRect/>
        </a:stretch>
      </xdr:blipFill>
      <xdr:spPr>
        <a:xfrm>
          <a:off x="0" y="10925175"/>
          <a:ext cx="11457143" cy="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11</xdr:col>
      <xdr:colOff>818053</xdr:colOff>
      <xdr:row>43</xdr:row>
      <xdr:rowOff>8715</xdr:rowOff>
    </xdr:to>
    <xdr:pic>
      <xdr:nvPicPr>
        <xdr:cNvPr id="3" name="图片 2">
          <a:extLst>
            <a:ext uri="{FF2B5EF4-FFF2-40B4-BE49-F238E27FC236}">
              <a16:creationId xmlns:a16="http://schemas.microsoft.com/office/drawing/2014/main" id="{B6801E68-4E59-4A52-D150-30BB6E910969}"/>
            </a:ext>
          </a:extLst>
        </xdr:cNvPr>
        <xdr:cNvPicPr>
          <a:picLocks noChangeAspect="1"/>
        </xdr:cNvPicPr>
      </xdr:nvPicPr>
      <xdr:blipFill>
        <a:blip xmlns:r="http://schemas.openxmlformats.org/officeDocument/2006/relationships" r:embed="rId1"/>
        <a:stretch>
          <a:fillRect/>
        </a:stretch>
      </xdr:blipFill>
      <xdr:spPr>
        <a:xfrm>
          <a:off x="0" y="952500"/>
          <a:ext cx="8771428"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39</xdr:row>
      <xdr:rowOff>122974</xdr:rowOff>
    </xdr:to>
    <xdr:pic>
      <xdr:nvPicPr>
        <xdr:cNvPr id="2" name="图片 1">
          <a:extLst>
            <a:ext uri="{FF2B5EF4-FFF2-40B4-BE49-F238E27FC236}">
              <a16:creationId xmlns:a16="http://schemas.microsoft.com/office/drawing/2014/main" id="{0F8BCD3C-3025-E2DE-10F7-A187CF7B1A4F}"/>
            </a:ext>
          </a:extLst>
        </xdr:cNvPr>
        <xdr:cNvPicPr>
          <a:picLocks noChangeAspect="1"/>
        </xdr:cNvPicPr>
      </xdr:nvPicPr>
      <xdr:blipFill>
        <a:blip xmlns:r="http://schemas.openxmlformats.org/officeDocument/2006/relationships" r:embed="rId1"/>
        <a:stretch>
          <a:fillRect/>
        </a:stretch>
      </xdr:blipFill>
      <xdr:spPr>
        <a:xfrm>
          <a:off x="0" y="0"/>
          <a:ext cx="3876190" cy="6809524"/>
        </a:xfrm>
        <a:prstGeom prst="rect">
          <a:avLst/>
        </a:prstGeom>
      </xdr:spPr>
    </xdr:pic>
    <xdr:clientData/>
  </xdr:twoCellAnchor>
  <xdr:twoCellAnchor editAs="oneCell">
    <xdr:from>
      <xdr:col>5</xdr:col>
      <xdr:colOff>650422</xdr:colOff>
      <xdr:row>0</xdr:row>
      <xdr:rowOff>0</xdr:rowOff>
    </xdr:from>
    <xdr:to>
      <xdr:col>11</xdr:col>
      <xdr:colOff>459431</xdr:colOff>
      <xdr:row>39</xdr:row>
      <xdr:rowOff>46783</xdr:rowOff>
    </xdr:to>
    <xdr:pic>
      <xdr:nvPicPr>
        <xdr:cNvPr id="3" name="图片 2">
          <a:extLst>
            <a:ext uri="{FF2B5EF4-FFF2-40B4-BE49-F238E27FC236}">
              <a16:creationId xmlns:a16="http://schemas.microsoft.com/office/drawing/2014/main" id="{D7E030E5-1473-C8BD-CE91-7DF4F2320A45}"/>
            </a:ext>
          </a:extLst>
        </xdr:cNvPr>
        <xdr:cNvPicPr>
          <a:picLocks noChangeAspect="1"/>
        </xdr:cNvPicPr>
      </xdr:nvPicPr>
      <xdr:blipFill>
        <a:blip xmlns:r="http://schemas.openxmlformats.org/officeDocument/2006/relationships" r:embed="rId2"/>
        <a:stretch>
          <a:fillRect/>
        </a:stretch>
      </xdr:blipFill>
      <xdr:spPr>
        <a:xfrm>
          <a:off x="4052208" y="0"/>
          <a:ext cx="3891152" cy="6945604"/>
        </a:xfrm>
        <a:prstGeom prst="rect">
          <a:avLst/>
        </a:prstGeom>
      </xdr:spPr>
    </xdr:pic>
    <xdr:clientData/>
  </xdr:twoCellAnchor>
  <xdr:twoCellAnchor editAs="oneCell">
    <xdr:from>
      <xdr:col>11</xdr:col>
      <xdr:colOff>457200</xdr:colOff>
      <xdr:row>0</xdr:row>
      <xdr:rowOff>0</xdr:rowOff>
    </xdr:from>
    <xdr:to>
      <xdr:col>17</xdr:col>
      <xdr:colOff>209067</xdr:colOff>
      <xdr:row>39</xdr:row>
      <xdr:rowOff>94402</xdr:rowOff>
    </xdr:to>
    <xdr:pic>
      <xdr:nvPicPr>
        <xdr:cNvPr id="4" name="图片 3">
          <a:extLst>
            <a:ext uri="{FF2B5EF4-FFF2-40B4-BE49-F238E27FC236}">
              <a16:creationId xmlns:a16="http://schemas.microsoft.com/office/drawing/2014/main" id="{E3C85382-22C0-7735-4CC2-0E2F689CAE0C}"/>
            </a:ext>
          </a:extLst>
        </xdr:cNvPr>
        <xdr:cNvPicPr>
          <a:picLocks noChangeAspect="1"/>
        </xdr:cNvPicPr>
      </xdr:nvPicPr>
      <xdr:blipFill>
        <a:blip xmlns:r="http://schemas.openxmlformats.org/officeDocument/2006/relationships" r:embed="rId3"/>
        <a:stretch>
          <a:fillRect/>
        </a:stretch>
      </xdr:blipFill>
      <xdr:spPr>
        <a:xfrm>
          <a:off x="8001000" y="0"/>
          <a:ext cx="3866667" cy="6780952"/>
        </a:xfrm>
        <a:prstGeom prst="rect">
          <a:avLst/>
        </a:prstGeom>
      </xdr:spPr>
    </xdr:pic>
    <xdr:clientData/>
  </xdr:twoCellAnchor>
  <xdr:twoCellAnchor editAs="oneCell">
    <xdr:from>
      <xdr:col>17</xdr:col>
      <xdr:colOff>517072</xdr:colOff>
      <xdr:row>0</xdr:row>
      <xdr:rowOff>0</xdr:rowOff>
    </xdr:from>
    <xdr:to>
      <xdr:col>24</xdr:col>
      <xdr:colOff>364096</xdr:colOff>
      <xdr:row>26</xdr:row>
      <xdr:rowOff>38881</xdr:rowOff>
    </xdr:to>
    <xdr:pic>
      <xdr:nvPicPr>
        <xdr:cNvPr id="5" name="图片 4">
          <a:extLst>
            <a:ext uri="{FF2B5EF4-FFF2-40B4-BE49-F238E27FC236}">
              <a16:creationId xmlns:a16="http://schemas.microsoft.com/office/drawing/2014/main" id="{CF2F5CE7-50EA-81B6-9C7D-B52A67B3B251}"/>
            </a:ext>
          </a:extLst>
        </xdr:cNvPr>
        <xdr:cNvPicPr>
          <a:picLocks noChangeAspect="1"/>
        </xdr:cNvPicPr>
      </xdr:nvPicPr>
      <xdr:blipFill>
        <a:blip xmlns:r="http://schemas.openxmlformats.org/officeDocument/2006/relationships" r:embed="rId4"/>
        <a:stretch>
          <a:fillRect/>
        </a:stretch>
      </xdr:blipFill>
      <xdr:spPr>
        <a:xfrm>
          <a:off x="12083143" y="0"/>
          <a:ext cx="4609524" cy="4638095"/>
        </a:xfrm>
        <a:prstGeom prst="rect">
          <a:avLst/>
        </a:prstGeom>
      </xdr:spPr>
    </xdr:pic>
    <xdr:clientData/>
  </xdr:twoCellAnchor>
  <xdr:twoCellAnchor editAs="oneCell">
    <xdr:from>
      <xdr:col>17</xdr:col>
      <xdr:colOff>476250</xdr:colOff>
      <xdr:row>26</xdr:row>
      <xdr:rowOff>136071</xdr:rowOff>
    </xdr:from>
    <xdr:to>
      <xdr:col>24</xdr:col>
      <xdr:colOff>342321</xdr:colOff>
      <xdr:row>53</xdr:row>
      <xdr:rowOff>17107</xdr:rowOff>
    </xdr:to>
    <xdr:pic>
      <xdr:nvPicPr>
        <xdr:cNvPr id="6" name="图片 5">
          <a:extLst>
            <a:ext uri="{FF2B5EF4-FFF2-40B4-BE49-F238E27FC236}">
              <a16:creationId xmlns:a16="http://schemas.microsoft.com/office/drawing/2014/main" id="{46BBA999-0452-AFD9-FCBE-25958B8882C3}"/>
            </a:ext>
          </a:extLst>
        </xdr:cNvPr>
        <xdr:cNvPicPr>
          <a:picLocks noChangeAspect="1"/>
        </xdr:cNvPicPr>
      </xdr:nvPicPr>
      <xdr:blipFill>
        <a:blip xmlns:r="http://schemas.openxmlformats.org/officeDocument/2006/relationships" r:embed="rId5"/>
        <a:stretch>
          <a:fillRect/>
        </a:stretch>
      </xdr:blipFill>
      <xdr:spPr>
        <a:xfrm>
          <a:off x="12042321" y="4735285"/>
          <a:ext cx="4628571" cy="4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26</xdr:row>
      <xdr:rowOff>9525</xdr:rowOff>
    </xdr:from>
    <xdr:to>
      <xdr:col>11</xdr:col>
      <xdr:colOff>579971</xdr:colOff>
      <xdr:row>66</xdr:row>
      <xdr:rowOff>151525</xdr:rowOff>
    </xdr:to>
    <xdr:pic>
      <xdr:nvPicPr>
        <xdr:cNvPr id="2" name="图片 1">
          <a:extLst>
            <a:ext uri="{FF2B5EF4-FFF2-40B4-BE49-F238E27FC236}">
              <a16:creationId xmlns:a16="http://schemas.microsoft.com/office/drawing/2014/main" id="{E587117A-D029-30D1-A19B-E30C4E518F20}"/>
            </a:ext>
          </a:extLst>
        </xdr:cNvPr>
        <xdr:cNvPicPr>
          <a:picLocks noChangeAspect="1"/>
        </xdr:cNvPicPr>
      </xdr:nvPicPr>
      <xdr:blipFill>
        <a:blip xmlns:r="http://schemas.openxmlformats.org/officeDocument/2006/relationships" r:embed="rId1"/>
        <a:stretch>
          <a:fillRect/>
        </a:stretch>
      </xdr:blipFill>
      <xdr:spPr>
        <a:xfrm>
          <a:off x="0" y="4991100"/>
          <a:ext cx="8428571" cy="7000000"/>
        </a:xfrm>
        <a:prstGeom prst="rect">
          <a:avLst/>
        </a:prstGeom>
      </xdr:spPr>
    </xdr:pic>
    <xdr:clientData/>
  </xdr:twoCellAnchor>
  <xdr:twoCellAnchor editAs="oneCell">
    <xdr:from>
      <xdr:col>0</xdr:col>
      <xdr:colOff>0</xdr:colOff>
      <xdr:row>2</xdr:row>
      <xdr:rowOff>28575</xdr:rowOff>
    </xdr:from>
    <xdr:to>
      <xdr:col>15</xdr:col>
      <xdr:colOff>180775</xdr:colOff>
      <xdr:row>26</xdr:row>
      <xdr:rowOff>9525</xdr:rowOff>
    </xdr:to>
    <xdr:pic>
      <xdr:nvPicPr>
        <xdr:cNvPr id="3" name="图片 2">
          <a:extLst>
            <a:ext uri="{FF2B5EF4-FFF2-40B4-BE49-F238E27FC236}">
              <a16:creationId xmlns:a16="http://schemas.microsoft.com/office/drawing/2014/main" id="{8E9BF9AF-612C-4F68-9B2F-C96453085ECC}"/>
            </a:ext>
          </a:extLst>
        </xdr:cNvPr>
        <xdr:cNvPicPr>
          <a:picLocks noChangeAspect="1"/>
        </xdr:cNvPicPr>
      </xdr:nvPicPr>
      <xdr:blipFill>
        <a:blip xmlns:r="http://schemas.openxmlformats.org/officeDocument/2006/relationships" r:embed="rId2"/>
        <a:stretch>
          <a:fillRect/>
        </a:stretch>
      </xdr:blipFill>
      <xdr:spPr>
        <a:xfrm>
          <a:off x="0" y="885825"/>
          <a:ext cx="10886875" cy="4105275"/>
        </a:xfrm>
        <a:prstGeom prst="rect">
          <a:avLst/>
        </a:prstGeom>
      </xdr:spPr>
    </xdr:pic>
    <xdr:clientData/>
  </xdr:twoCellAnchor>
  <xdr:twoCellAnchor editAs="oneCell">
    <xdr:from>
      <xdr:col>11</xdr:col>
      <xdr:colOff>104775</xdr:colOff>
      <xdr:row>4</xdr:row>
      <xdr:rowOff>47625</xdr:rowOff>
    </xdr:from>
    <xdr:to>
      <xdr:col>13</xdr:col>
      <xdr:colOff>333161</xdr:colOff>
      <xdr:row>39</xdr:row>
      <xdr:rowOff>37351</xdr:rowOff>
    </xdr:to>
    <xdr:pic>
      <xdr:nvPicPr>
        <xdr:cNvPr id="4" name="图片 3">
          <a:extLst>
            <a:ext uri="{FF2B5EF4-FFF2-40B4-BE49-F238E27FC236}">
              <a16:creationId xmlns:a16="http://schemas.microsoft.com/office/drawing/2014/main" id="{70DF6FA9-95B9-F089-3F64-E74C7F6A0F58}"/>
            </a:ext>
          </a:extLst>
        </xdr:cNvPr>
        <xdr:cNvPicPr>
          <a:picLocks noChangeAspect="1"/>
        </xdr:cNvPicPr>
      </xdr:nvPicPr>
      <xdr:blipFill>
        <a:blip xmlns:r="http://schemas.openxmlformats.org/officeDocument/2006/relationships" r:embed="rId3"/>
        <a:stretch>
          <a:fillRect/>
        </a:stretch>
      </xdr:blipFill>
      <xdr:spPr>
        <a:xfrm>
          <a:off x="7953375" y="1257300"/>
          <a:ext cx="1714286" cy="5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估价对象为北京市房地产，为所有。根据《国有土地使用证》[]，估价对象（分摊）出让国有建设用地使用权面积为19470.62平方米，建筑面积为98928.56平方米。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估价对象为北京市房地产,属开发建设的，该项目尚在开发建设中。根据《国有土地使用证》[]，估价对象（分摊）出让国有建设用地使用权面积为19470.62平方米，规划建筑面积为98928.56平方米。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2024年11月4日（评估专业人员实地查勘之日）</v>
      </c>
    </row>
    <row r="13" spans="1:2">
      <c r="A13" s="1118" t="s">
        <v>529</v>
      </c>
      <c r="B13" s="1119"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461910</v>
      </c>
    </row>
    <row r="21" spans="1:2">
      <c r="A21" s="1118" t="s">
        <v>537</v>
      </c>
      <c r="B21" s="1119">
        <f ca="1">'预评函-2'!D7</f>
        <v>46691</v>
      </c>
    </row>
    <row r="22" spans="1:2">
      <c r="A22" s="1118" t="s">
        <v>538</v>
      </c>
      <c r="B22" s="1119" t="str">
        <f ca="1">'预评函-2'!D6</f>
        <v>肆拾陆亿壹仟玖佰壹拾万元整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461910</v>
      </c>
    </row>
    <row r="31" spans="1:2">
      <c r="A31" s="1118" t="s">
        <v>576</v>
      </c>
      <c r="B31" s="1119">
        <f ca="1">'预评函-2'!D15</f>
        <v>46691</v>
      </c>
    </row>
    <row r="32" spans="1:2">
      <c r="A32" s="1118" t="s">
        <v>543</v>
      </c>
      <c r="B32" s="1119" t="str">
        <f ca="1">'预评函-2'!D14</f>
        <v>肆拾陆亿壹仟玖佰壹拾万元整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275253</v>
      </c>
    </row>
    <row r="39" spans="1:2">
      <c r="A39" s="1118" t="s">
        <v>545</v>
      </c>
      <c r="B39" s="1119">
        <f ca="1">'预评函-2'!D21</f>
        <v>27823</v>
      </c>
    </row>
    <row r="40" spans="1:2">
      <c r="A40" s="1118" t="s">
        <v>546</v>
      </c>
      <c r="B40" s="1119" t="str">
        <f ca="1">'预评函-2'!D20</f>
        <v>贰拾柒亿伍仟贰佰伍拾叁万元整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98928.560000000012</v>
      </c>
    </row>
    <row r="44" spans="1:2">
      <c r="A44" s="1118" t="s">
        <v>575</v>
      </c>
      <c r="B44" s="1119" t="str">
        <f>'预评函-3'!C2</f>
        <v>(分摊)土地面积</v>
      </c>
    </row>
    <row r="45" spans="1:2">
      <c r="A45" s="1118" t="s">
        <v>547</v>
      </c>
      <c r="B45" s="1119">
        <f>'预评函-3'!C4</f>
        <v>19470.62</v>
      </c>
    </row>
    <row r="46" spans="1:2">
      <c r="A46" s="1118" t="s">
        <v>573</v>
      </c>
      <c r="B46" s="1119" t="str">
        <f>'预评函-3'!D2</f>
        <v>出让国有建设用地使用权价值</v>
      </c>
    </row>
    <row r="47" spans="1:2">
      <c r="A47" s="1118" t="s">
        <v>548</v>
      </c>
      <c r="B47" s="1119">
        <f ca="1">'预评函-3'!D4</f>
        <v>369066</v>
      </c>
    </row>
    <row r="48" spans="1:2">
      <c r="A48" s="1118" t="s">
        <v>549</v>
      </c>
      <c r="B48" s="1119">
        <f ca="1">'预评函-3'!E4</f>
        <v>37306</v>
      </c>
    </row>
    <row r="49" spans="1:2">
      <c r="A49" s="1118" t="s">
        <v>550</v>
      </c>
      <c r="B49" s="1119" t="str">
        <f ca="1">'预评函-3'!D5</f>
        <v>叁拾陆亿玖仟零陆拾陆万元整</v>
      </c>
    </row>
    <row r="50" spans="1:2">
      <c r="A50" s="1118" t="s">
        <v>574</v>
      </c>
      <c r="B50" s="1119" t="str">
        <f>'预评函-3'!F2</f>
        <v>在建建筑物价值</v>
      </c>
    </row>
    <row r="51" spans="1:2">
      <c r="A51" s="1118" t="s">
        <v>551</v>
      </c>
      <c r="B51" s="1119">
        <f ca="1">'预评函-3'!F4</f>
        <v>92844</v>
      </c>
    </row>
    <row r="52" spans="1:2">
      <c r="A52" s="1118" t="s">
        <v>552</v>
      </c>
      <c r="B52" s="1119">
        <f ca="1">'预评函-3'!G4</f>
        <v>9385</v>
      </c>
    </row>
    <row r="53" spans="1:2">
      <c r="A53" s="1118" t="s">
        <v>580</v>
      </c>
      <c r="B53" s="1119" t="str">
        <f ca="1">'预评函-3'!F5</f>
        <v>玖亿贰仟捌佰肆拾肆万元整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0" sqref="F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2568</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2569</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2282</v>
      </c>
      <c r="C17" s="1441"/>
    </row>
    <row r="18" spans="1:3">
      <c r="A18" s="1440" t="s">
        <v>1046</v>
      </c>
      <c r="B18" s="1440" t="s">
        <v>2424</v>
      </c>
      <c r="C18" s="1441"/>
    </row>
    <row r="19" spans="1:3">
      <c r="A19" s="1440" t="s">
        <v>1047</v>
      </c>
      <c r="B19" s="1440" t="s">
        <v>3610</v>
      </c>
      <c r="C19" s="1441"/>
    </row>
    <row r="20" spans="1:3">
      <c r="A20" s="1440" t="s">
        <v>1048</v>
      </c>
      <c r="B20" s="1440" t="s">
        <v>3612</v>
      </c>
      <c r="C20" s="1441"/>
    </row>
    <row r="21" spans="1:3">
      <c r="A21" s="1440" t="s">
        <v>1049</v>
      </c>
      <c r="B21" s="1440" t="s">
        <v>3692</v>
      </c>
      <c r="C21" s="1441"/>
    </row>
    <row r="22" spans="1:3">
      <c r="A22" s="1440" t="s">
        <v>1050</v>
      </c>
      <c r="B22" s="1440" t="s">
        <v>3694</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6" t="s">
        <v>385</v>
      </c>
      <c r="C54" s="1444" t="s">
        <v>583</v>
      </c>
    </row>
    <row r="55" spans="1:4">
      <c r="A55" s="3234"/>
      <c r="B55" s="1446" t="s">
        <v>386</v>
      </c>
      <c r="C55" s="1444" t="s">
        <v>584</v>
      </c>
    </row>
    <row r="56" spans="1:4">
      <c r="A56" s="3234"/>
      <c r="B56" s="1446" t="s">
        <v>387</v>
      </c>
      <c r="C56" s="1444" t="s">
        <v>588</v>
      </c>
    </row>
    <row r="57" spans="1:4">
      <c r="A57" s="323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35" t="s">
        <v>2571</v>
      </c>
      <c r="J2" s="3235"/>
      <c r="K2" s="3235"/>
      <c r="L2" s="3235"/>
      <c r="M2" s="3235"/>
      <c r="N2" s="3235"/>
      <c r="O2" s="3235"/>
      <c r="P2" s="3235"/>
      <c r="Q2" s="3235"/>
      <c r="R2" s="3235"/>
    </row>
    <row r="3" spans="1:18">
      <c r="A3" s="2761" t="s">
        <v>2492</v>
      </c>
      <c r="B3" s="2762">
        <f>项目基本情况!D3</f>
        <v>45600</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3">
      <c r="A17" s="2761" t="s">
        <v>2508</v>
      </c>
      <c r="B17" s="2769">
        <v>4810</v>
      </c>
      <c r="C17" s="2763"/>
      <c r="D17" s="2759"/>
      <c r="E17" s="2759"/>
      <c r="F17" s="2760"/>
    </row>
    <row r="18" spans="1:13" ht="14.25" thickBot="1">
      <c r="A18" s="2771" t="s">
        <v>2507</v>
      </c>
      <c r="B18" s="2772">
        <f>ROUND(B17*F11/F12,2)</f>
        <v>5541.87</v>
      </c>
      <c r="C18" s="2772">
        <f>ROUND(F11/F12,4)</f>
        <v>1.1521999999999999</v>
      </c>
      <c r="D18" s="2773"/>
      <c r="E18" s="2773"/>
      <c r="F18" s="2774"/>
    </row>
    <row r="19" spans="1:13" ht="14.25" thickBot="1"/>
    <row r="20" spans="1:13" s="2807" customFormat="1" ht="14.25" thickTop="1">
      <c r="A20" s="2804" t="s">
        <v>2510</v>
      </c>
      <c r="B20" s="2805"/>
      <c r="C20" s="2805"/>
      <c r="D20" s="2805"/>
      <c r="E20" s="2805"/>
      <c r="F20" s="2805"/>
      <c r="G20" s="2806"/>
      <c r="I20" s="2808" t="s">
        <v>2555</v>
      </c>
      <c r="J20" s="2808" t="s">
        <v>2560</v>
      </c>
      <c r="K20" s="2808"/>
      <c r="L20" s="2808"/>
      <c r="M20" s="2808"/>
    </row>
    <row r="21" spans="1:13">
      <c r="A21" s="2775"/>
      <c r="B21" s="2776" t="s">
        <v>2511</v>
      </c>
      <c r="C21" s="2776" t="s">
        <v>2512</v>
      </c>
      <c r="D21" s="2776" t="s">
        <v>2513</v>
      </c>
      <c r="E21" s="2776" t="s">
        <v>2514</v>
      </c>
      <c r="F21" s="2776" t="s">
        <v>2515</v>
      </c>
      <c r="G21" s="2777" t="s">
        <v>2516</v>
      </c>
      <c r="I21" s="2798">
        <v>5</v>
      </c>
      <c r="J21" s="2798">
        <v>54.2</v>
      </c>
    </row>
    <row r="22" spans="1:13">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M23" s="2798" t="s">
        <v>2559</v>
      </c>
    </row>
    <row r="24" spans="1:13">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M24" s="2798">
        <v>10</v>
      </c>
    </row>
    <row r="25" spans="1:13">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M25" s="2798">
        <v>8</v>
      </c>
    </row>
    <row r="26" spans="1:13">
      <c r="A26" s="2780"/>
      <c r="B26" s="2781"/>
      <c r="C26" s="2781"/>
      <c r="D26" s="2781"/>
      <c r="E26" s="2781"/>
      <c r="F26" s="2781"/>
      <c r="G26" s="2782"/>
      <c r="I26" s="2798">
        <v>30</v>
      </c>
      <c r="J26" s="2798">
        <v>90.5</v>
      </c>
      <c r="K26" s="2798">
        <f t="shared" si="2"/>
        <v>4.2000000000000028</v>
      </c>
      <c r="L26" s="2798" t="s">
        <v>2562</v>
      </c>
      <c r="M26" s="2798">
        <v>5</v>
      </c>
    </row>
    <row r="27" spans="1:13">
      <c r="A27" s="2780" t="s">
        <v>2521</v>
      </c>
      <c r="B27" s="2781"/>
      <c r="C27" s="2781"/>
      <c r="D27" s="2781"/>
      <c r="E27" s="2781"/>
      <c r="F27" s="2781"/>
      <c r="G27" s="2782"/>
      <c r="I27" s="2798">
        <v>35</v>
      </c>
      <c r="J27" s="2798">
        <v>93.8</v>
      </c>
      <c r="K27" s="2798">
        <f t="shared" si="2"/>
        <v>3.2999999999999972</v>
      </c>
      <c r="L27" s="2798" t="s">
        <v>2563</v>
      </c>
      <c r="M27" s="2798">
        <v>3</v>
      </c>
    </row>
    <row r="28" spans="1:13">
      <c r="A28" s="2780" t="s">
        <v>2522</v>
      </c>
      <c r="B28" s="2781"/>
      <c r="C28" s="2781"/>
      <c r="D28" s="2781"/>
      <c r="E28" s="2781"/>
      <c r="F28" s="2781"/>
      <c r="G28" s="2782"/>
      <c r="I28" s="2798">
        <v>40</v>
      </c>
      <c r="J28" s="2798">
        <v>96.4</v>
      </c>
      <c r="K28" s="2798">
        <f t="shared" si="2"/>
        <v>2.6000000000000085</v>
      </c>
      <c r="L28" s="2798" t="s">
        <v>2564</v>
      </c>
      <c r="M28" s="2798">
        <v>2</v>
      </c>
    </row>
    <row r="29" spans="1:13">
      <c r="A29" s="2780" t="s">
        <v>2523</v>
      </c>
      <c r="B29" s="2781"/>
      <c r="C29" s="2781"/>
      <c r="D29" s="2781"/>
      <c r="E29" s="2781"/>
      <c r="F29" s="2781"/>
      <c r="G29" s="2782"/>
      <c r="I29" s="2798">
        <v>45</v>
      </c>
      <c r="J29" s="2798">
        <v>98.4</v>
      </c>
      <c r="K29" s="2798">
        <f t="shared" si="2"/>
        <v>2</v>
      </c>
    </row>
    <row r="30" spans="1:13">
      <c r="A30" s="2780" t="s">
        <v>2524</v>
      </c>
      <c r="B30" s="2781"/>
      <c r="C30" s="2781"/>
      <c r="D30" s="2781"/>
      <c r="E30" s="2781"/>
      <c r="F30" s="2781"/>
      <c r="G30" s="2782"/>
      <c r="I30" s="2798">
        <v>50</v>
      </c>
      <c r="J30" s="2798">
        <v>100</v>
      </c>
      <c r="K30" s="2798">
        <f t="shared" si="2"/>
        <v>1.5999999999999943</v>
      </c>
    </row>
    <row r="31" spans="1:13">
      <c r="A31" s="2780" t="s">
        <v>2525</v>
      </c>
      <c r="B31" s="2781"/>
      <c r="C31" s="2781"/>
      <c r="D31" s="2781"/>
      <c r="E31" s="2781"/>
      <c r="F31" s="2781"/>
      <c r="G31" s="2782"/>
      <c r="I31" s="2798" t="s">
        <v>2556</v>
      </c>
    </row>
    <row r="32" spans="1:13">
      <c r="A32" s="2780" t="s">
        <v>2526</v>
      </c>
      <c r="B32" s="2781"/>
      <c r="C32" s="2781"/>
      <c r="D32" s="2781"/>
      <c r="E32" s="2781"/>
      <c r="F32" s="2781"/>
      <c r="G32" s="2782"/>
    </row>
    <row r="33" spans="1:13">
      <c r="A33" s="2780" t="s">
        <v>2527</v>
      </c>
      <c r="B33" s="2781"/>
      <c r="C33" s="2781"/>
      <c r="D33" s="2781"/>
      <c r="E33" s="2781"/>
      <c r="F33" s="2781"/>
      <c r="G33" s="2782"/>
      <c r="I33" s="2798" t="s">
        <v>2555</v>
      </c>
      <c r="J33" s="2798" t="s">
        <v>2565</v>
      </c>
    </row>
    <row r="34" spans="1:13">
      <c r="A34" s="2780" t="s">
        <v>2528</v>
      </c>
      <c r="B34" s="2781"/>
      <c r="C34" s="2781"/>
      <c r="D34" s="2781"/>
      <c r="E34" s="2781"/>
      <c r="F34" s="2781"/>
      <c r="G34" s="2782"/>
      <c r="I34" s="2798">
        <v>5</v>
      </c>
      <c r="J34" s="2798">
        <v>55.1</v>
      </c>
    </row>
    <row r="35" spans="1:13">
      <c r="A35" s="2780" t="s">
        <v>2529</v>
      </c>
      <c r="B35" s="2781"/>
      <c r="C35" s="2781"/>
      <c r="D35" s="2781"/>
      <c r="E35" s="2781"/>
      <c r="F35" s="2781"/>
      <c r="G35" s="2782"/>
      <c r="I35" s="2798">
        <v>10</v>
      </c>
      <c r="J35" s="2798">
        <v>67</v>
      </c>
      <c r="K35" s="2798">
        <f>J35-J34</f>
        <v>11.899999999999999</v>
      </c>
    </row>
    <row r="36" spans="1:13">
      <c r="A36" s="2780" t="s">
        <v>2530</v>
      </c>
      <c r="B36" s="2781"/>
      <c r="C36" s="2781"/>
      <c r="D36" s="2781"/>
      <c r="E36" s="2781"/>
      <c r="F36" s="2781"/>
      <c r="G36" s="2782"/>
      <c r="I36" s="2798">
        <v>15</v>
      </c>
      <c r="J36" s="2798">
        <v>76.3</v>
      </c>
      <c r="K36" s="2798">
        <f t="shared" ref="K36:K41" si="3">J36-J35</f>
        <v>9.2999999999999972</v>
      </c>
      <c r="L36" s="2798" t="s">
        <v>2558</v>
      </c>
      <c r="M36" s="2798" t="s">
        <v>2559</v>
      </c>
    </row>
    <row r="37" spans="1:13">
      <c r="A37" s="2780" t="s">
        <v>2531</v>
      </c>
      <c r="B37" s="2781"/>
      <c r="C37" s="2781"/>
      <c r="D37" s="2781"/>
      <c r="E37" s="2781"/>
      <c r="F37" s="2781"/>
      <c r="G37" s="2782"/>
      <c r="I37" s="2798">
        <v>20</v>
      </c>
      <c r="J37" s="2798">
        <v>83.6</v>
      </c>
      <c r="K37" s="2798">
        <f t="shared" si="3"/>
        <v>7.2999999999999972</v>
      </c>
      <c r="L37" s="2798" t="s">
        <v>2557</v>
      </c>
      <c r="M37" s="2798">
        <v>10</v>
      </c>
    </row>
    <row r="38" spans="1:13">
      <c r="A38" s="2780" t="s">
        <v>2532</v>
      </c>
      <c r="B38" s="2781"/>
      <c r="C38" s="2781"/>
      <c r="D38" s="2781"/>
      <c r="E38" s="2781"/>
      <c r="F38" s="2781"/>
      <c r="G38" s="2782"/>
      <c r="I38" s="2798">
        <v>25</v>
      </c>
      <c r="J38" s="2798">
        <v>89.3</v>
      </c>
      <c r="K38" s="2798">
        <f t="shared" si="3"/>
        <v>5.7000000000000028</v>
      </c>
      <c r="L38" s="2798" t="s">
        <v>2561</v>
      </c>
      <c r="M38" s="2798">
        <v>8</v>
      </c>
    </row>
    <row r="39" spans="1:13">
      <c r="A39" s="2780"/>
      <c r="B39" s="2781"/>
      <c r="C39" s="2781"/>
      <c r="D39" s="2781"/>
      <c r="E39" s="2781"/>
      <c r="F39" s="2781"/>
      <c r="G39" s="2782"/>
      <c r="I39" s="2798">
        <v>30</v>
      </c>
      <c r="J39" s="2798">
        <v>93.8</v>
      </c>
      <c r="K39" s="2798">
        <f t="shared" si="3"/>
        <v>4.5</v>
      </c>
      <c r="L39" s="2798" t="s">
        <v>2562</v>
      </c>
      <c r="M39" s="2798">
        <v>6</v>
      </c>
    </row>
    <row r="40" spans="1:13">
      <c r="A40" s="2783" t="s">
        <v>2533</v>
      </c>
      <c r="B40" s="2784"/>
      <c r="C40" s="2784"/>
      <c r="D40" s="2784"/>
      <c r="E40" s="2784"/>
      <c r="F40" s="2784"/>
      <c r="G40" s="2785"/>
      <c r="I40" s="2798">
        <v>35</v>
      </c>
      <c r="J40" s="2798">
        <v>97.2</v>
      </c>
      <c r="K40" s="2798">
        <f t="shared" si="3"/>
        <v>3.4000000000000057</v>
      </c>
      <c r="L40" s="2798" t="s">
        <v>2563</v>
      </c>
      <c r="M40" s="2798">
        <v>3</v>
      </c>
    </row>
    <row r="41" spans="1:13">
      <c r="A41" s="2786" t="s">
        <v>2534</v>
      </c>
      <c r="B41" s="2787" t="s">
        <v>2535</v>
      </c>
      <c r="C41" s="2788" t="s">
        <v>2536</v>
      </c>
      <c r="D41" s="2788" t="s">
        <v>2537</v>
      </c>
      <c r="E41" s="2789"/>
      <c r="F41" s="2790"/>
      <c r="G41" s="2791"/>
      <c r="I41" s="2798">
        <v>40</v>
      </c>
      <c r="J41" s="2798">
        <v>100</v>
      </c>
      <c r="K41" s="2798">
        <f t="shared" si="3"/>
        <v>2.7999999999999972</v>
      </c>
    </row>
    <row r="42" spans="1:13">
      <c r="A42" s="2786" t="s">
        <v>2538</v>
      </c>
      <c r="B42" s="2787" t="s">
        <v>2539</v>
      </c>
      <c r="C42" s="2788" t="s">
        <v>2540</v>
      </c>
      <c r="D42" s="2792" t="s">
        <v>2541</v>
      </c>
      <c r="E42" s="2784" t="s">
        <v>2542</v>
      </c>
      <c r="F42" s="2784"/>
      <c r="G42" s="2785"/>
    </row>
    <row r="43" spans="1:13">
      <c r="A43" s="2786" t="s">
        <v>2543</v>
      </c>
      <c r="B43" s="2787" t="s">
        <v>2544</v>
      </c>
      <c r="C43" s="2788" t="s">
        <v>2545</v>
      </c>
      <c r="D43" s="2788" t="s">
        <v>2546</v>
      </c>
      <c r="E43" s="2789" t="s">
        <v>2547</v>
      </c>
      <c r="F43" s="2790"/>
      <c r="G43" s="2791"/>
      <c r="I43" s="2798" t="s">
        <v>2555</v>
      </c>
      <c r="J43" s="2798" t="s">
        <v>2566</v>
      </c>
    </row>
    <row r="44" spans="1:13">
      <c r="A44" s="2786" t="s">
        <v>2548</v>
      </c>
      <c r="B44" s="2787" t="s">
        <v>2549</v>
      </c>
      <c r="C44" s="2788" t="s">
        <v>2550</v>
      </c>
      <c r="D44" s="2792">
        <v>0.5</v>
      </c>
      <c r="E44" s="2789" t="s">
        <v>2551</v>
      </c>
      <c r="F44" s="2790"/>
      <c r="G44" s="2791"/>
      <c r="I44" s="2798">
        <v>30</v>
      </c>
      <c r="J44" s="2798">
        <v>81.7</v>
      </c>
    </row>
    <row r="45" spans="1:13" ht="14.25" thickBot="1">
      <c r="A45" s="2793" t="s">
        <v>2552</v>
      </c>
      <c r="B45" s="2794" t="s">
        <v>2539</v>
      </c>
      <c r="C45" s="2795" t="s">
        <v>2539</v>
      </c>
      <c r="D45" s="2795" t="s">
        <v>2553</v>
      </c>
      <c r="E45" s="2796" t="s">
        <v>2554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L25" sqref="L25"/>
    </sheetView>
  </sheetViews>
  <sheetFormatPr defaultColWidth="10" defaultRowHeight="12.75"/>
  <cols>
    <col min="1" max="1" width="16.875" style="1617" customWidth="1"/>
    <col min="2" max="2" width="10" style="1617" customWidth="1"/>
    <col min="3" max="3" width="11.5" style="1617" customWidth="1"/>
    <col min="4" max="5" width="13.75" style="1617" bestFit="1"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36" t="str">
        <f>IF(B10="北京市","北京市",C10)&amp;F10&amp;IF(结果表!G1="在建","出让国有建设用地使用权及在建建筑物",IF(结果表!G1="土地","出让国有建设用地使用权",))&amp;B9&amp;"预评估"</f>
        <v>北京市房地产抵押价值预评估</v>
      </c>
      <c r="C1" s="3237"/>
      <c r="D1" s="3237"/>
      <c r="E1" s="3237"/>
      <c r="F1" s="3237"/>
      <c r="G1" s="3237"/>
      <c r="H1" s="3237"/>
      <c r="I1" s="323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45600</v>
      </c>
      <c r="C3" s="2185" t="s">
        <v>2169</v>
      </c>
      <c r="D3" s="2184">
        <v>45600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3596</v>
      </c>
      <c r="C8" s="2200"/>
      <c r="D8" s="3239" t="s">
        <v>2175</v>
      </c>
      <c r="E8" s="2201" t="s">
        <v>3597</v>
      </c>
      <c r="F8" s="2202"/>
      <c r="G8" s="2441"/>
      <c r="H8" s="2441"/>
      <c r="I8" s="2441"/>
      <c r="J8" s="2244"/>
      <c r="K8" s="2399"/>
      <c r="L8" s="2398"/>
      <c r="M8" s="2398"/>
      <c r="N8" s="2244"/>
      <c r="O8" s="1669"/>
      <c r="P8" s="2244"/>
      <c r="Q8" s="2244"/>
      <c r="R8" s="2244"/>
    </row>
    <row r="9" spans="1:30" ht="13.5" thickBot="1">
      <c r="A9" s="2203" t="s">
        <v>2176</v>
      </c>
      <c r="B9" s="2204" t="s">
        <v>3597</v>
      </c>
      <c r="C9" s="2205"/>
      <c r="D9" s="3240"/>
      <c r="E9" s="2204" t="s">
        <v>587</v>
      </c>
      <c r="F9" s="2206"/>
      <c r="G9" s="2442"/>
      <c r="H9" s="2442"/>
      <c r="I9" s="2442"/>
      <c r="J9" s="2244"/>
      <c r="K9" s="2401"/>
      <c r="L9" s="2398"/>
      <c r="M9" s="2398"/>
      <c r="N9" s="2244"/>
      <c r="O9" s="1669"/>
      <c r="P9" s="2244"/>
      <c r="Q9" s="2244"/>
      <c r="R9" s="2244"/>
    </row>
    <row r="10" spans="1:30" ht="13.5" thickTop="1">
      <c r="A10" s="2207" t="s">
        <v>2177</v>
      </c>
      <c r="B10" s="2208" t="s">
        <v>3598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3599</v>
      </c>
      <c r="C11" s="2213"/>
      <c r="D11" s="2214"/>
      <c r="E11" s="2181"/>
      <c r="F11" s="2181"/>
      <c r="G11" s="2181"/>
      <c r="H11" s="2181"/>
      <c r="I11" s="2181"/>
      <c r="J11" s="2800"/>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799" t="s">
        <v>2567</v>
      </c>
      <c r="J12" s="2801"/>
      <c r="K12" s="2398"/>
      <c r="L12" s="2398"/>
      <c r="M12" s="2244"/>
      <c r="N12" s="1669"/>
      <c r="O12" s="2244"/>
      <c r="P12" s="2244"/>
      <c r="Q12" s="2244"/>
      <c r="AD12" s="1617"/>
    </row>
    <row r="13" spans="1:30">
      <c r="A13" s="3120" t="s">
        <v>3322</v>
      </c>
      <c r="B13" s="2217" t="s">
        <v>2188</v>
      </c>
      <c r="C13" s="802"/>
      <c r="D13" s="802">
        <v>53280</v>
      </c>
      <c r="E13" s="802">
        <v>56932</v>
      </c>
      <c r="F13" s="802"/>
      <c r="G13" s="802"/>
      <c r="H13" s="802"/>
      <c r="I13" s="802"/>
      <c r="J13" s="2801"/>
      <c r="K13" s="2398"/>
      <c r="L13" s="2398"/>
      <c r="M13" s="2244"/>
      <c r="N13" s="1669"/>
      <c r="O13" s="2244"/>
      <c r="P13" s="2244"/>
      <c r="Q13" s="2244"/>
      <c r="AD13" s="1617"/>
    </row>
    <row r="14" spans="1:30">
      <c r="A14" s="1017"/>
      <c r="B14" s="2217" t="s">
        <v>2189</v>
      </c>
      <c r="C14" s="2218"/>
      <c r="D14" s="2218">
        <v>40</v>
      </c>
      <c r="E14" s="2218">
        <v>50</v>
      </c>
      <c r="F14" s="2218"/>
      <c r="G14" s="2218"/>
      <c r="H14" s="2218"/>
      <c r="I14" s="2218"/>
      <c r="J14" s="2802"/>
      <c r="K14" s="2398"/>
      <c r="L14" s="2398"/>
      <c r="M14" s="2244"/>
      <c r="N14" s="1669"/>
      <c r="O14" s="2244"/>
      <c r="P14" s="2244"/>
      <c r="Q14" s="2244"/>
      <c r="AD14" s="1617"/>
    </row>
    <row r="15" spans="1:30">
      <c r="A15" s="311"/>
      <c r="B15" s="2219" t="s">
        <v>2190</v>
      </c>
      <c r="C15" s="2220" t="str">
        <f>IF(A13="出让",IF(C13="","",ROUNDDOWN(MIN((C13-$D$3)/365,C14),2)),C14)</f>
        <v/>
      </c>
      <c r="D15" s="2220">
        <f>IF(A13="出让",IF(D13="","",ROUNDDOWN(MIN((D13-$D$3)/365,D14),2)),D14)</f>
        <v>21.04</v>
      </c>
      <c r="E15" s="2220">
        <f>IF(A13="出让",IF(E13="","",ROUNDDOWN(MIN((E13-$D$3)/365,E14),2)),E14)</f>
        <v>31.04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2191</v>
      </c>
      <c r="B16" s="3246"/>
      <c r="C16" s="3247"/>
      <c r="D16" s="3248"/>
      <c r="E16" s="2221" t="s">
        <v>2192</v>
      </c>
      <c r="F16" s="3249"/>
      <c r="G16" s="3250"/>
      <c r="H16" s="3250"/>
      <c r="I16" s="3251"/>
      <c r="J16" s="2244"/>
      <c r="K16" s="2402"/>
      <c r="L16" s="1669"/>
      <c r="M16" s="1669"/>
      <c r="N16" s="2244"/>
      <c r="O16" s="1669"/>
      <c r="P16" s="2244"/>
      <c r="Q16" s="2244"/>
      <c r="R16" s="2244"/>
    </row>
    <row r="17" spans="1:28">
      <c r="A17" s="304" t="s">
        <v>2193</v>
      </c>
      <c r="B17" s="293" t="s">
        <v>2194</v>
      </c>
      <c r="C17" s="8">
        <f>'数据-汇总表'!E3</f>
        <v>98928.560000000012</v>
      </c>
      <c r="D17" s="1255" t="s">
        <v>2195</v>
      </c>
      <c r="E17" s="3252" t="s">
        <v>2196</v>
      </c>
      <c r="F17" s="3253"/>
      <c r="G17" s="3253"/>
      <c r="H17" s="3253"/>
      <c r="I17" s="3254"/>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19470.62</v>
      </c>
      <c r="D18" s="1028" t="s">
        <v>2199</v>
      </c>
      <c r="E18" s="3255" t="s">
        <v>2200</v>
      </c>
      <c r="F18" s="3256"/>
      <c r="G18" s="3256"/>
      <c r="H18" s="3256"/>
      <c r="I18" s="3257"/>
      <c r="J18" s="2244"/>
      <c r="K18" s="2403"/>
      <c r="L18" s="1669"/>
      <c r="M18" s="1669"/>
      <c r="N18" s="2244"/>
      <c r="O18" s="1669"/>
      <c r="P18" s="2244"/>
      <c r="Q18" s="2244"/>
      <c r="R18" s="2244"/>
      <c r="S18" s="2244"/>
      <c r="T18" s="2244"/>
      <c r="U18" s="2244"/>
      <c r="V18" s="2244"/>
    </row>
    <row r="19" spans="1:28" ht="25.5" thickTop="1" thickBot="1">
      <c r="A19" s="318" t="s">
        <v>1055</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42" t="s">
        <v>2204</v>
      </c>
      <c r="C20" s="3243"/>
      <c r="D20" s="3244" t="s">
        <v>2205</v>
      </c>
      <c r="E20" s="3245"/>
      <c r="F20" s="2429" t="s">
        <v>1056</v>
      </c>
      <c r="G20" s="2441"/>
      <c r="H20" s="2441"/>
      <c r="I20" s="2441"/>
      <c r="J20" s="2244"/>
      <c r="K20" s="3241"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1057</v>
      </c>
      <c r="D21" s="1459" t="s">
        <v>2208</v>
      </c>
      <c r="E21" s="2418" t="s">
        <v>1057</v>
      </c>
      <c r="F21" s="2430"/>
      <c r="G21" s="2441"/>
      <c r="H21" s="2441"/>
      <c r="I21" s="2441"/>
      <c r="J21" s="2244"/>
      <c r="K21" s="324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1058</v>
      </c>
      <c r="D22" s="2441"/>
      <c r="E22" s="2441"/>
      <c r="F22" s="2441"/>
      <c r="G22" s="2441"/>
      <c r="H22" s="2441"/>
      <c r="I22" s="2441"/>
      <c r="J22" s="2244"/>
      <c r="K22" s="324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59"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59"/>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59"/>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60"/>
      <c r="B30" s="293" t="s">
        <v>2216</v>
      </c>
      <c r="C30" s="3261"/>
      <c r="D30" s="3262"/>
      <c r="E30" s="2441"/>
      <c r="F30" s="2441"/>
      <c r="G30" s="2441"/>
      <c r="H30" s="2441"/>
      <c r="I30" s="2441"/>
      <c r="J30" s="2244"/>
      <c r="K30" s="2401"/>
      <c r="L30" s="2398"/>
      <c r="M30" s="2398"/>
      <c r="N30" s="2244"/>
      <c r="O30" s="1669"/>
      <c r="P30" s="2244"/>
      <c r="Q30" s="2244"/>
      <c r="R30" s="2244"/>
      <c r="S30" s="2244"/>
      <c r="T30" s="2244"/>
      <c r="U30" s="2244"/>
      <c r="V30" s="2244"/>
    </row>
    <row r="31" spans="1:28">
      <c r="A31" s="3263" t="s">
        <v>2217</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64"/>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6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58" t="s">
        <v>2226</v>
      </c>
      <c r="T34" s="314" t="str">
        <f>NUMBERSTRING(7-K34,1)&amp;"通"</f>
        <v>七通</v>
      </c>
      <c r="U34" s="2244"/>
      <c r="V34" s="2244"/>
    </row>
    <row r="35" spans="1:30">
      <c r="A35" s="2235"/>
      <c r="B35" s="3258" t="s">
        <v>2227</v>
      </c>
      <c r="C35" s="3258"/>
      <c r="D35" s="3258"/>
      <c r="E35" s="3258"/>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8"/>
      <c r="T35" s="137" t="str">
        <f>IF(T34="一通",L35,IF(T34="二通",M35,IF(T34="三通",N35,IF(T34="四通",O35,IF(T34="五通",P35,IF(T34="六通",Q35,R35))))))</f>
        <v>、、、、、、</v>
      </c>
      <c r="U35" s="2244"/>
      <c r="V35" s="2244"/>
    </row>
    <row r="36" spans="1:30">
      <c r="A36" s="2182"/>
      <c r="B36" s="8" t="s">
        <v>2183</v>
      </c>
      <c r="C36" s="8" t="s">
        <v>2184</v>
      </c>
      <c r="D36" s="8" t="s">
        <v>2182</v>
      </c>
      <c r="E36" s="8" t="s">
        <v>2187</v>
      </c>
      <c r="F36" s="2799" t="s">
        <v>2570</v>
      </c>
      <c r="G36" s="2441"/>
      <c r="H36" s="2441"/>
      <c r="I36" s="2441"/>
      <c r="J36" s="2244"/>
      <c r="K36" s="2401"/>
      <c r="L36" s="2398"/>
      <c r="M36" s="2398"/>
      <c r="N36" s="2244"/>
      <c r="O36" s="1669"/>
      <c r="P36" s="2244"/>
      <c r="Q36" s="2244"/>
      <c r="R36" s="2244"/>
      <c r="S36" s="2244"/>
      <c r="T36" s="2244"/>
      <c r="U36" s="2244"/>
      <c r="V36" s="2244"/>
    </row>
    <row r="37" spans="1:30">
      <c r="A37" s="2414" t="s">
        <v>2228</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2931</v>
      </c>
      <c r="C38" s="2237" t="s">
        <v>2923</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534">
        <f>ROUND(面积!B21/(面积!B21+32437.91)*25854.88,2)</f>
        <v>19470.62</v>
      </c>
      <c r="B3" s="10">
        <f>IF(C3="否",G5-AT5,G5)</f>
        <v>98928.560000000012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98928.560000000012</v>
      </c>
      <c r="H5" s="12">
        <f t="shared" ref="H5:AT5" si="0">SUM(H13:H656)</f>
        <v>98928.560000000012</v>
      </c>
      <c r="I5" s="12">
        <f t="shared" si="0"/>
        <v>26828.22</v>
      </c>
      <c r="J5" s="12">
        <f t="shared" si="0"/>
        <v>0</v>
      </c>
      <c r="K5" s="12">
        <f t="shared" si="0"/>
        <v>72100.340000000011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98928.560000000012</v>
      </c>
      <c r="BA5" s="14">
        <f t="shared" si="1"/>
        <v>98928.560000000012</v>
      </c>
      <c r="BB5" s="14">
        <f t="shared" si="1"/>
        <v>26828.22</v>
      </c>
      <c r="BC5" s="14">
        <f t="shared" si="1"/>
        <v>72100.340000000011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19470.62</v>
      </c>
      <c r="F6" s="12" t="s">
        <v>0</v>
      </c>
      <c r="G6" s="12" t="s">
        <v>1</v>
      </c>
      <c r="H6" s="16">
        <f>SUMIF(I$12:AB$12,"总值",I6:AB6)</f>
        <v>19470.62</v>
      </c>
      <c r="I6" s="12">
        <f t="shared" ref="I6:AB6" si="2">ROUND($A$3*I5/$B$3,2)</f>
        <v>5280.19</v>
      </c>
      <c r="J6" s="12">
        <f t="shared" si="2"/>
        <v>0</v>
      </c>
      <c r="K6" s="12">
        <f t="shared" si="2"/>
        <v>14190.43</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19470.62</v>
      </c>
      <c r="AZ6" s="12" t="s">
        <v>2</v>
      </c>
      <c r="BA6" s="12">
        <f>ROUND($AY$6*BA5/$AZ$5,2)</f>
        <v>19470.62</v>
      </c>
      <c r="BB6" s="12">
        <f>ROUND($AY$6*BB5/$AZ$5,2)</f>
        <v>5280.19</v>
      </c>
      <c r="BC6" s="12">
        <f t="shared" ref="BC6:BH6" si="4">ROUND($AY$6*BC5/$AZ$5,2)</f>
        <v>14190.43</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3603</v>
      </c>
      <c r="J9" s="760"/>
      <c r="K9" s="1490" t="s">
        <v>3603</v>
      </c>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673</v>
      </c>
      <c r="J10" s="760"/>
      <c r="K10" s="1496" t="s">
        <v>21</v>
      </c>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t="str">
        <f>K9</f>
        <v>地上</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55" t="s">
        <v>3601</v>
      </c>
      <c r="D13" s="1512" t="s">
        <v>3604</v>
      </c>
      <c r="E13" s="12">
        <f>IF($C$3="是",ROUND($A$3*G13/$B$3,2),ROUND($A$3*(G13-AT13)/$B$3,2))</f>
        <v>5280.19</v>
      </c>
      <c r="F13" s="28"/>
      <c r="G13" s="29">
        <f>H13+AC13+AT13</f>
        <v>26828.22</v>
      </c>
      <c r="H13" s="16">
        <f>SUMIF(I$12:AB$12,"总值",I13:AB13)</f>
        <v>26828.22</v>
      </c>
      <c r="I13" s="1513">
        <f>面积!B6+面积!B7</f>
        <v>26828.22</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商业</v>
      </c>
      <c r="AY13" s="1259">
        <f>ROUND($AY$6*AZ13/$AZ$5,2)</f>
        <v>5280.19</v>
      </c>
      <c r="AZ13" s="12">
        <f>BA13+BL13</f>
        <v>26828.22</v>
      </c>
      <c r="BA13" s="12">
        <f>SUM(BB13:BK13)</f>
        <v>26828.22</v>
      </c>
      <c r="BB13" s="12">
        <f>IF($D13="是",I13-J13,0)</f>
        <v>26828.22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3155" t="s">
        <v>3602</v>
      </c>
      <c r="D14" s="1512" t="s">
        <v>3604</v>
      </c>
      <c r="E14" s="12">
        <f>IF($C$3="是",ROUND($A$3*G14/$B$3,2),ROUND($A$3*(G14-AT14)/$B$3,2))</f>
        <v>14190.43</v>
      </c>
      <c r="F14" s="28"/>
      <c r="G14" s="29">
        <f>H14+AC14+AT14</f>
        <v>72100.340000000011</v>
      </c>
      <c r="H14" s="16">
        <f>SUMIF(I$12:AB$12,"总值",I14:AB14)</f>
        <v>72100.340000000011</v>
      </c>
      <c r="I14" s="1513"/>
      <c r="J14" s="1513"/>
      <c r="K14" s="1513">
        <f>SUM(面积!B8:B20)</f>
        <v>72100.340000000011</v>
      </c>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t="str">
        <f t="shared" si="6"/>
        <v>办公</v>
      </c>
      <c r="AY14" s="1259">
        <f>ROUND($AY$6*AZ14/$AZ$5,2)</f>
        <v>14190.43</v>
      </c>
      <c r="AZ14" s="12">
        <f>BA14+BL14</f>
        <v>72100.340000000011</v>
      </c>
      <c r="BA14" s="12">
        <f>SUM(BB14:BK14)</f>
        <v>72100.340000000011</v>
      </c>
      <c r="BB14" s="12">
        <f>IF($D14="是",I14-J14,0)</f>
        <v>0</v>
      </c>
      <c r="BC14" s="12">
        <f>IF($D14="是",K14-L14,0)</f>
        <v>72100.340000000011</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A583F-DBAD-4117-A381-CE0A8AB0A456}">
  <dimension ref="A5:C49"/>
  <sheetViews>
    <sheetView workbookViewId="0">
      <selection activeCell="R10" sqref="R10"/>
    </sheetView>
  </sheetViews>
  <sheetFormatPr defaultRowHeight="13.5"/>
  <cols>
    <col min="1" max="1" width="17.25" bestFit="1" customWidth="1"/>
    <col min="2" max="2" width="9.5" bestFit="1" customWidth="1"/>
  </cols>
  <sheetData>
    <row r="5" spans="1:2">
      <c r="A5" s="1404" t="s">
        <v>3381</v>
      </c>
      <c r="B5" s="1404" t="s">
        <v>3380</v>
      </c>
    </row>
    <row r="6" spans="1:2">
      <c r="A6" s="1404" t="s">
        <v>3379</v>
      </c>
      <c r="B6">
        <v>12527.07</v>
      </c>
    </row>
    <row r="7" spans="1:2">
      <c r="A7" s="1404" t="s">
        <v>3382</v>
      </c>
      <c r="B7">
        <v>14301.15</v>
      </c>
    </row>
    <row r="8" spans="1:2">
      <c r="A8" s="1404" t="s">
        <v>3383</v>
      </c>
      <c r="B8">
        <v>5855.25</v>
      </c>
    </row>
    <row r="9" spans="1:2">
      <c r="A9" s="1404" t="s">
        <v>3384</v>
      </c>
      <c r="B9">
        <v>6472.34</v>
      </c>
    </row>
    <row r="10" spans="1:2">
      <c r="A10" s="1404" t="s">
        <v>3385</v>
      </c>
      <c r="B10">
        <v>5916.62</v>
      </c>
    </row>
    <row r="11" spans="1:2">
      <c r="A11" s="1404" t="s">
        <v>3386</v>
      </c>
      <c r="B11">
        <v>5916.62</v>
      </c>
    </row>
    <row r="12" spans="1:2">
      <c r="A12" s="1404" t="s">
        <v>3387</v>
      </c>
      <c r="B12">
        <v>5916.62</v>
      </c>
    </row>
    <row r="13" spans="1:2">
      <c r="A13" s="1404" t="s">
        <v>3388</v>
      </c>
      <c r="B13">
        <v>5916.62</v>
      </c>
    </row>
    <row r="14" spans="1:2">
      <c r="A14" s="1404" t="s">
        <v>3389</v>
      </c>
      <c r="B14">
        <v>5916.62</v>
      </c>
    </row>
    <row r="15" spans="1:2">
      <c r="A15" s="1404" t="s">
        <v>3390</v>
      </c>
      <c r="B15">
        <v>5916.62</v>
      </c>
    </row>
    <row r="16" spans="1:2">
      <c r="A16" s="1404" t="s">
        <v>3391</v>
      </c>
      <c r="B16">
        <v>5916.62</v>
      </c>
    </row>
    <row r="17" spans="1:3">
      <c r="A17" s="1404" t="s">
        <v>3392</v>
      </c>
      <c r="B17">
        <v>5913.26</v>
      </c>
    </row>
    <row r="18" spans="1:3">
      <c r="A18" s="1404" t="s">
        <v>3393</v>
      </c>
      <c r="B18">
        <v>5890.02</v>
      </c>
    </row>
    <row r="19" spans="1:3">
      <c r="A19" s="1404" t="s">
        <v>3394</v>
      </c>
      <c r="B19">
        <v>5890.02</v>
      </c>
    </row>
    <row r="20" spans="1:3">
      <c r="A20" s="1404" t="s">
        <v>3395</v>
      </c>
      <c r="B20">
        <v>663.11</v>
      </c>
    </row>
    <row r="21" spans="1:3">
      <c r="A21" s="1404"/>
      <c r="B21">
        <f>SUM(B6:B20)</f>
        <v>98928.56</v>
      </c>
    </row>
    <row r="23" spans="1:3">
      <c r="B23" s="3533" t="s">
        <v>3741</v>
      </c>
      <c r="C23" s="3150">
        <f>(B6+B7)/B21</f>
        <v>0.27118781472205805</v>
      </c>
    </row>
    <row r="41" spans="2:2">
      <c r="B41" s="1404" t="s">
        <v>3600</v>
      </c>
    </row>
    <row r="49" spans="1:1">
      <c r="A49" s="1404"/>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L9" sqref="L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74" t="s">
        <v>1131</v>
      </c>
      <c r="B2" s="3274"/>
      <c r="C2" s="3274"/>
      <c r="D2" s="747" t="s">
        <v>1107</v>
      </c>
      <c r="E2" s="1522" t="s">
        <v>1108</v>
      </c>
      <c r="F2" s="2438"/>
      <c r="G2" s="2431"/>
      <c r="H2" s="2432"/>
      <c r="I2" s="2145" t="s">
        <v>1132</v>
      </c>
      <c r="J2" s="2438"/>
      <c r="K2" s="2438"/>
      <c r="L2" s="2438"/>
      <c r="M2" s="2438"/>
      <c r="N2" s="2439"/>
      <c r="O2" s="2438"/>
      <c r="P2" s="2438"/>
    </row>
    <row r="3" spans="1:16" ht="15.75" thickBot="1">
      <c r="A3" s="3275" t="s">
        <v>1105</v>
      </c>
      <c r="B3" s="3275"/>
      <c r="C3" s="3275"/>
      <c r="D3" s="40">
        <f>'数据-基础表'!AY6</f>
        <v>19470.62</v>
      </c>
      <c r="E3" s="40">
        <f>'数据-基础表'!AZ5</f>
        <v>98928.560000000012</v>
      </c>
      <c r="F3" s="2438"/>
      <c r="G3" s="41"/>
      <c r="H3" s="42" t="s">
        <v>1106</v>
      </c>
      <c r="I3" s="801">
        <f>ROUND('数据-基础表'!B3/'数据-基础表'!A3,2)</f>
        <v>5.08</v>
      </c>
      <c r="J3" s="2438"/>
      <c r="K3" s="2438"/>
      <c r="L3" s="2438"/>
      <c r="M3" s="2438"/>
      <c r="N3" s="2439"/>
      <c r="O3" s="2438"/>
      <c r="P3" s="2438"/>
    </row>
    <row r="4" spans="1:16" ht="15">
      <c r="A4" s="3276"/>
      <c r="B4" s="3277"/>
      <c r="C4" s="3278"/>
      <c r="D4" s="1523" t="s">
        <v>1107</v>
      </c>
      <c r="E4" s="1524" t="s">
        <v>1108</v>
      </c>
      <c r="F4" s="2438"/>
      <c r="G4" s="2433" t="s">
        <v>1133</v>
      </c>
      <c r="H4" s="42" t="s">
        <v>1113</v>
      </c>
      <c r="I4" s="801">
        <f>ROUND(SUMIF('数据-基础表'!I9:AS9,"地上",'数据-基础表'!I5:AS5)/'数据-基础表'!A3,2)</f>
        <v>5.08</v>
      </c>
      <c r="J4" s="2438"/>
      <c r="K4" s="2438"/>
      <c r="L4" s="2438"/>
      <c r="M4" s="2438"/>
      <c r="N4" s="2439"/>
      <c r="O4" s="2438"/>
      <c r="P4" s="2438"/>
    </row>
    <row r="5" spans="1:16">
      <c r="A5" s="41" t="s">
        <v>1109</v>
      </c>
      <c r="B5" s="3279" t="s">
        <v>1110</v>
      </c>
      <c r="C5" s="3279"/>
      <c r="D5" s="42">
        <f>ROUND($D$3*E5/$E$3,2)</f>
        <v>0</v>
      </c>
      <c r="E5" s="43">
        <f>SUMIF('数据-基础表'!$11:$11,"住宅",'数据-基础表'!$5:$5)</f>
        <v>0</v>
      </c>
      <c r="F5" s="2438"/>
      <c r="G5" s="41"/>
      <c r="H5" s="42" t="s">
        <v>1106</v>
      </c>
      <c r="I5" s="801">
        <f>ROUND(E31/D31,2)</f>
        <v>5.08</v>
      </c>
      <c r="J5" s="2438"/>
      <c r="K5" s="2438"/>
      <c r="L5" s="2438"/>
      <c r="M5" s="2438"/>
      <c r="N5" s="2438"/>
      <c r="O5" s="2438"/>
      <c r="P5" s="2438"/>
    </row>
    <row r="6" spans="1:16" ht="15" thickBot="1">
      <c r="A6" s="1526"/>
      <c r="B6" s="3279" t="s">
        <v>1111</v>
      </c>
      <c r="C6" s="3279"/>
      <c r="D6" s="42">
        <f>ROUND($D$3*E6/$E$3,2)</f>
        <v>19470.62</v>
      </c>
      <c r="E6" s="43">
        <f>E3-E5</f>
        <v>98928.560000000012</v>
      </c>
      <c r="F6" s="2438"/>
      <c r="G6" s="1528" t="s">
        <v>1112</v>
      </c>
      <c r="H6" s="44" t="s">
        <v>1113</v>
      </c>
      <c r="I6" s="2434">
        <f>ROUND(F31/D31,2)</f>
        <v>5.08</v>
      </c>
      <c r="J6" s="2438"/>
      <c r="K6" s="2438"/>
      <c r="L6" s="2438"/>
      <c r="M6" s="2438"/>
      <c r="N6" s="2438"/>
      <c r="O6" s="2438"/>
      <c r="P6" s="2438"/>
    </row>
    <row r="7" spans="1:16" ht="15.75" thickBot="1">
      <c r="A7" s="3271"/>
      <c r="B7" s="3272"/>
      <c r="C7" s="3273"/>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19470.62</v>
      </c>
      <c r="E8" s="45">
        <f>SUMIF('数据-基础表'!BB10:BK10,"地上",'数据-基础表'!BB5:BK5)</f>
        <v>98928.560000000012</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19470.62</v>
      </c>
      <c r="E16" s="47">
        <f>SUM(E8:E15)</f>
        <v>98928.560000000012</v>
      </c>
      <c r="F16" s="2438"/>
      <c r="G16" s="2438"/>
      <c r="H16" s="1530" t="s">
        <v>1135</v>
      </c>
      <c r="I16" s="1531"/>
      <c r="J16" s="1070"/>
      <c r="K16" s="3268" t="s">
        <v>1135</v>
      </c>
      <c r="L16" s="3269"/>
      <c r="M16" s="3269"/>
      <c r="N16" s="3269"/>
      <c r="O16" s="3269"/>
      <c r="P16" s="3270"/>
    </row>
    <row r="17" spans="1:19" ht="15">
      <c r="A17" s="1532" t="s">
        <v>1136</v>
      </c>
      <c r="B17" s="1533" t="s">
        <v>1137</v>
      </c>
      <c r="C17" s="1534" t="s">
        <v>1138</v>
      </c>
      <c r="D17" s="1535" t="s">
        <v>1126</v>
      </c>
      <c r="E17" s="1536" t="s">
        <v>1127</v>
      </c>
      <c r="F17" s="1537"/>
      <c r="G17" s="1538"/>
      <c r="H17" s="1539" t="s">
        <v>1139</v>
      </c>
      <c r="I17" s="1540" t="s">
        <v>1124</v>
      </c>
      <c r="J17" s="1070"/>
      <c r="K17" s="3265" t="s">
        <v>1140</v>
      </c>
      <c r="L17" s="3266"/>
      <c r="M17" s="3267"/>
      <c r="N17" s="3265" t="s">
        <v>1141</v>
      </c>
      <c r="O17" s="3266"/>
      <c r="P17" s="3267"/>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4" t="str">
        <f>'数据-基础表'!C13</f>
        <v>商业</v>
      </c>
      <c r="D19" s="42">
        <f>ROUND($D$3*E19/$E$3,2)</f>
        <v>5280.19</v>
      </c>
      <c r="E19" s="50">
        <f t="shared" ref="E19:E26" si="1">SUM(F19:G19)</f>
        <v>26828.22</v>
      </c>
      <c r="F19" s="2556">
        <f>'数据-基础表'!I13</f>
        <v>26828.22</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5280.19</v>
      </c>
      <c r="S19" s="50">
        <f t="shared" si="5"/>
        <v>26828.22</v>
      </c>
    </row>
    <row r="20" spans="1:19">
      <c r="A20" s="1548"/>
      <c r="B20" s="44" t="s">
        <v>1153</v>
      </c>
      <c r="C20" s="3114" t="str">
        <f>'数据-基础表'!C14</f>
        <v>办公</v>
      </c>
      <c r="D20" s="42">
        <f t="shared" ref="D20:D26" si="6">ROUND($D$3*E20/$E$3,2)</f>
        <v>14190.43</v>
      </c>
      <c r="E20" s="50">
        <f t="shared" si="1"/>
        <v>72100.340000000011</v>
      </c>
      <c r="F20" s="2556">
        <f>'数据-基础表'!K14</f>
        <v>72100.340000000011</v>
      </c>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14190.43</v>
      </c>
      <c r="S20" s="50">
        <f t="shared" si="5"/>
        <v>72100.340000000011</v>
      </c>
    </row>
    <row r="21" spans="1:19">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19470.62</v>
      </c>
      <c r="E27" s="1072">
        <f>IF(SUM(E19:E26)='数据-基础表'!BA5,SUM(E19:E26),IF(F27="地上面积有误","面积有误","地下面积有误"))</f>
        <v>98928.560000000012</v>
      </c>
      <c r="F27" s="1071">
        <f>IF(SUM(F19:F26)=E8,SUM(F19:F26),"地上面积有误")</f>
        <v>98928.560000000012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19470.62</v>
      </c>
      <c r="S27" s="42">
        <f>IF(SUM(S19:S26)=$E$3,SUM(S19:S26),SUM(S19:S26)&amp;"误差"&amp;ROUND(SUM(S19:S26)-E3,2))</f>
        <v>98928.560000000012</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19470.62</v>
      </c>
      <c r="E31" s="642">
        <f>E27+E30</f>
        <v>98928.560000000012</v>
      </c>
      <c r="F31" s="643">
        <f>F27+F30</f>
        <v>98928.560000000012</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130" zoomScaleNormal="130" zoomScaleSheetLayoutView="90" workbookViewId="0">
      <pane xSplit="3" ySplit="5" topLeftCell="AE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7.75" style="1560" customWidth="1"/>
    <col min="23" max="30" width="6.75" style="1560" customWidth="1"/>
    <col min="31" max="31" width="8" style="1560" customWidth="1"/>
    <col min="32" max="33" width="7.25" style="1560" customWidth="1"/>
    <col min="34" max="34" width="10.87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45600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3605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53280</v>
      </c>
      <c r="F6" s="60">
        <f>SUMIF(项目基本情况!C$12:I$12,C6,项目基本情况!C$15:I$15)</f>
        <v>21.04</v>
      </c>
      <c r="G6" s="61">
        <f>IF(ISERROR(ROUND(POWER(1+H6,D6-F6)*(POWER(1+H6,F6)-1)/(POWER(1+H6,D6)-1),3)),0,ROUND(POWER(1+H6,D6-F6)*(POWER(1+H6,F6)-1)/(POWER(1+H6,D6)-1),3))</f>
        <v>0.76600000000000001</v>
      </c>
      <c r="H6" s="690">
        <v>5.5E-2</v>
      </c>
      <c r="I6" s="690">
        <v>0.06</v>
      </c>
      <c r="J6" s="62">
        <v>7.0000000000000007E-2</v>
      </c>
      <c r="K6" s="969">
        <f>SUMIF('数据-汇总表'!C$19:C$33,A6,'数据-汇总表'!E$19:E$33)</f>
        <v>26828.22</v>
      </c>
      <c r="L6" s="691">
        <v>6500</v>
      </c>
      <c r="M6" s="63">
        <f t="shared" ref="M6:M14" si="0">ROUND(K6*L6/10000,0)</f>
        <v>17438</v>
      </c>
      <c r="N6" s="689">
        <f>ROUND((1-(2024-2009)/60+90%)/2,2)</f>
        <v>0.83</v>
      </c>
      <c r="O6" s="63" t="str">
        <f>IF($N$5="成新度","——",ROUND(M6*N6,0))</f>
        <v>——</v>
      </c>
      <c r="P6" s="64" t="str">
        <f>IF($N$5="成新度","——",M6-O6)</f>
        <v>——</v>
      </c>
      <c r="Q6" s="692">
        <v>0.2</v>
      </c>
      <c r="R6" s="65">
        <f ca="1">SUMIF('数据-汇总表'!C$19:C$33,A6,'数据-汇总表'!R$19:R$27)</f>
        <v>5280.19</v>
      </c>
      <c r="S6" s="48">
        <f>IF('数据-汇总表'!$I$17="按面积比例",SUMIF('数据-汇总表'!C$19:C$33,A6,'数据-汇总表'!K$19:K$33),SUMIF('数据-汇总表'!C$19:C$33,A6,'数据-汇总表'!N$19:N$33))</f>
        <v>0</v>
      </c>
      <c r="T6" s="1091">
        <f>ROUND($L$14*S6/10000,0)</f>
        <v>0</v>
      </c>
      <c r="U6" s="3125">
        <v>6.9</v>
      </c>
      <c r="V6" s="66">
        <v>0.02</v>
      </c>
      <c r="W6" s="66">
        <v>0.15</v>
      </c>
      <c r="X6" s="978"/>
      <c r="Y6" s="67">
        <f>N6</f>
        <v>0.83</v>
      </c>
      <c r="Z6" s="68"/>
      <c r="AA6" s="62"/>
      <c r="AB6" s="62"/>
      <c r="AC6" s="978"/>
      <c r="AD6" s="69"/>
      <c r="AE6" s="979">
        <f ca="1">IF(AN6="",0,SUMIF(INDIRECT("'"&amp;AN6&amp;"'"&amp;"!E:E"),$AE$5,INDIRECT("'"&amp;AN6&amp;"'"&amp;"!F:F")))</f>
        <v>21.04</v>
      </c>
      <c r="AF6" s="73"/>
      <c r="AG6" s="129">
        <f>IF(AF6="",0,AE6-AF6)</f>
        <v>0</v>
      </c>
      <c r="AH6" s="70"/>
      <c r="AI6" s="72">
        <v>365</v>
      </c>
      <c r="AJ6" s="73"/>
      <c r="AK6" s="74">
        <v>5.0000000000000001E-3</v>
      </c>
      <c r="AL6" s="75">
        <v>1E-3</v>
      </c>
      <c r="AM6" s="76">
        <v>0.01</v>
      </c>
      <c r="AN6" s="1588" t="s">
        <v>3610</v>
      </c>
      <c r="AO6" s="49">
        <f ca="1">SUMIF(INDIRECT("'"&amp;AN6&amp;"'"&amp;"!A:A"),"总价",INDIRECT("'"&amp;AN6&amp;"'"&amp;"!B:B"))</f>
        <v>65652</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v>
      </c>
      <c r="B7" s="1586" t="str">
        <f t="shared" ref="B7:B13" si="1">IF(A7=0,"","经营性")</f>
        <v>经营性</v>
      </c>
      <c r="C7" s="1587" t="s">
        <v>21</v>
      </c>
      <c r="D7" s="804">
        <f>SUMIF(项目基本情况!C$12:I$12,C7,项目基本情况!C$14:I$14)</f>
        <v>50</v>
      </c>
      <c r="E7" s="803">
        <f>IF(B7="","",SUMIF(项目基本情况!C$12:I$12,C7,项目基本情况!C$13:I$13))</f>
        <v>56932</v>
      </c>
      <c r="F7" s="60">
        <f>SUMIF(项目基本情况!C$12:I$12,C7,项目基本情况!C$15:I$15)</f>
        <v>31.04</v>
      </c>
      <c r="G7" s="61">
        <f t="shared" ref="G7:G11" si="2">IF(ISERROR(ROUND(POWER(1+H7,D7-F7)*(POWER(1+H7,F7)-1)/(POWER(1+H7,D7)-1),3)),0,ROUND(POWER(1+H7,D7-F7)*(POWER(1+H7,F7)-1)/(POWER(1+H7,D7)-1),3))</f>
        <v>0.87</v>
      </c>
      <c r="H7" s="690">
        <v>5.5E-2</v>
      </c>
      <c r="I7" s="690">
        <v>0.06</v>
      </c>
      <c r="J7" s="62">
        <v>7.0000000000000007E-2</v>
      </c>
      <c r="K7" s="969">
        <f>SUMIF('数据-汇总表'!C$19:C$33,A7,'数据-汇总表'!E$19:E$33)</f>
        <v>72100.340000000011</v>
      </c>
      <c r="L7" s="691">
        <v>6000</v>
      </c>
      <c r="M7" s="63">
        <f t="shared" si="0"/>
        <v>43260</v>
      </c>
      <c r="N7" s="689">
        <f>N6</f>
        <v>0.83</v>
      </c>
      <c r="O7" s="63" t="str">
        <f t="shared" ref="O7:O14" si="3">IF($N$5="成新度","——",ROUND(M7*N7,0))</f>
        <v>——</v>
      </c>
      <c r="P7" s="64" t="str">
        <f t="shared" ref="P7:P14" si="4">IF($N$5="成新度","——",M7-O7)</f>
        <v>——</v>
      </c>
      <c r="Q7" s="692">
        <v>0.2</v>
      </c>
      <c r="R7" s="65">
        <f ca="1">SUMIF('数据-汇总表'!C$19:C$33,A7,'数据-汇总表'!R$19:R$27)</f>
        <v>14190.43</v>
      </c>
      <c r="S7" s="48">
        <f>IF('数据-汇总表'!$I$17="按面积比例",SUMIF('数据-汇总表'!C$19:C$33,A7,'数据-汇总表'!K$19:K$33),SUMIF('数据-汇总表'!C$19:C$33,A7,'数据-汇总表'!N$19:N$33))</f>
        <v>0</v>
      </c>
      <c r="T7" s="1091">
        <f t="shared" ref="T7:T13" si="5">ROUND($L$14*S7/10000,0)</f>
        <v>0</v>
      </c>
      <c r="U7" s="3125">
        <v>8</v>
      </c>
      <c r="V7" s="66">
        <v>0.02</v>
      </c>
      <c r="W7" s="66">
        <v>0.1</v>
      </c>
      <c r="X7" s="978"/>
      <c r="Y7" s="67">
        <f>Y6</f>
        <v>0.83</v>
      </c>
      <c r="Z7" s="68"/>
      <c r="AA7" s="62"/>
      <c r="AB7" s="62"/>
      <c r="AC7" s="978"/>
      <c r="AD7" s="69"/>
      <c r="AE7" s="979">
        <f t="shared" ref="AE7:AE13" ca="1" si="6">IF(AN7="",0,SUMIF(INDIRECT("'"&amp;AN7&amp;"'"&amp;"!E:E"),$AE$5,INDIRECT("'"&amp;AN7&amp;"'"&amp;"!F:F")))</f>
        <v>31.04</v>
      </c>
      <c r="AF7" s="73"/>
      <c r="AG7" s="129">
        <f t="shared" ref="AG7:AG13" si="7">IF(AF7="",0,AE7-AF7)</f>
        <v>0</v>
      </c>
      <c r="AH7" s="70"/>
      <c r="AI7" s="72">
        <v>365</v>
      </c>
      <c r="AJ7" s="73"/>
      <c r="AK7" s="74">
        <f>AK6</f>
        <v>5.0000000000000001E-3</v>
      </c>
      <c r="AL7" s="75">
        <v>1E-3</v>
      </c>
      <c r="AM7" s="76">
        <v>0.01</v>
      </c>
      <c r="AN7" s="1588" t="s">
        <v>3611</v>
      </c>
      <c r="AO7" s="49">
        <f t="shared" ref="AO7:AO13" ca="1" si="8">SUMIF(INDIRECT("'"&amp;AN7&amp;"'"&amp;"!A:A"),"总价",INDIRECT("'"&amp;AN7&amp;"'"&amp;"!B:B"))</f>
        <v>267562</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0.84199999999999997</v>
      </c>
      <c r="H16" s="83">
        <f>ROUND(SUMPRODUCT(H6:H13,K6:K13)/SUMPRODUCT((H6:H13&gt;0)*(K6:K13)),3)</f>
        <v>5.5E-2</v>
      </c>
      <c r="I16" s="84"/>
      <c r="J16" s="84"/>
      <c r="K16" s="85">
        <f>SUM(K6:K15)</f>
        <v>98928.560000000012</v>
      </c>
      <c r="L16" s="86">
        <f>ROUND(M16*10000/SUM(K6:K14),0)</f>
        <v>6136</v>
      </c>
      <c r="M16" s="86">
        <f>SUM(M6:M14)</f>
        <v>60698</v>
      </c>
      <c r="N16" s="87">
        <f>ROUND(SUMPRODUCT(M6:M14,N6:N14)/M16,3)</f>
        <v>0.83</v>
      </c>
      <c r="O16" s="86">
        <f>SUM(O6:O14)</f>
        <v>0</v>
      </c>
      <c r="P16" s="86">
        <f>SUM(P6:P14)</f>
        <v>0</v>
      </c>
      <c r="Q16" s="88">
        <f>ROUND(SUMPRODUCT(Q6:Q13,K6:K13)/SUMPRODUCT((Q6:Q13&gt;0)*(K6:K13)),2)</f>
        <v>0.2</v>
      </c>
      <c r="R16" s="973">
        <f ca="1">SUM(R6:R13)</f>
        <v>19470.62</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3157"/>
      <c r="W18" s="3157"/>
      <c r="X18" s="3157"/>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59" t="s">
        <v>2292</v>
      </c>
      <c r="D19" s="2451"/>
      <c r="E19" s="2438"/>
      <c r="F19" s="2438"/>
      <c r="G19" s="2438"/>
      <c r="H19" s="2438"/>
      <c r="I19" s="2438"/>
      <c r="J19" s="2438"/>
      <c r="K19" s="2449"/>
      <c r="L19" s="2449"/>
      <c r="M19" s="2448"/>
      <c r="N19" s="2448"/>
      <c r="O19" s="2448"/>
      <c r="P19" s="2448"/>
      <c r="Q19" s="2448"/>
      <c r="R19" s="2448"/>
      <c r="S19" s="2448"/>
      <c r="T19" s="2448"/>
      <c r="U19" s="2448"/>
      <c r="V19" s="3156"/>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2.5</v>
      </c>
      <c r="C20" s="2560"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3157"/>
      <c r="W23" s="3157"/>
      <c r="X23" s="1619"/>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160</v>
      </c>
      <c r="C27" s="2561"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1979</v>
      </c>
      <c r="C29" s="2562"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3" t="s">
        <v>3366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3" t="s">
        <v>2284</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3"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0.02</v>
      </c>
      <c r="C36" s="2563"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3" t="s">
        <v>2286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3" t="s">
        <v>2286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2301</v>
      </c>
      <c r="B40" s="1014">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3" t="s">
        <v>2295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2"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2"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5"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2"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2"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4"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80" t="s">
        <v>2275</v>
      </c>
      <c r="B1" s="3281"/>
      <c r="C1" s="3281"/>
      <c r="D1" s="3281"/>
      <c r="E1" s="3281"/>
      <c r="F1" s="3281"/>
      <c r="G1" s="328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4" sqref="M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98928.560000000012</v>
      </c>
      <c r="C1" s="2461"/>
      <c r="D1" s="2461"/>
      <c r="E1" s="2461"/>
      <c r="F1" s="2461"/>
      <c r="G1" s="2462"/>
      <c r="H1" s="2462"/>
      <c r="I1" s="2462"/>
      <c r="J1" s="2462"/>
      <c r="K1" s="2462"/>
    </row>
    <row r="2" spans="1:11" ht="16.5">
      <c r="A2" s="2299" t="s">
        <v>653</v>
      </c>
      <c r="B2" s="2299">
        <f>SUM(C14:C23)</f>
        <v>19470.62</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461910</v>
      </c>
      <c r="C5" s="2299">
        <f ca="1">IF(B5=D14,结果表!H102,ROUND(B5*10000/$B$1,0))</f>
        <v>46691</v>
      </c>
      <c r="D5" s="2299">
        <f ca="1">ROUND(B5*10000/$B$2,0)</f>
        <v>237234</v>
      </c>
      <c r="E5" s="2461"/>
      <c r="F5" s="2462"/>
      <c r="G5" s="2462"/>
      <c r="H5" s="2462"/>
      <c r="I5" s="2462"/>
      <c r="J5" s="2462"/>
      <c r="K5" s="2462"/>
    </row>
    <row r="6" spans="1:11" ht="16.5">
      <c r="A6" s="2299" t="s">
        <v>656</v>
      </c>
      <c r="B6" s="2299">
        <f ca="1">SUM(G14:G23)</f>
        <v>461910</v>
      </c>
      <c r="C6" s="2299">
        <f ca="1">IF(B6=G14,结果表!H108,ROUND(B6*10000/$B$1,0))</f>
        <v>46691</v>
      </c>
      <c r="D6" s="2299">
        <f ca="1">ROUND(B6*10000/$B$2,0)</f>
        <v>237234</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 ca="1">SUM(I14:I23)</f>
        <v>415048</v>
      </c>
      <c r="C8" s="2299">
        <f ca="1">IF(B8=I14,结果表!H112,ROUND(B8*10000/$B$1,0))</f>
        <v>27823</v>
      </c>
      <c r="D8" s="2299">
        <f ca="1">ROUND(B8*10000/$B$2,0)</f>
        <v>213166</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5"/>
      <c r="F10" s="3139" t="s">
        <v>3348</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98928.560000000012</v>
      </c>
      <c r="C14" s="2305">
        <f>'数据-汇总表'!D3</f>
        <v>19470.62</v>
      </c>
      <c r="D14" s="2305">
        <f ca="1">结果表!H101</f>
        <v>461910</v>
      </c>
      <c r="E14" s="2305">
        <f ca="1">ROUND(D14*10000/B14,0)</f>
        <v>46691</v>
      </c>
      <c r="F14" s="2305">
        <f ca="1">ROUND(D14*10000/C14,0)</f>
        <v>237234</v>
      </c>
      <c r="G14" s="2305">
        <f ca="1">结果表!H107</f>
        <v>461910</v>
      </c>
      <c r="H14" s="2305"/>
      <c r="I14" s="2305">
        <f ca="1">结果表!P59</f>
        <v>415048</v>
      </c>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C43" zoomScaleNormal="100" zoomScaleSheetLayoutView="100" zoomScalePageLayoutView="80" workbookViewId="0">
      <selection activeCell="L65" sqref="L65"/>
    </sheetView>
  </sheetViews>
  <sheetFormatPr defaultColWidth="12.625" defaultRowHeight="21.75" customHeight="1"/>
  <cols>
    <col min="1" max="2" width="12.625" style="1560"/>
    <col min="3" max="4" width="12.625" style="1560" customWidth="1"/>
    <col min="5" max="9" width="12.625" style="1560"/>
    <col min="10" max="10" width="13.875" style="683" customWidth="1"/>
    <col min="11"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3685</v>
      </c>
      <c r="H1" s="1620" t="str">
        <f>IF(G1="现房","——","估价对象范围")</f>
        <v>——</v>
      </c>
      <c r="I1" s="1621" t="s">
        <v>3686</v>
      </c>
    </row>
    <row r="2" spans="1:12" ht="21.75" customHeight="1" thickBot="1">
      <c r="A2" s="3349" t="str">
        <f>项目基本情况!S2</f>
        <v>北京市房地产</v>
      </c>
      <c r="B2" s="3350"/>
      <c r="C2" s="3350"/>
      <c r="D2" s="3350"/>
      <c r="E2" s="3350"/>
      <c r="F2" s="3350"/>
      <c r="G2" s="3350"/>
      <c r="H2" s="3350"/>
      <c r="I2" s="3351"/>
    </row>
    <row r="3" spans="1:12" ht="12.75">
      <c r="A3" s="3353" t="s">
        <v>1264</v>
      </c>
      <c r="B3" s="3354"/>
      <c r="C3" s="3354"/>
      <c r="D3" s="3354"/>
      <c r="E3" s="3354"/>
      <c r="F3" s="3354"/>
      <c r="G3" s="3354"/>
      <c r="H3" s="3354"/>
      <c r="I3" s="3354"/>
    </row>
    <row r="4" spans="1:12" ht="14.25">
      <c r="A4" s="1623" t="s">
        <v>1265</v>
      </c>
      <c r="B4" s="1624" t="s">
        <v>1266</v>
      </c>
      <c r="C4" s="1625" t="s">
        <v>3728</v>
      </c>
      <c r="D4" s="1625" t="s">
        <v>3613</v>
      </c>
      <c r="E4" s="3358" t="s">
        <v>1267</v>
      </c>
      <c r="F4" s="3359"/>
      <c r="G4" s="3359"/>
      <c r="H4" s="3359"/>
      <c r="I4" s="3360"/>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7" t="s">
        <v>1268</v>
      </c>
      <c r="B5" s="3352">
        <v>25</v>
      </c>
      <c r="C5" s="3355"/>
      <c r="D5" s="3343"/>
      <c r="E5" s="122" t="s">
        <v>1269</v>
      </c>
      <c r="F5" s="1626"/>
      <c r="G5" s="1626"/>
      <c r="H5" s="1626"/>
      <c r="I5" s="1280"/>
    </row>
    <row r="6" spans="1:12" ht="12.75">
      <c r="A6" s="3297"/>
      <c r="B6" s="3352"/>
      <c r="C6" s="3357"/>
      <c r="D6" s="3343"/>
      <c r="E6" s="122" t="s">
        <v>1270</v>
      </c>
      <c r="F6" s="1626"/>
      <c r="G6" s="1626"/>
      <c r="H6" s="1626"/>
      <c r="I6" s="1280"/>
    </row>
    <row r="7" spans="1:12" ht="12.75">
      <c r="A7" s="3297"/>
      <c r="B7" s="3352"/>
      <c r="C7" s="3356"/>
      <c r="D7" s="3343"/>
      <c r="E7" s="122" t="s">
        <v>1271</v>
      </c>
      <c r="F7" s="1626"/>
      <c r="G7" s="1626"/>
      <c r="H7" s="1626"/>
      <c r="I7" s="1280"/>
    </row>
    <row r="8" spans="1:12" ht="12.75">
      <c r="A8" s="3297" t="s">
        <v>1272</v>
      </c>
      <c r="B8" s="3352">
        <v>15</v>
      </c>
      <c r="C8" s="3355"/>
      <c r="D8" s="3343"/>
      <c r="E8" s="122" t="s">
        <v>1273</v>
      </c>
      <c r="F8" s="1626"/>
      <c r="G8" s="1626"/>
      <c r="H8" s="1626"/>
      <c r="I8" s="1280"/>
    </row>
    <row r="9" spans="1:12" ht="12.75">
      <c r="A9" s="3297"/>
      <c r="B9" s="3352"/>
      <c r="C9" s="3356"/>
      <c r="D9" s="3343"/>
      <c r="E9" s="122" t="s">
        <v>1274</v>
      </c>
      <c r="F9" s="1626"/>
      <c r="G9" s="1626"/>
      <c r="H9" s="1626"/>
      <c r="I9" s="1280"/>
    </row>
    <row r="10" spans="1:12" ht="12.75">
      <c r="A10" s="3297" t="s">
        <v>1275</v>
      </c>
      <c r="B10" s="3352">
        <v>15</v>
      </c>
      <c r="C10" s="3355"/>
      <c r="D10" s="3343"/>
      <c r="E10" s="122" t="s">
        <v>1276</v>
      </c>
      <c r="F10" s="1626"/>
      <c r="G10" s="1626"/>
      <c r="H10" s="1626"/>
      <c r="I10" s="1280"/>
    </row>
    <row r="11" spans="1:12" ht="12.75">
      <c r="A11" s="3297"/>
      <c r="B11" s="3352"/>
      <c r="C11" s="3356"/>
      <c r="D11" s="3343"/>
      <c r="E11" s="122" t="s">
        <v>1277</v>
      </c>
      <c r="F11" s="1626"/>
      <c r="G11" s="1626"/>
      <c r="H11" s="1626"/>
      <c r="I11" s="1280"/>
    </row>
    <row r="12" spans="1:12" ht="12.75">
      <c r="A12" s="3297" t="s">
        <v>1278</v>
      </c>
      <c r="B12" s="3352">
        <v>15</v>
      </c>
      <c r="C12" s="3355"/>
      <c r="D12" s="3343"/>
      <c r="E12" s="122" t="s">
        <v>1279</v>
      </c>
      <c r="F12" s="1626"/>
      <c r="G12" s="1626"/>
      <c r="H12" s="1626"/>
      <c r="I12" s="1280"/>
    </row>
    <row r="13" spans="1:12" ht="12.75">
      <c r="A13" s="3297"/>
      <c r="B13" s="3352"/>
      <c r="C13" s="3356"/>
      <c r="D13" s="3343"/>
      <c r="E13" s="122" t="s">
        <v>1280</v>
      </c>
      <c r="F13" s="1626"/>
      <c r="G13" s="1626"/>
      <c r="H13" s="1626"/>
      <c r="I13" s="1280"/>
    </row>
    <row r="14" spans="1:12" ht="12.75">
      <c r="A14" s="3297" t="s">
        <v>1281</v>
      </c>
      <c r="B14" s="3352">
        <v>30</v>
      </c>
      <c r="C14" s="3355">
        <v>6</v>
      </c>
      <c r="D14" s="3343">
        <v>4</v>
      </c>
      <c r="E14" s="122" t="s">
        <v>1282</v>
      </c>
      <c r="F14" s="1626"/>
      <c r="G14" s="1626"/>
      <c r="H14" s="1626"/>
      <c r="I14" s="1280"/>
    </row>
    <row r="15" spans="1:12" ht="12.75">
      <c r="A15" s="3297"/>
      <c r="B15" s="3352"/>
      <c r="C15" s="3357"/>
      <c r="D15" s="3343"/>
      <c r="E15" s="122" t="s">
        <v>1283</v>
      </c>
      <c r="F15" s="1626"/>
      <c r="G15" s="1626"/>
      <c r="H15" s="1626"/>
      <c r="I15" s="1280"/>
    </row>
    <row r="16" spans="1:12" ht="12.75">
      <c r="A16" s="3297"/>
      <c r="B16" s="3352"/>
      <c r="C16" s="3356"/>
      <c r="D16" s="3343"/>
      <c r="E16" s="122" t="s">
        <v>1284</v>
      </c>
      <c r="F16" s="1626"/>
      <c r="G16" s="1626"/>
      <c r="H16" s="1626"/>
      <c r="I16" s="1280"/>
    </row>
    <row r="17" spans="1:36" ht="15">
      <c r="A17" s="1627" t="s">
        <v>1285</v>
      </c>
      <c r="B17" s="53"/>
      <c r="C17" s="123">
        <f>SUM(C5:C16)</f>
        <v>6</v>
      </c>
      <c r="D17" s="123">
        <f>SUM(D5:D16)</f>
        <v>4</v>
      </c>
      <c r="E17" s="120"/>
      <c r="F17" s="120"/>
      <c r="G17" s="120"/>
      <c r="H17" s="120"/>
      <c r="I17" s="120"/>
      <c r="K17" s="293"/>
      <c r="L17" s="293" t="s">
        <v>1286</v>
      </c>
      <c r="M17" s="293" t="s">
        <v>1287</v>
      </c>
    </row>
    <row r="18" spans="1:36" ht="30.75" customHeight="1" thickBot="1">
      <c r="A18" s="1628" t="s">
        <v>1288</v>
      </c>
      <c r="B18" s="1541"/>
      <c r="C18" s="124">
        <f>ROUND(C17/SUM(C17:D17),2)</f>
        <v>0.6</v>
      </c>
      <c r="D18" s="124">
        <f>1-C18</f>
        <v>0.4</v>
      </c>
      <c r="E18" s="3374" t="s">
        <v>2129</v>
      </c>
      <c r="F18" s="3375"/>
      <c r="G18" s="3375"/>
      <c r="H18" s="3375"/>
      <c r="I18" s="3375"/>
      <c r="K18" s="293" t="s">
        <v>1289</v>
      </c>
      <c r="L18" s="293">
        <f>IF(C1="",'数据-汇总表'!E3,SUMIF(项目类型,C1,'数据-汇总表'!E17:E26)+SUMIF(项目类型,C1,'数据-汇总表'!I17:I26))</f>
        <v>98928.560000000012</v>
      </c>
      <c r="M18" s="293">
        <f>IF(C1="",'数据-汇总表'!E3,SUMIF(项目类型,C1,'数据-汇总表'!E17:E26))</f>
        <v>98928.560000000012</v>
      </c>
    </row>
    <row r="19" spans="1:36" ht="15">
      <c r="A19" s="1629" t="s">
        <v>1290</v>
      </c>
      <c r="B19" s="1630" t="s">
        <v>1291</v>
      </c>
      <c r="C19" s="125">
        <f ca="1">SUMIF(INDIRECT("'"&amp;C4&amp;"'"&amp;"!A:A"),结果表!B19,INDIRECT("'"&amp;C4&amp;"'"&amp;"!B:B"))</f>
        <v>547708</v>
      </c>
      <c r="D19" s="126">
        <f ca="1">SUMIF(INDIRECT("'"&amp;D4&amp;"'"&amp;"!A:A"),结果表!B19,INDIRECT("'"&amp;D4&amp;"'"&amp;"!B:B"))</f>
        <v>333214</v>
      </c>
      <c r="E19" s="1629" t="s">
        <v>1292</v>
      </c>
      <c r="F19" s="1630" t="s">
        <v>1291</v>
      </c>
      <c r="G19" s="127">
        <f ca="1">ROUND(C19*$C$18+D19*$D$18,0)</f>
        <v>461910</v>
      </c>
      <c r="H19" s="1631" t="s">
        <v>1293</v>
      </c>
      <c r="I19" s="120"/>
      <c r="K19" s="293" t="s">
        <v>1294</v>
      </c>
      <c r="L19" s="293">
        <f>IF(C1="",'数据-汇总表'!D3,SUMIF(项目类型,C1,'数据-汇总表'!D17:D26)+SUMIF(项目类型,C1,'数据-汇总表'!H17:H27))</f>
        <v>19470.62</v>
      </c>
      <c r="M19" s="293">
        <f>IF(C1="",'数据-汇总表'!D3,SUMIF(项目类型,C1,'数据-汇总表'!D17:D26))</f>
        <v>19470.62</v>
      </c>
    </row>
    <row r="20" spans="1:36" ht="15">
      <c r="A20" s="1632"/>
      <c r="B20" s="42" t="s">
        <v>1295</v>
      </c>
      <c r="C20" s="128">
        <f ca="1">SUMIF(INDIRECT("'"&amp;C4&amp;"'"&amp;"!A:A"),结果表!B20,INDIRECT("'"&amp;C4&amp;"'"&amp;"!B:B"))</f>
        <v>55364</v>
      </c>
      <c r="D20" s="129">
        <f ca="1">SUMIF(INDIRECT("'"&amp;D4&amp;"'"&amp;"!A:A"),结果表!B20,INDIRECT("'"&amp;D4&amp;"'"&amp;"!B:B"))</f>
        <v>33682</v>
      </c>
      <c r="E20" s="1632"/>
      <c r="F20" s="42" t="s">
        <v>1295</v>
      </c>
      <c r="G20" s="130">
        <f ca="1">ROUND(C20*$C$18+D20*$D$18,0)</f>
        <v>46691</v>
      </c>
      <c r="H20" s="759" t="s">
        <v>1296</v>
      </c>
      <c r="I20" s="120"/>
    </row>
    <row r="21" spans="1:36" ht="15" customHeight="1" thickBot="1">
      <c r="A21" s="448"/>
      <c r="B21" s="92" t="s">
        <v>1297</v>
      </c>
      <c r="C21" s="677">
        <f ca="1">ROUND(C19*10000/L19,0)</f>
        <v>281300</v>
      </c>
      <c r="D21" s="678">
        <f ca="1">ROUND(D19*10000/L19,0)</f>
        <v>171137</v>
      </c>
      <c r="E21" s="448"/>
      <c r="F21" s="92" t="s">
        <v>1297</v>
      </c>
      <c r="G21" s="131">
        <f ca="1">ROUND(G19*10000/L19,0)</f>
        <v>237234</v>
      </c>
      <c r="H21" s="1633" t="s">
        <v>1296</v>
      </c>
      <c r="I21" s="120"/>
    </row>
    <row r="22" spans="1:36" ht="15" thickBot="1">
      <c r="A22" s="1563" t="s">
        <v>1298</v>
      </c>
      <c r="B22" s="1634"/>
      <c r="C22" s="1635"/>
      <c r="D22" s="679">
        <f ca="1">IF(C19&lt;D19,D19/C19-1,C19/D19-1)</f>
        <v>0.64371244905676228</v>
      </c>
      <c r="E22" s="120"/>
      <c r="F22" s="120"/>
      <c r="G22" s="120"/>
      <c r="H22" s="120"/>
      <c r="I22" s="120"/>
    </row>
    <row r="23" spans="1:36" ht="13.5" thickBot="1">
      <c r="A23" s="645"/>
      <c r="B23" s="645"/>
      <c r="C23" s="645"/>
      <c r="D23" s="645"/>
      <c r="E23" s="120"/>
      <c r="F23" s="120"/>
      <c r="G23" s="120"/>
      <c r="H23" s="120"/>
      <c r="I23" s="120"/>
    </row>
    <row r="24" spans="1:36" ht="14.25">
      <c r="A24" s="3367" t="s">
        <v>1299</v>
      </c>
      <c r="B24" s="1630" t="s">
        <v>1291</v>
      </c>
      <c r="C24" s="127">
        <f>IF(B30=0,0,D30)</f>
        <v>0</v>
      </c>
      <c r="D24" s="1636"/>
      <c r="E24" s="120"/>
      <c r="F24" s="120"/>
      <c r="G24" s="120"/>
      <c r="H24" s="120"/>
      <c r="I24" s="120"/>
    </row>
    <row r="25" spans="1:36" ht="14.25">
      <c r="A25" s="3368"/>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461910</v>
      </c>
      <c r="D32" s="1640" t="s">
        <v>3614</v>
      </c>
      <c r="E32" s="120"/>
      <c r="F32" s="120"/>
      <c r="G32" s="120"/>
      <c r="H32" s="120"/>
      <c r="I32" s="120"/>
    </row>
    <row r="33" spans="1:16" ht="15">
      <c r="A33" s="739" t="s">
        <v>1306</v>
      </c>
      <c r="B33" s="122"/>
      <c r="C33" s="1641" t="s">
        <v>3615</v>
      </c>
      <c r="D33" s="1642" t="s">
        <v>3616</v>
      </c>
      <c r="E33" s="1643" t="s">
        <v>1307</v>
      </c>
      <c r="F33" s="1644" t="str">
        <f>IF(D32="楼面单价","取值（单价）","取值（总价）")</f>
        <v>取值（总价）</v>
      </c>
      <c r="G33" s="120"/>
      <c r="H33" s="120"/>
      <c r="I33" s="120"/>
    </row>
    <row r="34" spans="1:16" ht="15">
      <c r="A34" s="1645"/>
      <c r="B34" s="1646" t="s">
        <v>1308</v>
      </c>
      <c r="C34" s="139">
        <f ca="1">IF(C33="自定义",F34,C32-C35)</f>
        <v>369066</v>
      </c>
      <c r="D34" s="807">
        <f ca="1">IF(C33="自定义",ROUND(C34/C32,3),IF(C33="收益比率",SUMIF(INDIRECT("'"&amp;D33&amp;"'"&amp;"!b:b"),"土地收益比率",INDIRECT("'"&amp;D33&amp;"'"&amp;"!c:c")),SUMIF(INDIRECT("'"&amp;D33&amp;"'"&amp;"!b:b"),"土地成本比率",INDIRECT("'"&amp;D33&amp;"'"&amp;"!c:c"))))</f>
        <v>0.79899999999999993</v>
      </c>
      <c r="E34" s="1647" t="s">
        <v>1309</v>
      </c>
      <c r="F34" s="1242"/>
      <c r="G34" s="120"/>
      <c r="H34" s="120"/>
      <c r="I34" s="120"/>
    </row>
    <row r="35" spans="1:16" ht="15.75" thickBot="1">
      <c r="A35" s="1648"/>
      <c r="B35" s="1649" t="s">
        <v>1310</v>
      </c>
      <c r="C35" s="1089">
        <f ca="1">IF(C33="自定义",F35,ROUND(C32*D35,0))</f>
        <v>92844</v>
      </c>
      <c r="D35" s="1090">
        <f ca="1">IF(C33="自定义",ROUND(C35/C32,3),IF(C33="收益比率",SUMIF(INDIRECT("'"&amp;D33&amp;"'"&amp;"!b:b"),"建筑物收益比率",INDIRECT("'"&amp;D33&amp;"'"&amp;"!c:c")),SUMIF(INDIRECT("'"&amp;D33&amp;"'"&amp;"!b:b"),"建筑物成本比率",INDIRECT("'"&amp;D33&amp;"'"&amp;"!c:c"))))</f>
        <v>0.20100000000000001</v>
      </c>
      <c r="E35" s="1650" t="s">
        <v>1311</v>
      </c>
      <c r="F35" s="145"/>
      <c r="G35" s="120"/>
      <c r="H35" s="120"/>
      <c r="I35" s="120"/>
    </row>
    <row r="36" spans="1:16" ht="15.75" thickBot="1">
      <c r="A36" s="3344" t="s">
        <v>1312</v>
      </c>
      <c r="B36" s="1651" t="s">
        <v>1313</v>
      </c>
      <c r="C36" s="136"/>
      <c r="D36" s="1652"/>
      <c r="E36" s="1566"/>
      <c r="F36" s="1653"/>
      <c r="G36" s="120"/>
      <c r="H36" s="120"/>
      <c r="I36" s="120"/>
    </row>
    <row r="37" spans="1:16" ht="15.75" thickBot="1">
      <c r="A37" s="3345"/>
      <c r="B37" s="1554" t="s">
        <v>1314</v>
      </c>
      <c r="C37" s="138"/>
      <c r="D37" s="1070"/>
      <c r="E37" s="1070"/>
      <c r="F37" s="1653"/>
      <c r="G37" s="120"/>
      <c r="H37" s="120"/>
      <c r="I37" s="120"/>
    </row>
    <row r="38" spans="1:16" ht="15.75" thickBot="1">
      <c r="A38" s="3346"/>
      <c r="B38" s="1654" t="s">
        <v>1315</v>
      </c>
      <c r="C38" s="640"/>
      <c r="D38" s="1655" t="s">
        <v>1316</v>
      </c>
      <c r="E38" s="1070"/>
      <c r="F38" s="1653"/>
      <c r="G38" s="120"/>
      <c r="H38" s="120"/>
      <c r="I38" s="120"/>
    </row>
    <row r="39" spans="1:16" ht="15">
      <c r="A39" s="1632" t="s">
        <v>1317</v>
      </c>
      <c r="B39" s="1656" t="s">
        <v>1318</v>
      </c>
      <c r="C39" s="1657" t="s">
        <v>1319</v>
      </c>
      <c r="D39" s="1657" t="s">
        <v>1320</v>
      </c>
      <c r="E39" s="1658" t="s">
        <v>1321</v>
      </c>
      <c r="F39" s="1653"/>
      <c r="G39" s="120"/>
      <c r="H39" s="120"/>
      <c r="I39" s="120"/>
    </row>
    <row r="40" spans="1:16" ht="14.25">
      <c r="A40" s="1659" t="s">
        <v>1322</v>
      </c>
      <c r="B40" s="140"/>
      <c r="C40" s="141"/>
      <c r="D40" s="141"/>
      <c r="E40" s="142"/>
      <c r="F40" s="1653"/>
      <c r="G40" s="120"/>
      <c r="H40" s="120"/>
      <c r="I40" s="120"/>
    </row>
    <row r="41" spans="1:16" ht="14.25">
      <c r="A41" s="1659" t="s">
        <v>1323</v>
      </c>
      <c r="B41" s="140"/>
      <c r="C41" s="141"/>
      <c r="D41" s="141"/>
      <c r="E41" s="142"/>
      <c r="F41" s="1653"/>
      <c r="G41" s="120"/>
      <c r="H41" s="120"/>
      <c r="I41" s="120"/>
    </row>
    <row r="42" spans="1:16" ht="15" thickBot="1">
      <c r="A42" s="1660"/>
      <c r="B42" s="143"/>
      <c r="C42" s="144"/>
      <c r="D42" s="144"/>
      <c r="E42" s="145"/>
      <c r="F42" s="1653"/>
      <c r="G42" s="120"/>
      <c r="H42" s="120"/>
      <c r="I42" s="120"/>
    </row>
    <row r="43" spans="1:16" ht="12.75">
      <c r="A43" s="1466"/>
      <c r="B43" s="1466"/>
      <c r="C43" s="1466"/>
      <c r="D43" s="1466"/>
      <c r="E43" s="1466"/>
      <c r="F43" s="1661"/>
      <c r="G43" s="1661"/>
      <c r="H43" s="1661"/>
      <c r="I43" s="1662"/>
    </row>
    <row r="44" spans="1:16" ht="18.75">
      <c r="A44" s="1463" t="s">
        <v>1324</v>
      </c>
      <c r="B44" s="1663"/>
      <c r="C44" s="1663"/>
      <c r="D44" s="1664"/>
      <c r="E44" s="1664"/>
      <c r="F44" s="1665"/>
      <c r="G44" s="1665"/>
      <c r="H44" s="1665"/>
      <c r="I44" s="1665"/>
      <c r="J44" s="1666" t="s">
        <v>1325</v>
      </c>
      <c r="K44" s="4"/>
      <c r="L44" s="4"/>
      <c r="M44" s="4"/>
      <c r="N44" s="4"/>
      <c r="O44" s="4"/>
    </row>
    <row r="45" spans="1:16" ht="14.25" customHeight="1" thickBot="1">
      <c r="A45" s="3364" t="s">
        <v>1326</v>
      </c>
      <c r="B45" s="3365"/>
      <c r="C45" s="3366"/>
      <c r="D45" s="146">
        <f ca="1">ROUND(H101*F45,0)</f>
        <v>461910</v>
      </c>
      <c r="E45" s="147" t="s">
        <v>1327</v>
      </c>
      <c r="F45" s="148">
        <v>1</v>
      </c>
      <c r="G45" s="149" t="s">
        <v>1328</v>
      </c>
      <c r="H45" s="120"/>
      <c r="I45" s="120"/>
      <c r="J45" s="3284" t="s">
        <v>1329</v>
      </c>
      <c r="K45" s="3284"/>
      <c r="L45" s="3284"/>
      <c r="M45" s="3284"/>
      <c r="N45" s="3284"/>
      <c r="O45" s="3284"/>
    </row>
    <row r="46" spans="1:16" ht="14.25" customHeight="1">
      <c r="A46" s="3361" t="s">
        <v>1330</v>
      </c>
      <c r="B46" s="3362"/>
      <c r="C46" s="3362"/>
      <c r="D46" s="3362"/>
      <c r="E46" s="3362"/>
      <c r="F46" s="3362"/>
      <c r="G46" s="3363"/>
      <c r="H46" s="1667"/>
      <c r="I46" s="150"/>
      <c r="J46" s="2309">
        <v>1</v>
      </c>
      <c r="K46" s="3285" t="s">
        <v>1331</v>
      </c>
      <c r="L46" s="3285"/>
      <c r="M46" s="3286"/>
      <c r="N46" s="3286"/>
      <c r="O46" s="3286"/>
    </row>
    <row r="47" spans="1:16" ht="12" customHeight="1">
      <c r="A47" s="151" t="s">
        <v>1332</v>
      </c>
      <c r="B47" s="152"/>
      <c r="C47" s="153"/>
      <c r="D47" s="1023" t="s">
        <v>1333</v>
      </c>
      <c r="E47" s="293" t="s">
        <v>1334</v>
      </c>
      <c r="F47" s="154" t="s">
        <v>1335</v>
      </c>
      <c r="G47" s="2332" t="s">
        <v>1336</v>
      </c>
      <c r="H47" s="2333"/>
      <c r="I47" s="150"/>
      <c r="J47" s="2309">
        <v>2</v>
      </c>
      <c r="K47" s="3285" t="s">
        <v>1337</v>
      </c>
      <c r="L47" s="3285"/>
      <c r="M47" s="3287">
        <f>'数据-取费表'!B2</f>
        <v>45600</v>
      </c>
      <c r="N47" s="3287"/>
      <c r="O47" s="3287"/>
      <c r="P47" s="3184" t="s">
        <v>3748</v>
      </c>
    </row>
    <row r="48" spans="1:16" ht="25.5">
      <c r="A48" s="3347" t="s">
        <v>1338</v>
      </c>
      <c r="B48" s="3348"/>
      <c r="C48" s="3348"/>
      <c r="D48" s="11">
        <f ca="1">IF(H48="情况1",0,IF(H48="情况2",D52,IF(H48="情况3",D53,IF(H48="情况4",D54))))</f>
        <v>24635</v>
      </c>
      <c r="E48" s="1255" t="str">
        <f>IF(H48="情况4","(销售额-原购置价)×税（费）率","销售额×税（费）率")</f>
        <v>销售额×税（费）率</v>
      </c>
      <c r="F48" s="2334">
        <f>IF(H48="情况1","免征",'数据-取费表'!B41)</f>
        <v>5.6000000000000001E-2</v>
      </c>
      <c r="G48" s="2335" t="s">
        <v>1339</v>
      </c>
      <c r="H48" s="2336" t="s">
        <v>3679</v>
      </c>
      <c r="I48" s="1667"/>
      <c r="J48" s="2309">
        <v>3</v>
      </c>
      <c r="K48" s="3285" t="s">
        <v>1340</v>
      </c>
      <c r="L48" s="3285"/>
      <c r="M48" s="3288">
        <f ca="1">H101</f>
        <v>461910</v>
      </c>
      <c r="N48" s="3288"/>
      <c r="O48" s="3288"/>
      <c r="P48" s="3190">
        <f ca="1">M48</f>
        <v>461910</v>
      </c>
    </row>
    <row r="49" spans="1:35" ht="25.5" customHeight="1">
      <c r="A49" s="2151" t="s">
        <v>1341</v>
      </c>
      <c r="B49" s="3333" t="s">
        <v>1342</v>
      </c>
      <c r="C49" s="3333"/>
      <c r="D49" s="1477">
        <v>0</v>
      </c>
      <c r="E49" s="315" t="s">
        <v>1343</v>
      </c>
      <c r="F49" s="2232" t="s">
        <v>28</v>
      </c>
      <c r="G49" s="3316"/>
      <c r="H49" s="2133" t="s">
        <v>2132</v>
      </c>
      <c r="I49" s="2134"/>
      <c r="J49" s="2309">
        <v>4</v>
      </c>
      <c r="K49" s="3285" t="str">
        <f>IF(项目基本情况!E8="房地产抵押价值","房地产抵押价值","抵押担保权已注销时的房地产抵押价值")</f>
        <v>房地产抵押价值</v>
      </c>
      <c r="L49" s="3285"/>
      <c r="M49" s="3288">
        <f ca="1">IF(项目基本情况!E8="房地产抵押价值",H107,H109)</f>
        <v>461910</v>
      </c>
      <c r="N49" s="3288"/>
      <c r="O49" s="3288"/>
      <c r="P49" s="3190"/>
    </row>
    <row r="50" spans="1:35" ht="25.5" customHeight="1">
      <c r="A50" s="2337"/>
      <c r="B50" s="3333" t="s">
        <v>1344</v>
      </c>
      <c r="C50" s="3333"/>
      <c r="D50" s="2188"/>
      <c r="E50" s="322"/>
      <c r="F50" s="2232"/>
      <c r="G50" s="3317"/>
      <c r="H50" s="2135" t="s">
        <v>2133</v>
      </c>
      <c r="I50" s="2134"/>
      <c r="J50" s="3284" t="s">
        <v>1345</v>
      </c>
      <c r="K50" s="3284"/>
      <c r="L50" s="3284"/>
      <c r="M50" s="3284"/>
      <c r="N50" s="3284"/>
      <c r="O50" s="3284"/>
      <c r="P50" s="3190"/>
    </row>
    <row r="51" spans="1:35" ht="20.45" customHeight="1">
      <c r="A51" s="2338"/>
      <c r="B51" s="3333" t="s">
        <v>1346</v>
      </c>
      <c r="C51" s="3333"/>
      <c r="D51" s="1023"/>
      <c r="E51" s="318"/>
      <c r="F51" s="2232"/>
      <c r="G51" s="3318"/>
      <c r="H51" s="2135" t="s">
        <v>2134</v>
      </c>
      <c r="I51" s="2134"/>
      <c r="J51" s="2310" t="s">
        <v>1347</v>
      </c>
      <c r="K51" s="3285" t="s">
        <v>1348</v>
      </c>
      <c r="L51" s="3285"/>
      <c r="M51" s="2310" t="s">
        <v>1349</v>
      </c>
      <c r="N51" s="2310" t="s">
        <v>1350</v>
      </c>
      <c r="O51" s="2310" t="s">
        <v>1351</v>
      </c>
      <c r="P51" s="3190"/>
    </row>
    <row r="52" spans="1:35" ht="24" customHeight="1">
      <c r="A52" s="2152" t="s">
        <v>1352</v>
      </c>
      <c r="B52" s="3333" t="s">
        <v>1353</v>
      </c>
      <c r="C52" s="3333"/>
      <c r="D52" s="1023">
        <f ca="1">ROUND(D45*'数据-取费表'!B41/(1+'数据-取费表'!C42),0)</f>
        <v>24635</v>
      </c>
      <c r="E52" s="1255" t="s">
        <v>1354</v>
      </c>
      <c r="F52" s="2339">
        <f>'数据-取费表'!B41</f>
        <v>5.6000000000000001E-2</v>
      </c>
      <c r="G52" s="2340"/>
      <c r="H52" s="2330"/>
      <c r="I52" s="1668"/>
      <c r="J52" s="2309">
        <v>1</v>
      </c>
      <c r="K52" s="3310" t="s">
        <v>1355</v>
      </c>
      <c r="L52" s="3310"/>
      <c r="M52" s="2311">
        <f ca="1">D48</f>
        <v>24635</v>
      </c>
      <c r="N52" s="2309" t="str">
        <f>E48</f>
        <v>销售额×税（费）率</v>
      </c>
      <c r="O52" s="2312">
        <f>F48</f>
        <v>5.6000000000000001E-2</v>
      </c>
      <c r="P52" s="3190">
        <f ca="1">ROUND(P48*'数据-取费表'!B41/(1+'数据-取费表'!C42),0)</f>
        <v>24635</v>
      </c>
    </row>
    <row r="53" spans="1:35" ht="12" customHeight="1">
      <c r="A53" s="2152" t="s">
        <v>1356</v>
      </c>
      <c r="B53" s="3334" t="s">
        <v>2280</v>
      </c>
      <c r="C53" s="3335"/>
      <c r="D53" s="1023">
        <f ca="1">ROUND(D45*'数据-取费表'!B41/(1+'数据-取费表'!C42),0)</f>
        <v>24635</v>
      </c>
      <c r="E53" s="1255" t="s">
        <v>1354</v>
      </c>
      <c r="F53" s="2339">
        <f>'数据-取费表'!B41</f>
        <v>5.6000000000000001E-2</v>
      </c>
      <c r="G53" s="2340"/>
      <c r="H53" s="2330"/>
      <c r="I53" s="1668"/>
      <c r="J53" s="2309">
        <v>2</v>
      </c>
      <c r="K53" s="3310" t="s">
        <v>1357</v>
      </c>
      <c r="L53" s="3310"/>
      <c r="M53" s="2311">
        <f t="shared" ref="M53:O54" ca="1" si="0">D55</f>
        <v>231</v>
      </c>
      <c r="N53" s="2309" t="str">
        <f t="shared" si="0"/>
        <v>销售额×税（费）率</v>
      </c>
      <c r="O53" s="2312">
        <f t="shared" si="0"/>
        <v>5.0000000000000001E-4</v>
      </c>
      <c r="P53" s="3190">
        <f ca="1">ROUND(P48*O53,0)</f>
        <v>231</v>
      </c>
    </row>
    <row r="54" spans="1:35" ht="12" customHeight="1">
      <c r="A54" s="2152" t="s">
        <v>1358</v>
      </c>
      <c r="B54" s="3334" t="s">
        <v>2281</v>
      </c>
      <c r="C54" s="3335"/>
      <c r="D54" s="1023">
        <f ca="1">C68</f>
        <v>24635</v>
      </c>
      <c r="E54" s="318" t="s">
        <v>1359</v>
      </c>
      <c r="F54" s="2339">
        <f>'数据-取费表'!B41</f>
        <v>5.6000000000000001E-2</v>
      </c>
      <c r="G54" s="2340"/>
      <c r="H54" s="2341"/>
      <c r="I54" s="1668"/>
      <c r="J54" s="2309">
        <v>3</v>
      </c>
      <c r="K54" s="3310" t="s">
        <v>1360</v>
      </c>
      <c r="L54" s="3310"/>
      <c r="M54" s="2311">
        <f t="shared" ca="1" si="0"/>
        <v>161791</v>
      </c>
      <c r="N54" s="2309" t="str">
        <f t="shared" si="0"/>
        <v>增值额×税（费）率</v>
      </c>
      <c r="O54" s="2313" t="str">
        <f t="shared" si="0"/>
        <v>——</v>
      </c>
      <c r="P54" s="3190">
        <f ca="1">ROUND(P48/1.05*0.05,0)</f>
        <v>21996</v>
      </c>
    </row>
    <row r="55" spans="1:35" ht="24" customHeight="1">
      <c r="A55" s="3370" t="s">
        <v>1361</v>
      </c>
      <c r="B55" s="3348"/>
      <c r="C55" s="3348"/>
      <c r="D55" s="11">
        <f ca="1">IF(H55="个人住宅",0,ROUND(D45*I55,0))</f>
        <v>231</v>
      </c>
      <c r="E55" s="1255" t="s">
        <v>1362</v>
      </c>
      <c r="F55" s="2339">
        <f>IF(H55="正常",I55,"免征")</f>
        <v>5.0000000000000001E-4</v>
      </c>
      <c r="G55" s="2340"/>
      <c r="H55" s="2336" t="s">
        <v>3621</v>
      </c>
      <c r="I55" s="156">
        <f>'数据-取费表'!B49</f>
        <v>5.0000000000000001E-4</v>
      </c>
      <c r="J55" s="2309" t="str">
        <f>IF(H59="非个人房产","",4)</f>
        <v/>
      </c>
      <c r="K55" s="3310" t="str">
        <f>IF(H59="非个人房产","——","个人所得税")</f>
        <v>——</v>
      </c>
      <c r="L55" s="3310"/>
      <c r="M55" s="2314" t="str">
        <f>D59</f>
        <v>——</v>
      </c>
      <c r="N55" s="1882" t="str">
        <f>E59</f>
        <v>——</v>
      </c>
      <c r="O55" s="2315" t="str">
        <f>F59</f>
        <v>——</v>
      </c>
      <c r="P55" s="3190"/>
    </row>
    <row r="56" spans="1:35" ht="24.75">
      <c r="A56" s="3370" t="s">
        <v>1363</v>
      </c>
      <c r="B56" s="3348"/>
      <c r="C56" s="3348"/>
      <c r="D56" s="11">
        <f ca="1">IF(H56="个人住宅",D57,D58)</f>
        <v>161791</v>
      </c>
      <c r="E56" s="1255" t="s">
        <v>1364</v>
      </c>
      <c r="F56" s="2339" t="str">
        <f>IF(H56="正常",F58,"免征")</f>
        <v>——</v>
      </c>
      <c r="G56" s="2342" t="s">
        <v>1365</v>
      </c>
      <c r="H56" s="2343" t="s">
        <v>3621</v>
      </c>
      <c r="I56" s="1669"/>
      <c r="J56" s="2309" t="str">
        <f>IF(项目基本情况!K6="上海银行",IF(J55="",4,J55+1),"")</f>
        <v/>
      </c>
      <c r="K56" s="3291" t="str">
        <f>IF(项目基本情况!K6="上海银行","其他处置费用","")</f>
        <v/>
      </c>
      <c r="L56" s="3292"/>
      <c r="M56" s="2311" t="str">
        <f>IF(项目基本情况!K6="上海银行",M69,"")</f>
        <v/>
      </c>
      <c r="N56" s="3291" t="str">
        <f>IF(项目基本情况!K6="上海银行","包含处置中涉及的律师、诉讼、拍卖、评估等费用","")</f>
        <v/>
      </c>
      <c r="O56" s="3294"/>
      <c r="P56" s="3190"/>
    </row>
    <row r="57" spans="1:35" ht="12.75">
      <c r="A57" s="2152" t="s">
        <v>1341</v>
      </c>
      <c r="B57" s="3334" t="s">
        <v>1366</v>
      </c>
      <c r="C57" s="3335"/>
      <c r="D57" s="1477">
        <v>0</v>
      </c>
      <c r="E57" s="315" t="s">
        <v>1343</v>
      </c>
      <c r="F57" s="293"/>
      <c r="G57" s="2340"/>
      <c r="H57" s="2344"/>
      <c r="I57" s="1669"/>
      <c r="J57" s="3310">
        <f>IF(AND(J55="",J56=""),4,IF(项目基本情况!K6="上海银行",结果表!J56+1,结果表!J55+1))</f>
        <v>4</v>
      </c>
      <c r="K57" s="3310" t="s">
        <v>1367</v>
      </c>
      <c r="L57" s="2316" t="s">
        <v>1368</v>
      </c>
      <c r="M57" s="2317"/>
      <c r="N57" s="2318">
        <f ca="1">SUMIF(M52:M56,"&lt;9e307")</f>
        <v>186657</v>
      </c>
      <c r="O57" s="2319"/>
      <c r="P57" s="3190">
        <f ca="1">P52+P53+P54</f>
        <v>46862</v>
      </c>
      <c r="Q57" s="3191">
        <f ca="1">P57/P48</f>
        <v>0.10145266393886256</v>
      </c>
    </row>
    <row r="58" spans="1:35" ht="24.75">
      <c r="A58" s="2152" t="s">
        <v>1352</v>
      </c>
      <c r="B58" s="3334" t="s">
        <v>1369</v>
      </c>
      <c r="C58" s="3333"/>
      <c r="D58" s="11">
        <f ca="1">IF(H58="转让取得",C81,C97)</f>
        <v>161791</v>
      </c>
      <c r="E58" s="1255" t="s">
        <v>1364</v>
      </c>
      <c r="F58" s="293" t="s">
        <v>28</v>
      </c>
      <c r="G58" s="2340"/>
      <c r="H58" s="2343" t="s">
        <v>3680</v>
      </c>
      <c r="I58" s="1669"/>
      <c r="J58" s="3310"/>
      <c r="K58" s="3310"/>
      <c r="L58" s="2316" t="s">
        <v>1370</v>
      </c>
      <c r="M58" s="2320"/>
      <c r="N58" s="2321" t="str">
        <f ca="1">NUMBERSTRING(INT(N57*10000),2)&amp;"元整"</f>
        <v>壹拾捌亿陆仟陆佰伍拾柒万元整</v>
      </c>
      <c r="O58" s="2322"/>
      <c r="P58" s="3190"/>
      <c r="Q58" s="3192"/>
    </row>
    <row r="59" spans="1:35" ht="24.75" thickBot="1">
      <c r="A59" s="3314" t="s">
        <v>1371</v>
      </c>
      <c r="B59" s="3315"/>
      <c r="C59" s="3315"/>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3681</v>
      </c>
      <c r="I59" s="2136" t="s">
        <v>2135</v>
      </c>
      <c r="J59" s="3312">
        <f>J57+1</f>
        <v>5</v>
      </c>
      <c r="K59" s="3310" t="s">
        <v>1372</v>
      </c>
      <c r="L59" s="2309" t="s">
        <v>1368</v>
      </c>
      <c r="M59" s="2323"/>
      <c r="N59" s="2324">
        <f ca="1">M49-N57</f>
        <v>275253</v>
      </c>
      <c r="O59" s="2325"/>
      <c r="P59" s="3190">
        <f ca="1">P48-P52-P53-P54</f>
        <v>415048</v>
      </c>
      <c r="Q59" s="3191">
        <f ca="1">P59/P48</f>
        <v>0.89854733606113746</v>
      </c>
    </row>
    <row r="60" spans="1:35" ht="12" customHeight="1">
      <c r="A60" s="1670"/>
      <c r="B60" s="645"/>
      <c r="C60" s="645"/>
      <c r="D60" s="645"/>
      <c r="E60" s="1465"/>
      <c r="F60" s="1669"/>
      <c r="G60" s="1669"/>
      <c r="H60" s="150"/>
      <c r="I60" s="120"/>
      <c r="J60" s="3313"/>
      <c r="K60" s="3310"/>
      <c r="L60" s="2316" t="s">
        <v>1370</v>
      </c>
      <c r="M60" s="2320"/>
      <c r="N60" s="2321" t="str">
        <f ca="1">NUMBERSTRING(INT(N59*10000),2)&amp;"元整"</f>
        <v>贰拾柒亿伍仟贰佰伍拾叁万元整</v>
      </c>
      <c r="O60" s="2322"/>
      <c r="P60" s="3190"/>
    </row>
    <row r="61" spans="1:35" ht="13.5" thickBot="1">
      <c r="A61" s="3369" t="s">
        <v>1373</v>
      </c>
      <c r="B61" s="3369"/>
      <c r="C61" s="3369"/>
      <c r="D61" s="3369"/>
      <c r="E61" s="3369"/>
      <c r="F61" s="1669"/>
      <c r="G61" s="1669"/>
      <c r="H61" s="150"/>
      <c r="I61" s="120"/>
      <c r="J61" s="2309">
        <f>J59+1</f>
        <v>6</v>
      </c>
      <c r="K61" s="3310" t="s">
        <v>1374</v>
      </c>
      <c r="L61" s="3310"/>
      <c r="M61" s="2326"/>
      <c r="N61" s="2327">
        <f ca="1">ROUND(N59*10000/'数据-汇总表'!E3,0)</f>
        <v>27823</v>
      </c>
      <c r="O61" s="2328"/>
      <c r="P61" s="3190">
        <f ca="1">ROUND(P59*10000/'数据-汇总表'!E3,0)</f>
        <v>41954</v>
      </c>
    </row>
    <row r="62" spans="1:35" ht="12.75">
      <c r="A62" s="3329" t="s">
        <v>1375</v>
      </c>
      <c r="B62" s="3330"/>
      <c r="C62" s="1864"/>
      <c r="D62" s="1864" t="s">
        <v>1376</v>
      </c>
      <c r="E62" s="157" t="s">
        <v>1377</v>
      </c>
      <c r="F62" s="1669"/>
      <c r="G62" s="1669"/>
      <c r="H62" s="150"/>
      <c r="I62" s="120"/>
    </row>
    <row r="63" spans="1:35" ht="12.75">
      <c r="A63" s="164" t="s">
        <v>330</v>
      </c>
      <c r="B63" s="158" t="s">
        <v>1378</v>
      </c>
      <c r="C63" s="2349">
        <f ca="1">ROUND((C64+C65)/(1+'数据-取费表'!C42),0)</f>
        <v>439914</v>
      </c>
      <c r="D63" s="158"/>
      <c r="E63" s="159"/>
      <c r="F63" s="1669"/>
      <c r="G63" s="1669"/>
      <c r="H63" s="150"/>
      <c r="I63" s="120"/>
      <c r="J63" s="3293" t="s">
        <v>1379</v>
      </c>
      <c r="K63" s="1244" t="s">
        <v>1380</v>
      </c>
      <c r="L63" s="1244">
        <f ca="1">IF(M49&gt;10000,M49*0.5%,IF(AND(M49&gt;1000,M49&lt;=10000),M49*1%,IF(AND(M49&gt;100,M49&lt;=1000),M49*3%,IF(AND(M49&gt;10,M49&lt;=100),M49*5%,M49*8%))))</f>
        <v>2309.5500000000002</v>
      </c>
      <c r="M63" s="293">
        <f ca="1">ROUND(L63,1)</f>
        <v>2309.6</v>
      </c>
      <c r="N63" s="2329"/>
      <c r="Z63" s="1622"/>
      <c r="AI63" s="1560"/>
    </row>
    <row r="64" spans="1:35" ht="14.25" customHeight="1">
      <c r="A64" s="160" t="s">
        <v>325</v>
      </c>
      <c r="B64" s="161" t="s">
        <v>1381</v>
      </c>
      <c r="C64" s="2350">
        <f ca="1">D45</f>
        <v>461910</v>
      </c>
      <c r="D64" s="161" t="s">
        <v>26</v>
      </c>
      <c r="E64" s="163"/>
      <c r="F64" s="1669"/>
      <c r="G64" s="1669"/>
      <c r="H64" s="150"/>
      <c r="I64" s="120"/>
      <c r="J64" s="3293"/>
      <c r="K64" s="1244" t="s">
        <v>1382</v>
      </c>
      <c r="L64" s="1244">
        <f ca="1">IF(M49&gt;2000,M49*0.5%,IF(AND(M49&gt;1000,M49&lt;=2000),M49*0.6%,IF(AND(M49&gt;500,M49&lt;=1000),M49*0.7%,IF(AND(M49&gt;200,M49&lt;=500),M49*0.8%,IF(AND(M49&gt;100,M49&lt;=200),M49*0.9%,IF(AND(M49&gt;50,M49&lt;=100),M49*1%,IF(AND(M49&gt;20,M49&lt;=50),M49*1.5%,IF(AND(M49&gt;10,M49&lt;=20),M49*2%,IF(AND(M49&gt;1,M49&lt;=10),M49*2.5%)))))))))</f>
        <v>2309.5500000000002</v>
      </c>
      <c r="M64" s="293">
        <f t="shared" ref="M64:M65" ca="1" si="1">ROUND(L64,1)</f>
        <v>2309.6</v>
      </c>
      <c r="N64" s="2330" t="s">
        <v>1383</v>
      </c>
      <c r="Z64" s="1622"/>
      <c r="AI64" s="1560"/>
    </row>
    <row r="65" spans="1:35" ht="14.25" customHeight="1">
      <c r="A65" s="160" t="s">
        <v>326</v>
      </c>
      <c r="B65" s="161" t="s">
        <v>1384</v>
      </c>
      <c r="C65" s="2351"/>
      <c r="D65" s="161"/>
      <c r="E65" s="163"/>
      <c r="F65" s="1669"/>
      <c r="G65" s="1669"/>
      <c r="H65" s="150"/>
      <c r="I65" s="120"/>
      <c r="J65" s="3293"/>
      <c r="K65" s="1244" t="s">
        <v>1385</v>
      </c>
      <c r="L65" s="1244">
        <f ca="1">IF(M49&gt;1000,M49*0.1%,IF(AND(M49&gt;500,M49&lt;=1000),M49*0.5%,IF(AND(M49&gt;50,M49&lt;=500),M49*1%,IF(AND(M49&gt;1,M49&lt;=50),M49*1.5%))))</f>
        <v>461.91</v>
      </c>
      <c r="M65" s="293">
        <f t="shared" ca="1" si="1"/>
        <v>461.9</v>
      </c>
      <c r="N65" s="2330" t="s">
        <v>1383</v>
      </c>
      <c r="Z65" s="1622"/>
      <c r="AI65" s="1560"/>
    </row>
    <row r="66" spans="1:35" ht="14.25" customHeight="1">
      <c r="A66" s="164" t="s">
        <v>327</v>
      </c>
      <c r="B66" s="165" t="s">
        <v>1386</v>
      </c>
      <c r="C66" s="2352"/>
      <c r="D66" s="165" t="s">
        <v>26</v>
      </c>
      <c r="E66" s="1250" t="s">
        <v>671</v>
      </c>
      <c r="F66" s="1669"/>
      <c r="G66" s="1669"/>
      <c r="H66" s="150"/>
      <c r="I66" s="120"/>
      <c r="J66" s="3293"/>
      <c r="K66" s="1244" t="s">
        <v>1387</v>
      </c>
      <c r="L66" s="1244">
        <f ca="1">M49*0.5%</f>
        <v>2309.5500000000002</v>
      </c>
      <c r="M66" s="293">
        <f ca="1">IF(L66&gt;0.5,0.5,ROUND(L66,0))</f>
        <v>0.5</v>
      </c>
      <c r="N66" s="2330" t="s">
        <v>1388</v>
      </c>
      <c r="Z66" s="1622"/>
      <c r="AI66" s="1560"/>
    </row>
    <row r="67" spans="1:35" ht="14.25" customHeight="1">
      <c r="A67" s="164" t="s">
        <v>328</v>
      </c>
      <c r="B67" s="165" t="s">
        <v>1389</v>
      </c>
      <c r="C67" s="2353">
        <f ca="1">C63-C66</f>
        <v>439914</v>
      </c>
      <c r="D67" s="161" t="s">
        <v>26</v>
      </c>
      <c r="E67" s="163"/>
      <c r="F67" s="1669"/>
      <c r="G67" s="1669"/>
      <c r="H67" s="150"/>
      <c r="I67" s="120"/>
      <c r="J67" s="3293"/>
      <c r="K67" s="1244" t="s">
        <v>1390</v>
      </c>
      <c r="L67" s="1244">
        <f ca="1">IF(M49&gt;=10000,(8.25+(M49-10000)*0.01%),IF(AND(M49&gt;=8000,M49&lt;10000),(7.85+(M49-8000)*0.02%),IF(AND(M49&gt;=5000,M49&lt;8000),(6.65+(M49-5000)*0.04%),IF(AND(M49&gt;=2000,M49&lt;5000),(4.25+(PM49-2000)*0.08%),IF(AND(M49&gt;=1000,M49&lt;2000),(2.75+(M49-1000)*0.15%),IF(AND(M49&gt;=100,M49&lt;1000),(0.5+(M49-100)*0.25%),IF(AND(M49&gt;0,M49&lt;100),M49*0.5%)))))))</f>
        <v>53.441000000000003</v>
      </c>
      <c r="M67" s="293">
        <f ca="1">ROUND(L67*0.9,1)</f>
        <v>48.1</v>
      </c>
      <c r="N67" s="2329"/>
      <c r="Z67" s="1622"/>
      <c r="AI67" s="1560"/>
    </row>
    <row r="68" spans="1:35" ht="14.25" customHeight="1" thickBot="1">
      <c r="A68" s="167" t="s">
        <v>329</v>
      </c>
      <c r="B68" s="168" t="s">
        <v>1391</v>
      </c>
      <c r="C68" s="2354">
        <f ca="1">IF(C67&lt;=0,0,ROUND(C67*D68,0))</f>
        <v>24635</v>
      </c>
      <c r="D68" s="2355">
        <f>'数据-取费表'!B41</f>
        <v>5.6000000000000001E-2</v>
      </c>
      <c r="E68" s="169"/>
      <c r="F68" s="1669"/>
      <c r="G68" s="1669"/>
      <c r="H68" s="150"/>
      <c r="I68" s="120"/>
      <c r="J68" s="3293"/>
      <c r="K68" s="1244" t="s">
        <v>1392</v>
      </c>
      <c r="L68" s="1244">
        <f ca="1">IF(M49&gt;10000,M49*0.5%,IF(AND(M49&gt;5000,M49&lt;=10000),M49*1%,IF(AND(M49&gt;1000,M49&lt;=5000),M49*2%,IF(AND(M49&gt;200,M49&lt;=1000),M49*3%,M49*5%))))</f>
        <v>2309.5500000000002</v>
      </c>
      <c r="M68" s="293">
        <f ca="1">ROUND(L68,1)</f>
        <v>2309.6</v>
      </c>
      <c r="N68" s="2329"/>
      <c r="Z68" s="1622"/>
      <c r="AI68" s="1560"/>
    </row>
    <row r="69" spans="1:35" ht="16.5" customHeight="1">
      <c r="A69" s="1671"/>
      <c r="B69" s="1672"/>
      <c r="C69" s="1673"/>
      <c r="D69" s="1674"/>
      <c r="E69" s="1675"/>
      <c r="F69" s="1465"/>
      <c r="G69" s="1465"/>
      <c r="H69" s="1466"/>
      <c r="I69" s="645"/>
      <c r="J69" s="3293"/>
      <c r="K69" s="1244" t="s">
        <v>1393</v>
      </c>
      <c r="L69" s="1244"/>
      <c r="M69" s="293">
        <f ca="1">ROUND(SUM(M63:M68),0)</f>
        <v>7439</v>
      </c>
      <c r="N69" s="2331">
        <f ca="1">M69/M49</f>
        <v>1.6104868913857678E-2</v>
      </c>
      <c r="Z69" s="1622"/>
      <c r="AI69" s="1560"/>
    </row>
    <row r="70" spans="1:35" s="641" customFormat="1" ht="15" thickBot="1">
      <c r="A70" s="3337" t="s">
        <v>1394</v>
      </c>
      <c r="B70" s="3338"/>
      <c r="C70" s="3338"/>
      <c r="D70" s="3338"/>
      <c r="E70" s="3338"/>
      <c r="F70" s="3338"/>
      <c r="G70" s="3338"/>
      <c r="H70" s="3338"/>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29" t="s">
        <v>1375</v>
      </c>
      <c r="B71" s="3330"/>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439914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2639</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34" t="s">
        <v>1402</v>
      </c>
      <c r="F76" s="3333"/>
      <c r="G76" s="3333"/>
      <c r="H76" s="333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2639</v>
      </c>
      <c r="D78" s="2362">
        <f>'数据-取费表'!B43</f>
        <v>6.000000000000001E-3</v>
      </c>
      <c r="E78" s="3326" t="s">
        <v>1406</v>
      </c>
      <c r="F78" s="3327"/>
      <c r="G78" s="3327"/>
      <c r="H78" s="332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437275</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165.69723380068208</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261441</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3162"/>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7" t="s">
        <v>1410</v>
      </c>
      <c r="B83" s="3338"/>
      <c r="C83" s="3338"/>
      <c r="D83" s="3338"/>
      <c r="E83" s="3338"/>
      <c r="F83" s="3338"/>
      <c r="G83" s="3338"/>
      <c r="H83" s="3338"/>
      <c r="I83" s="1680"/>
      <c r="J83" s="3162" t="s">
        <v>3683</v>
      </c>
      <c r="K83" s="1677">
        <f>'数据-汇总表'!E3</f>
        <v>98928.560000000012</v>
      </c>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29" t="s">
        <v>1375</v>
      </c>
      <c r="B84" s="3330"/>
      <c r="C84" s="1864"/>
      <c r="D84" s="1864" t="s">
        <v>1376</v>
      </c>
      <c r="E84" s="170" t="s">
        <v>1377</v>
      </c>
      <c r="F84" s="171"/>
      <c r="G84" s="171"/>
      <c r="H84" s="182"/>
      <c r="I84" s="1680"/>
      <c r="J84" s="3162" t="s">
        <v>3682</v>
      </c>
      <c r="K84" s="1677">
        <v>269991</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439914</v>
      </c>
      <c r="D85" s="161" t="s">
        <v>26</v>
      </c>
      <c r="E85" s="1256"/>
      <c r="F85" s="1254"/>
      <c r="G85" s="1254"/>
      <c r="H85" s="183"/>
      <c r="I85" s="1680"/>
      <c r="J85" s="3162" t="s">
        <v>3684</v>
      </c>
      <c r="K85" s="1677">
        <v>364487850</v>
      </c>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107534</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13762</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f>ROUND(K83/K84*K85/10000,0)</f>
        <v>13355</v>
      </c>
      <c r="D88" s="2362"/>
      <c r="E88" s="184" t="s">
        <v>1413</v>
      </c>
      <c r="F88" s="2147"/>
      <c r="G88" s="185" t="s">
        <v>1414</v>
      </c>
      <c r="H88" s="1683" t="s">
        <v>3378</v>
      </c>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407</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95" t="s">
        <v>2127</v>
      </c>
      <c r="H90" s="3296"/>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 ca="1">IF(H91="——",成本法!C33,I91)</f>
        <v>66926</v>
      </c>
      <c r="D91" s="2362"/>
      <c r="E91" s="3326" t="s">
        <v>1419</v>
      </c>
      <c r="F91" s="3327"/>
      <c r="G91" s="3327"/>
      <c r="H91" s="1684" t="s">
        <v>43</v>
      </c>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 ca="1">ROUND((C87+C90+C91)*D92,0)</f>
        <v>8069</v>
      </c>
      <c r="D92" s="2368">
        <v>0.1</v>
      </c>
      <c r="E92" s="3326" t="s">
        <v>1422</v>
      </c>
      <c r="F92" s="3327"/>
      <c r="G92" s="3327"/>
      <c r="H92" s="3328"/>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2639</v>
      </c>
      <c r="D93" s="2362">
        <f>'数据-取费表'!B43</f>
        <v>6.000000000000001E-3</v>
      </c>
      <c r="E93" s="3326" t="s">
        <v>1406</v>
      </c>
      <c r="F93" s="3327"/>
      <c r="G93" s="3327"/>
      <c r="H93" s="332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 ca="1">ROUND((C87+C90+C91)*D94,0)</f>
        <v>16138</v>
      </c>
      <c r="D94" s="2362">
        <v>0.2</v>
      </c>
      <c r="E94" s="3371" t="s">
        <v>1426</v>
      </c>
      <c r="F94" s="3372"/>
      <c r="G94" s="3372"/>
      <c r="H94" s="337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332380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3.0909293804750124</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161791</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6" t="s">
        <v>1428</v>
      </c>
      <c r="B100" s="3277"/>
      <c r="C100" s="3277"/>
      <c r="D100" s="3311"/>
      <c r="E100" s="3277" t="s">
        <v>1429</v>
      </c>
      <c r="F100" s="3277"/>
      <c r="G100" s="3277"/>
      <c r="H100" s="3311"/>
      <c r="I100" s="120"/>
    </row>
    <row r="101" spans="1:35" ht="18.75" customHeight="1">
      <c r="A101" s="3319" t="s">
        <v>1430</v>
      </c>
      <c r="B101" s="3320"/>
      <c r="C101" s="2370" t="str">
        <f>C4</f>
        <v>比较法-办公</v>
      </c>
      <c r="D101" s="2371" t="str">
        <f>D4</f>
        <v>收益法（汇总）</v>
      </c>
      <c r="E101" s="3289" t="s">
        <v>1431</v>
      </c>
      <c r="F101" s="3290"/>
      <c r="G101" s="1686" t="s">
        <v>1432</v>
      </c>
      <c r="H101" s="2380">
        <f ca="1">H118</f>
        <v>461910</v>
      </c>
      <c r="I101" s="120"/>
    </row>
    <row r="102" spans="1:35" ht="18.75" customHeight="1">
      <c r="A102" s="3321" t="s">
        <v>1433</v>
      </c>
      <c r="B102" s="2369" t="s">
        <v>1432</v>
      </c>
      <c r="C102" s="2370">
        <f ca="1">IF(D32="楼面单价",ROUND(C19,0),C19)</f>
        <v>547708</v>
      </c>
      <c r="D102" s="2371">
        <f ca="1">IF(D32="楼面单价",ROUND(D19,0),D19)</f>
        <v>333214</v>
      </c>
      <c r="E102" s="3289"/>
      <c r="F102" s="3290"/>
      <c r="G102" s="1686" t="s">
        <v>1434</v>
      </c>
      <c r="H102" s="2340">
        <f ca="1">I118</f>
        <v>46691</v>
      </c>
      <c r="I102" s="120"/>
    </row>
    <row r="103" spans="1:35" ht="42.75" customHeight="1">
      <c r="A103" s="3321"/>
      <c r="B103" s="2369" t="s">
        <v>1434</v>
      </c>
      <c r="C103" s="2372">
        <f ca="1">C20</f>
        <v>55364</v>
      </c>
      <c r="D103" s="2373">
        <f ca="1">D20</f>
        <v>33682</v>
      </c>
      <c r="E103" s="3282" t="s">
        <v>1435</v>
      </c>
      <c r="F103" s="3283"/>
      <c r="G103" s="1687" t="s">
        <v>1436</v>
      </c>
      <c r="H103" s="2380">
        <f>IF(D36="正常操作",H104+H105+H106,H105+H106)</f>
        <v>0</v>
      </c>
      <c r="I103" s="120"/>
    </row>
    <row r="104" spans="1:35" ht="18.75" customHeight="1">
      <c r="A104" s="3321" t="s">
        <v>1437</v>
      </c>
      <c r="B104" s="2374" t="s">
        <v>1432</v>
      </c>
      <c r="C104" s="2375">
        <f ca="1">H118</f>
        <v>461910</v>
      </c>
      <c r="D104" s="2376"/>
      <c r="E104" s="1554" t="s">
        <v>1438</v>
      </c>
      <c r="F104" s="1547"/>
      <c r="G104" s="1687" t="s">
        <v>1436</v>
      </c>
      <c r="H104" s="2381">
        <f>IF(D36="同一抵押权人同一抵押物续贷",C36&amp;"（续贷，未扣减，详见特别提示）",C36)</f>
        <v>0</v>
      </c>
      <c r="I104" s="120"/>
    </row>
    <row r="105" spans="1:35" ht="18.75" customHeight="1" thickBot="1">
      <c r="A105" s="3331"/>
      <c r="B105" s="2377" t="s">
        <v>1434</v>
      </c>
      <c r="C105" s="2378">
        <f ca="1">I118</f>
        <v>46691</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22" t="str">
        <f>IF(项目基本情况!E8="已注销","——","3.房地产抵押价值")</f>
        <v>3.房地产抵押价值</v>
      </c>
      <c r="F107" s="3290"/>
      <c r="G107" s="1686" t="s">
        <v>1432</v>
      </c>
      <c r="H107" s="2380">
        <f ca="1">IF(E107="——","——",H101-H103)</f>
        <v>461910</v>
      </c>
      <c r="I107" s="120"/>
    </row>
    <row r="108" spans="1:35" ht="18.75" customHeight="1">
      <c r="A108" s="120"/>
      <c r="B108" s="120"/>
      <c r="C108" s="120"/>
      <c r="D108" s="120"/>
      <c r="E108" s="3322"/>
      <c r="F108" s="3290"/>
      <c r="G108" s="1686" t="s">
        <v>1434</v>
      </c>
      <c r="H108" s="2340">
        <f ca="1">IF(H107=H101,H102,ROUND(H107*10000/'数据-汇总表'!E3,0))</f>
        <v>46691</v>
      </c>
      <c r="I108" s="120"/>
    </row>
    <row r="109" spans="1:35" ht="18.75" customHeight="1">
      <c r="A109" s="120"/>
      <c r="B109" s="120"/>
      <c r="C109" s="120"/>
      <c r="D109" s="120"/>
      <c r="E109" s="3322" t="str">
        <f>IF(项目基本情况!E8="已注销及未注销","4.抵押担保权已注销时的房地产抵押价值",IF(项目基本情况!E8="已注销","3.抵押担保权已注销时的房地产抵押价值","——"))</f>
        <v>——</v>
      </c>
      <c r="F109" s="3290"/>
      <c r="G109" s="1686" t="s">
        <v>1432</v>
      </c>
      <c r="H109" s="2383" t="str">
        <f>IF(E109="——","——",H101-H105-H106)</f>
        <v>——</v>
      </c>
      <c r="I109" s="120"/>
    </row>
    <row r="110" spans="1:35" ht="18.75" customHeight="1">
      <c r="A110" s="120"/>
      <c r="B110" s="120"/>
      <c r="C110" s="120"/>
      <c r="D110" s="120"/>
      <c r="E110" s="3322"/>
      <c r="F110" s="3290"/>
      <c r="G110" s="1686" t="s">
        <v>1434</v>
      </c>
      <c r="H110" s="2340" t="str">
        <f>IF(H109="——","——",ROUND(H109*10000/'数据-汇总表'!E3,0))</f>
        <v>——</v>
      </c>
      <c r="I110" s="120"/>
    </row>
    <row r="111" spans="1:35" ht="18.75" customHeight="1">
      <c r="A111" s="120"/>
      <c r="B111" s="120"/>
      <c r="C111" s="120"/>
      <c r="D111" s="120"/>
      <c r="E111" s="3323" t="str">
        <f>IF(项目基本情况!E9="抵押净值",IF(OR(项目基本情况!E8="已注销",项目基本情况!E8="房地产抵押价值"),"4.抵押净值","5.抵押净值"),"——")</f>
        <v>4.抵押净值</v>
      </c>
      <c r="F111" s="3309"/>
      <c r="G111" s="1686" t="s">
        <v>1432</v>
      </c>
      <c r="H111" s="2380">
        <f ca="1">IF(E111="——","——",N59)</f>
        <v>275253</v>
      </c>
      <c r="I111" s="120"/>
    </row>
    <row r="112" spans="1:35" ht="18.75" customHeight="1" thickBot="1">
      <c r="A112" s="120"/>
      <c r="B112" s="120"/>
      <c r="C112" s="120"/>
      <c r="D112" s="120"/>
      <c r="E112" s="3324"/>
      <c r="F112" s="3325"/>
      <c r="G112" s="1689" t="s">
        <v>1434</v>
      </c>
      <c r="H112" s="2384">
        <f ca="1">IF(E111="——","——",N61)</f>
        <v>27823</v>
      </c>
      <c r="I112" s="120"/>
    </row>
    <row r="113" spans="1:27" ht="18.75" customHeight="1">
      <c r="A113" s="120"/>
      <c r="B113" s="120"/>
      <c r="C113" s="120"/>
      <c r="D113" s="120"/>
      <c r="E113" s="3332" t="s">
        <v>1440</v>
      </c>
      <c r="F113" s="3332"/>
      <c r="G113" s="3332"/>
      <c r="H113" s="3332"/>
      <c r="I113" s="120"/>
    </row>
    <row r="114" spans="1:27" ht="3.75" customHeight="1">
      <c r="A114" s="645"/>
      <c r="B114" s="645"/>
      <c r="C114" s="645"/>
      <c r="D114" s="645"/>
      <c r="E114" s="1670"/>
      <c r="F114" s="1670"/>
      <c r="G114" s="1670"/>
      <c r="H114" s="1670"/>
      <c r="I114" s="645"/>
    </row>
    <row r="115" spans="1:27" ht="18.75" customHeight="1">
      <c r="A115" s="3340" t="s">
        <v>1442</v>
      </c>
      <c r="B115" s="3341"/>
      <c r="C115" s="3341"/>
      <c r="D115" s="3341"/>
      <c r="E115" s="3341"/>
      <c r="F115" s="3341"/>
      <c r="G115" s="3341"/>
      <c r="H115" s="3341"/>
      <c r="I115" s="3342"/>
    </row>
    <row r="116" spans="1:27" ht="27" customHeight="1">
      <c r="A116" s="3297" t="s">
        <v>1443</v>
      </c>
      <c r="B116" s="3301" t="s">
        <v>1444</v>
      </c>
      <c r="C116" s="3301" t="s">
        <v>1445</v>
      </c>
      <c r="D116" s="3307" t="s">
        <v>1446</v>
      </c>
      <c r="E116" s="3308"/>
      <c r="F116" s="3339" t="s">
        <v>1447</v>
      </c>
      <c r="G116" s="3339"/>
      <c r="H116" s="3297" t="s">
        <v>1448</v>
      </c>
      <c r="I116" s="3297"/>
    </row>
    <row r="117" spans="1:27" ht="18.75" customHeight="1">
      <c r="A117" s="3297"/>
      <c r="B117" s="3302"/>
      <c r="C117" s="330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98928.560000000012</v>
      </c>
      <c r="C118" s="2149">
        <f>M19</f>
        <v>19470.62</v>
      </c>
      <c r="D118" s="2149">
        <f ca="1">ROUND(IF(D32="总价",C34,E118*B118/10000),0)</f>
        <v>369066</v>
      </c>
      <c r="E118" s="2149">
        <f ca="1">ROUND(IF(C33="自定义",IF(D32="楼面单价",C34,D118*10000/B118),I118-G118),0)</f>
        <v>37306</v>
      </c>
      <c r="F118" s="2149">
        <f ca="1">ROUND(IF(D32="总价",C35,G118*B118/10000),0)</f>
        <v>92844</v>
      </c>
      <c r="G118" s="2149">
        <f ca="1">ROUND(IF(D32="楼面单价",C35,F118*10000/B118),0)</f>
        <v>9385</v>
      </c>
      <c r="H118" s="2149">
        <f ca="1">ROUND(IF(D32="总价",C32,I118*B118/10000),0)</f>
        <v>461910</v>
      </c>
      <c r="I118" s="2149">
        <f ca="1">ROUND(IF(D32="楼面单价",C32,H118*10000/B118),0)</f>
        <v>46691</v>
      </c>
    </row>
    <row r="119" spans="1:27" ht="18.75" customHeight="1">
      <c r="A119" s="3297" t="s">
        <v>1452</v>
      </c>
      <c r="B119" s="3297"/>
      <c r="C119" s="3297"/>
      <c r="D119" s="3303" t="str">
        <f ca="1">NUMBERSTRING(INT(D118*10000),2)&amp;"元整"</f>
        <v>叁拾陆亿玖仟零陆拾陆万元整</v>
      </c>
      <c r="E119" s="3304"/>
      <c r="F119" s="3303" t="str">
        <f ca="1">NUMBERSTRING(INT(F118*10000),2)&amp;"元整"</f>
        <v>玖亿贰仟捌佰肆拾肆万元整</v>
      </c>
      <c r="G119" s="3304"/>
      <c r="H119" s="3303" t="str">
        <f ca="1">NUMBERSTRING(INT(H118*10000),2)&amp;"元整"</f>
        <v>肆拾陆亿壹仟玖佰壹拾万元整</v>
      </c>
      <c r="I119" s="3304"/>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3" t="s">
        <v>1452</v>
      </c>
      <c r="B121" s="3305"/>
      <c r="C121" s="3304"/>
      <c r="D121" s="3303" t="str">
        <f>IF(D120=0,"零元整",NUMBERSTRING(INT(D120*10000),2)&amp;"元整")</f>
        <v>零元整</v>
      </c>
      <c r="E121" s="3305"/>
      <c r="F121" s="3305"/>
      <c r="G121" s="3305"/>
      <c r="H121" s="3305"/>
      <c r="I121" s="3304"/>
      <c r="AA121" s="683"/>
    </row>
    <row r="122" spans="1:27" ht="18.75" customHeight="1">
      <c r="A122" s="3309" t="str">
        <f>IF(项目基本情况!B9="房地产市场价值","",MID(E107,3,LEN(E107)-2))</f>
        <v>房地产抵押价值</v>
      </c>
      <c r="B122" s="3309"/>
      <c r="C122" s="3309"/>
      <c r="D122" s="3298">
        <f ca="1">H107</f>
        <v>461910</v>
      </c>
      <c r="E122" s="3299"/>
      <c r="F122" s="3299"/>
      <c r="G122" s="3299"/>
      <c r="H122" s="3299"/>
      <c r="I122" s="3300"/>
      <c r="AA122" s="683"/>
    </row>
    <row r="123" spans="1:27" ht="18.75" customHeight="1">
      <c r="A123" s="3297" t="s">
        <v>1452</v>
      </c>
      <c r="B123" s="3297"/>
      <c r="C123" s="3297"/>
      <c r="D123" s="3303" t="str">
        <f ca="1">NUMBERSTRING(INT(D122*10000),2)&amp;"元整"</f>
        <v>肆拾陆亿壹仟玖佰壹拾万元整</v>
      </c>
      <c r="E123" s="3305"/>
      <c r="F123" s="3305"/>
      <c r="G123" s="3305"/>
      <c r="H123" s="3305"/>
      <c r="I123" s="3304"/>
      <c r="AA123" s="683"/>
    </row>
    <row r="124" spans="1:27" ht="18.75" customHeight="1">
      <c r="A124" s="3309" t="str">
        <f>IF(项目基本情况!B9="房地产市场价值","",MID(E109,3,LEN(E109)-2))</f>
        <v/>
      </c>
      <c r="B124" s="3309"/>
      <c r="C124" s="3309"/>
      <c r="D124" s="3298" t="str">
        <f>H109</f>
        <v>——</v>
      </c>
      <c r="E124" s="3299"/>
      <c r="F124" s="3299"/>
      <c r="G124" s="3299"/>
      <c r="H124" s="3299"/>
      <c r="I124" s="3300"/>
      <c r="AA124" s="683"/>
    </row>
    <row r="125" spans="1:27" ht="18.75" customHeight="1">
      <c r="A125" s="3297" t="s">
        <v>1452</v>
      </c>
      <c r="B125" s="3297"/>
      <c r="C125" s="3297"/>
      <c r="D125" s="3303" t="e">
        <f>NUMBERSTRING(INT(D124*10000),2)&amp;"元整"</f>
        <v>#VALUE!</v>
      </c>
      <c r="E125" s="3305"/>
      <c r="F125" s="3305"/>
      <c r="G125" s="3305"/>
      <c r="H125" s="3305"/>
      <c r="I125" s="3304"/>
      <c r="AA125" s="683"/>
    </row>
    <row r="126" spans="1:27" ht="18.75" customHeight="1">
      <c r="A126" s="3309" t="str">
        <f>IF(项目基本情况!B9="房地产市场价值","",MID(E111,3,LEN(E111)-2))</f>
        <v>抵押净值</v>
      </c>
      <c r="B126" s="3309"/>
      <c r="C126" s="3309"/>
      <c r="D126" s="3298">
        <f ca="1">H111</f>
        <v>275253</v>
      </c>
      <c r="E126" s="3299"/>
      <c r="F126" s="3299"/>
      <c r="G126" s="3299"/>
      <c r="H126" s="3299"/>
      <c r="I126" s="3300"/>
      <c r="AA126" s="683"/>
    </row>
    <row r="127" spans="1:27" ht="18.75" customHeight="1">
      <c r="A127" s="3297" t="s">
        <v>1452</v>
      </c>
      <c r="B127" s="3297"/>
      <c r="C127" s="3297"/>
      <c r="D127" s="3303" t="str">
        <f ca="1">NUMBERSTRING(INT(D126*10000),2)&amp;"元整"</f>
        <v>贰拾柒亿伍仟贰佰伍拾叁万元整</v>
      </c>
      <c r="E127" s="3305"/>
      <c r="F127" s="3305"/>
      <c r="G127" s="3305"/>
      <c r="H127" s="3305"/>
      <c r="I127" s="3304"/>
      <c r="AA127" s="683"/>
    </row>
    <row r="128" spans="1:27" ht="21.75" customHeight="1">
      <c r="A128" s="3306" t="s">
        <v>1453</v>
      </c>
      <c r="B128" s="3306"/>
      <c r="C128" s="3306"/>
      <c r="D128" s="3306"/>
      <c r="E128" s="3306"/>
      <c r="F128" s="3306"/>
      <c r="G128" s="3306"/>
      <c r="H128" s="3306"/>
      <c r="I128" s="330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4" t="str">
        <f>项目基本情况!B1</f>
        <v>北京市房地产抵押价值预评估</v>
      </c>
      <c r="C37" s="3194"/>
      <c r="D37" s="3194"/>
      <c r="E37" s="3194"/>
      <c r="F37" s="3194"/>
      <c r="G37" s="3194"/>
      <c r="H37" s="3194"/>
      <c r="I37" s="319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F132"/>
  <sheetViews>
    <sheetView view="pageBreakPreview" topLeftCell="A4" zoomScale="85" zoomScaleNormal="70" zoomScaleSheetLayoutView="85" workbookViewId="0">
      <selection activeCell="L25" sqref="L2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10.625" style="852" bestFit="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t="s">
        <v>3696</v>
      </c>
      <c r="F1" s="1734" t="s">
        <v>3697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547708</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55364</v>
      </c>
      <c r="C3" s="343" t="s">
        <v>1768</v>
      </c>
      <c r="D3" s="342">
        <f>IF(D1="",'数据-汇总表'!E3,SUMIF('数据-汇总表'!$C19:$C33,D1,'数据-汇总表'!$E19:$E33))</f>
        <v>98928.560000000012</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397" t="s">
        <v>1770</v>
      </c>
      <c r="D4" s="3398"/>
      <c r="E4" s="3399" t="s">
        <v>1771</v>
      </c>
      <c r="F4" s="3400"/>
      <c r="G4" s="3397" t="s">
        <v>1772</v>
      </c>
      <c r="H4" s="3398"/>
      <c r="I4" s="3397" t="s">
        <v>1773</v>
      </c>
      <c r="J4" s="3398"/>
      <c r="K4" s="536" t="s">
        <v>1774</v>
      </c>
      <c r="L4" s="2485"/>
      <c r="M4" s="2486"/>
      <c r="N4" s="2486"/>
      <c r="O4" s="2486"/>
      <c r="P4" s="3401" t="s">
        <v>1775</v>
      </c>
      <c r="Q4" s="3402"/>
      <c r="R4" s="3381" t="s">
        <v>1771</v>
      </c>
      <c r="S4" s="3382"/>
      <c r="T4" s="3381" t="s">
        <v>1772</v>
      </c>
      <c r="U4" s="3382"/>
      <c r="V4" s="3409" t="s">
        <v>1773</v>
      </c>
      <c r="W4" s="3409"/>
      <c r="X4" s="1808"/>
      <c r="Y4" s="3381" t="s">
        <v>1775</v>
      </c>
      <c r="Z4" s="3382"/>
      <c r="AA4" s="3376" t="s">
        <v>1771</v>
      </c>
      <c r="AB4" s="3376" t="s">
        <v>1772</v>
      </c>
      <c r="AC4" s="3394" t="s">
        <v>1773</v>
      </c>
    </row>
    <row r="5" spans="1:29" ht="15">
      <c r="A5" s="347"/>
      <c r="B5" s="348"/>
      <c r="C5" s="3387" t="s">
        <v>3698</v>
      </c>
      <c r="D5" s="3388"/>
      <c r="E5" s="3385" t="s">
        <v>3740</v>
      </c>
      <c r="F5" s="3386"/>
      <c r="G5" s="3387" t="s">
        <v>3755</v>
      </c>
      <c r="H5" s="3388"/>
      <c r="I5" s="3387" t="s">
        <v>3742</v>
      </c>
      <c r="J5" s="3388"/>
      <c r="K5" s="536"/>
      <c r="L5" s="2485"/>
      <c r="M5" s="2486"/>
      <c r="N5" s="2486"/>
      <c r="O5" s="2486"/>
      <c r="P5" s="3403"/>
      <c r="Q5" s="3404"/>
      <c r="R5" s="3383"/>
      <c r="S5" s="3384"/>
      <c r="T5" s="3383"/>
      <c r="U5" s="3384"/>
      <c r="V5" s="3410"/>
      <c r="W5" s="3410"/>
      <c r="X5" s="1264"/>
      <c r="Y5" s="3383"/>
      <c r="Z5" s="3384"/>
      <c r="AA5" s="3377"/>
      <c r="AB5" s="3377"/>
      <c r="AC5" s="3395"/>
    </row>
    <row r="6" spans="1:29" ht="15.75" thickBot="1">
      <c r="A6" s="349"/>
      <c r="B6" s="350"/>
      <c r="C6" s="3389" t="s">
        <v>1677</v>
      </c>
      <c r="D6" s="3390"/>
      <c r="E6" s="3391" t="s">
        <v>1677</v>
      </c>
      <c r="F6" s="3392"/>
      <c r="G6" s="3389" t="s">
        <v>1677</v>
      </c>
      <c r="H6" s="3390"/>
      <c r="I6" s="3389" t="s">
        <v>1677</v>
      </c>
      <c r="J6" s="3390"/>
      <c r="K6" s="536" t="s">
        <v>1678</v>
      </c>
      <c r="L6" s="2485"/>
      <c r="M6" s="2486"/>
      <c r="N6" s="2486"/>
      <c r="O6" s="2486"/>
      <c r="P6" s="3405"/>
      <c r="Q6" s="3406"/>
      <c r="R6" s="3383"/>
      <c r="S6" s="3384"/>
      <c r="T6" s="3407"/>
      <c r="U6" s="3408"/>
      <c r="V6" s="3410"/>
      <c r="W6" s="3410"/>
      <c r="X6" s="1264"/>
      <c r="Y6" s="3407"/>
      <c r="Z6" s="3408"/>
      <c r="AA6" s="3378"/>
      <c r="AB6" s="3378"/>
      <c r="AC6" s="3396"/>
    </row>
    <row r="7" spans="1:29" s="101" customFormat="1" ht="15.75" thickBot="1">
      <c r="A7" s="351" t="s">
        <v>1679</v>
      </c>
      <c r="B7" s="352"/>
      <c r="C7" s="353">
        <f>'数据-取费表'!B2</f>
        <v>45600</v>
      </c>
      <c r="D7" s="354">
        <v>100</v>
      </c>
      <c r="E7" s="355">
        <v>45104</v>
      </c>
      <c r="F7" s="356">
        <f>SUMIF(59:59,YEAR(E7)&amp;"-"&amp;MONTH(E7),60:60)</f>
        <v>100</v>
      </c>
      <c r="G7" s="355">
        <v>44896</v>
      </c>
      <c r="H7" s="354">
        <f>SUMIF(59:59,YEAR(G7)&amp;"-"&amp;MONTH(G7),60:60)</f>
        <v>100</v>
      </c>
      <c r="I7" s="355">
        <v>44805</v>
      </c>
      <c r="J7" s="354">
        <f>SUMIF(59:59,YEAR(I7)&amp;"-"&amp;MONTH(I7),60:60)</f>
        <v>100</v>
      </c>
      <c r="K7" s="37"/>
      <c r="L7" s="2487"/>
      <c r="M7" s="2439"/>
      <c r="N7" s="2439"/>
      <c r="O7" s="2439"/>
      <c r="P7" s="3411" t="s">
        <v>1680</v>
      </c>
      <c r="Q7" s="3412"/>
      <c r="R7" s="663" t="s">
        <v>14</v>
      </c>
      <c r="S7" s="664">
        <f t="shared" ref="S7:S15" si="0">F7</f>
        <v>100</v>
      </c>
      <c r="T7" s="663" t="s">
        <v>14</v>
      </c>
      <c r="U7" s="664">
        <f t="shared" ref="U7:U15" si="1">H7</f>
        <v>100</v>
      </c>
      <c r="V7" s="663" t="s">
        <v>14</v>
      </c>
      <c r="W7" s="664">
        <f t="shared" ref="W7:W15" si="2">J7</f>
        <v>100</v>
      </c>
      <c r="X7" s="665"/>
      <c r="Y7" s="3379" t="s">
        <v>1680</v>
      </c>
      <c r="Z7" s="3380"/>
      <c r="AA7" s="49">
        <f>D7/F7</f>
        <v>1</v>
      </c>
      <c r="AB7" s="49">
        <f>D7/H7</f>
        <v>1</v>
      </c>
      <c r="AC7" s="801">
        <f>D7/J7</f>
        <v>1</v>
      </c>
    </row>
    <row r="8" spans="1:29" s="101" customFormat="1" ht="15.75" thickBot="1">
      <c r="A8" s="351" t="s">
        <v>1681</v>
      </c>
      <c r="B8" s="352"/>
      <c r="C8" s="357" t="s">
        <v>3621</v>
      </c>
      <c r="D8" s="354">
        <v>100</v>
      </c>
      <c r="E8" s="357" t="s">
        <v>3621</v>
      </c>
      <c r="F8" s="356">
        <f>SUMIF(62:62,E8,63:63)-SUMIF(62:62,C8,63:63)+100</f>
        <v>100</v>
      </c>
      <c r="G8" s="357" t="s">
        <v>3621</v>
      </c>
      <c r="H8" s="354">
        <f>SUMIF(62:62,G8,63:63)-SUMIF(62:62,C8,63:63)+100</f>
        <v>100</v>
      </c>
      <c r="I8" s="357" t="s">
        <v>3621</v>
      </c>
      <c r="J8" s="354">
        <f>SUMIF(62:62,I8,63:63)-SUMIF(62:62,C8,63:63)+100</f>
        <v>100</v>
      </c>
      <c r="K8" s="37"/>
      <c r="L8" s="2487"/>
      <c r="M8" s="2439"/>
      <c r="N8" s="2439"/>
      <c r="O8" s="2439"/>
      <c r="P8" s="3411" t="s">
        <v>1683</v>
      </c>
      <c r="Q8" s="3380"/>
      <c r="R8" s="663" t="s">
        <v>14</v>
      </c>
      <c r="S8" s="664">
        <f t="shared" si="0"/>
        <v>100</v>
      </c>
      <c r="T8" s="663" t="s">
        <v>14</v>
      </c>
      <c r="U8" s="664">
        <f t="shared" si="1"/>
        <v>100</v>
      </c>
      <c r="V8" s="663" t="s">
        <v>14</v>
      </c>
      <c r="W8" s="664">
        <f t="shared" si="2"/>
        <v>100</v>
      </c>
      <c r="X8" s="665"/>
      <c r="Y8" s="3379" t="s">
        <v>1683</v>
      </c>
      <c r="Z8" s="3380"/>
      <c r="AA8" s="49">
        <f t="shared" ref="AA8:AA47" si="3">D8/F8</f>
        <v>1</v>
      </c>
      <c r="AB8" s="49">
        <f t="shared" ref="AB8:AB47" si="4">D8/H8</f>
        <v>1</v>
      </c>
      <c r="AC8" s="801">
        <f t="shared" ref="AC8:AC47" si="5">D8/J8</f>
        <v>1</v>
      </c>
    </row>
    <row r="9" spans="1:29" s="101" customFormat="1">
      <c r="A9" s="358" t="s">
        <v>1684</v>
      </c>
      <c r="B9" s="59" t="s">
        <v>1685</v>
      </c>
      <c r="C9" s="3168" t="s">
        <v>3701</v>
      </c>
      <c r="D9" s="58">
        <v>100</v>
      </c>
      <c r="E9" s="3169" t="s">
        <v>3702</v>
      </c>
      <c r="F9" s="58">
        <f>SUMIF(64:64,E9,65:65)-SUMIF(64:64,C9,65:65)+100</f>
        <v>93</v>
      </c>
      <c r="G9" s="3169" t="s">
        <v>3702</v>
      </c>
      <c r="H9" s="58">
        <f>SUMIF(64:64,G9,65:65)-SUMIF(64:64,C9,65:65)+100</f>
        <v>93</v>
      </c>
      <c r="I9" s="3169" t="s">
        <v>3702</v>
      </c>
      <c r="J9" s="58">
        <f>SUMIF(64:64,I9,65:65)-SUMIF(64:64,C9,65:65)+100</f>
        <v>93</v>
      </c>
      <c r="K9" s="37"/>
      <c r="L9" s="2487"/>
      <c r="M9" s="2439"/>
      <c r="N9" s="2439"/>
      <c r="O9" s="2439"/>
      <c r="P9" s="3393" t="s">
        <v>1686</v>
      </c>
      <c r="Q9" s="529" t="str">
        <f t="shared" ref="Q9:Q15" si="6">B9</f>
        <v>用途</v>
      </c>
      <c r="R9" s="663" t="s">
        <v>14</v>
      </c>
      <c r="S9" s="664">
        <f t="shared" si="0"/>
        <v>93</v>
      </c>
      <c r="T9" s="663" t="s">
        <v>14</v>
      </c>
      <c r="U9" s="664">
        <f t="shared" si="1"/>
        <v>93</v>
      </c>
      <c r="V9" s="663" t="s">
        <v>14</v>
      </c>
      <c r="W9" s="664">
        <f t="shared" si="2"/>
        <v>93</v>
      </c>
      <c r="X9" s="665"/>
      <c r="Y9" s="3352" t="s">
        <v>1687</v>
      </c>
      <c r="Z9" s="49" t="str">
        <f t="shared" ref="Z9:Z15" si="7">Q9</f>
        <v>用途</v>
      </c>
      <c r="AA9" s="49">
        <f t="shared" si="3"/>
        <v>1.075268817204301</v>
      </c>
      <c r="AB9" s="49">
        <f t="shared" si="4"/>
        <v>1.075268817204301</v>
      </c>
      <c r="AC9" s="801">
        <f t="shared" si="5"/>
        <v>1.075268817204301</v>
      </c>
    </row>
    <row r="10" spans="1:29" s="365" customFormat="1" ht="27.75" thickBot="1">
      <c r="A10" s="362"/>
      <c r="B10" s="363" t="s">
        <v>1688</v>
      </c>
      <c r="C10" s="367" t="s">
        <v>3718</v>
      </c>
      <c r="D10" s="118">
        <v>100</v>
      </c>
      <c r="E10" s="367" t="s">
        <v>3718</v>
      </c>
      <c r="F10" s="118">
        <f>SUMIF(66:66,E10,67:67)-SUMIF(66:66,C10,67:67)+100</f>
        <v>100</v>
      </c>
      <c r="G10" s="367" t="s">
        <v>3718</v>
      </c>
      <c r="H10" s="118">
        <f>SUMIF(66:66,G10,67:67)-SUMIF(66:66,C10,67:67)+100</f>
        <v>100</v>
      </c>
      <c r="I10" s="3131" t="s">
        <v>3743</v>
      </c>
      <c r="J10" s="118">
        <f>SUMIF(66:66,I10,67:67)-SUMIF(66:66,C10,67:67)+100</f>
        <v>95</v>
      </c>
      <c r="K10" s="37"/>
      <c r="L10" s="2488"/>
      <c r="M10" s="2489"/>
      <c r="N10" s="2489"/>
      <c r="O10" s="2489"/>
      <c r="P10" s="3393"/>
      <c r="Q10" s="529" t="str">
        <f t="shared" si="6"/>
        <v>土地使用年限（年）</v>
      </c>
      <c r="R10" s="663" t="s">
        <v>14</v>
      </c>
      <c r="S10" s="664">
        <f t="shared" si="0"/>
        <v>100</v>
      </c>
      <c r="T10" s="663" t="s">
        <v>14</v>
      </c>
      <c r="U10" s="664">
        <f t="shared" si="1"/>
        <v>100</v>
      </c>
      <c r="V10" s="663" t="s">
        <v>14</v>
      </c>
      <c r="W10" s="664">
        <f t="shared" si="2"/>
        <v>95</v>
      </c>
      <c r="X10" s="665"/>
      <c r="Y10" s="3352"/>
      <c r="Z10" s="49" t="str">
        <f t="shared" si="7"/>
        <v>土地使用年限（年）</v>
      </c>
      <c r="AA10" s="49">
        <f t="shared" si="3"/>
        <v>1</v>
      </c>
      <c r="AB10" s="49">
        <f t="shared" si="4"/>
        <v>1</v>
      </c>
      <c r="AC10" s="801">
        <f t="shared" si="5"/>
        <v>1.0526315789473684</v>
      </c>
    </row>
    <row r="11" spans="1:29" ht="15.75" hidden="1" thickBot="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393"/>
      <c r="Q11" s="529" t="str">
        <f t="shared" si="6"/>
        <v>容积率</v>
      </c>
      <c r="R11" s="663" t="s">
        <v>14</v>
      </c>
      <c r="S11" s="664">
        <f t="shared" si="0"/>
        <v>100</v>
      </c>
      <c r="T11" s="663" t="s">
        <v>14</v>
      </c>
      <c r="U11" s="664">
        <f t="shared" si="1"/>
        <v>100</v>
      </c>
      <c r="V11" s="663" t="s">
        <v>14</v>
      </c>
      <c r="W11" s="664">
        <f t="shared" si="2"/>
        <v>100</v>
      </c>
      <c r="X11" s="665"/>
      <c r="Y11" s="3352"/>
      <c r="Z11" s="49" t="str">
        <f t="shared" si="7"/>
        <v>容积率</v>
      </c>
      <c r="AA11" s="49">
        <f t="shared" si="3"/>
        <v>1</v>
      </c>
      <c r="AB11" s="49">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393"/>
      <c r="Q12" s="529">
        <f t="shared" si="6"/>
        <v>111</v>
      </c>
      <c r="R12" s="663" t="s">
        <v>14</v>
      </c>
      <c r="S12" s="664">
        <f t="shared" si="0"/>
        <v>100</v>
      </c>
      <c r="T12" s="663" t="s">
        <v>14</v>
      </c>
      <c r="U12" s="664">
        <f t="shared" si="1"/>
        <v>100</v>
      </c>
      <c r="V12" s="663" t="s">
        <v>14</v>
      </c>
      <c r="W12" s="664">
        <f t="shared" si="2"/>
        <v>100</v>
      </c>
      <c r="X12" s="665"/>
      <c r="Y12" s="3352"/>
      <c r="Z12" s="49">
        <f t="shared" si="7"/>
        <v>111</v>
      </c>
      <c r="AA12" s="49">
        <f>D12/F12</f>
        <v>1</v>
      </c>
      <c r="AB12" s="49">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393"/>
      <c r="Q13" s="529">
        <f t="shared" si="6"/>
        <v>111</v>
      </c>
      <c r="R13" s="663" t="s">
        <v>14</v>
      </c>
      <c r="S13" s="664">
        <f t="shared" si="0"/>
        <v>100</v>
      </c>
      <c r="T13" s="663" t="s">
        <v>14</v>
      </c>
      <c r="U13" s="664">
        <f t="shared" si="1"/>
        <v>100</v>
      </c>
      <c r="V13" s="663" t="s">
        <v>14</v>
      </c>
      <c r="W13" s="664">
        <f t="shared" si="2"/>
        <v>100</v>
      </c>
      <c r="X13" s="665"/>
      <c r="Y13" s="3352"/>
      <c r="Z13" s="49">
        <f t="shared" si="7"/>
        <v>111</v>
      </c>
      <c r="AA13" s="49">
        <f t="shared" si="3"/>
        <v>1</v>
      </c>
      <c r="AB13" s="49">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393"/>
      <c r="Q14" s="529">
        <f t="shared" si="6"/>
        <v>111</v>
      </c>
      <c r="R14" s="663" t="s">
        <v>14</v>
      </c>
      <c r="S14" s="664">
        <f t="shared" si="0"/>
        <v>100</v>
      </c>
      <c r="T14" s="663" t="s">
        <v>14</v>
      </c>
      <c r="U14" s="664">
        <f t="shared" si="1"/>
        <v>100</v>
      </c>
      <c r="V14" s="663" t="s">
        <v>14</v>
      </c>
      <c r="W14" s="664">
        <f t="shared" si="2"/>
        <v>100</v>
      </c>
      <c r="X14" s="665"/>
      <c r="Y14" s="3352"/>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97</v>
      </c>
      <c r="G15" s="380"/>
      <c r="H15" s="379">
        <f>SUMIF(77:77,G16,78:78)-SUMIF(77:77,C16,78:78)+100</f>
        <v>100</v>
      </c>
      <c r="I15" s="380"/>
      <c r="J15" s="379">
        <f>SUMIF(77:77,I16,78:78)-SUMIF(77:77,C16,78:78)+100</f>
        <v>97</v>
      </c>
      <c r="K15" s="539">
        <v>3</v>
      </c>
      <c r="L15" s="2491"/>
      <c r="M15" s="2486"/>
      <c r="N15" s="2486"/>
      <c r="O15" s="2486"/>
      <c r="P15" s="3413" t="s">
        <v>1691</v>
      </c>
      <c r="Q15" s="1262" t="str">
        <f t="shared" si="6"/>
        <v>办公集聚程度</v>
      </c>
      <c r="R15" s="666" t="s">
        <v>14</v>
      </c>
      <c r="S15" s="667">
        <f t="shared" si="0"/>
        <v>97</v>
      </c>
      <c r="T15" s="666" t="s">
        <v>14</v>
      </c>
      <c r="U15" s="667">
        <f t="shared" si="1"/>
        <v>100</v>
      </c>
      <c r="V15" s="666" t="s">
        <v>14</v>
      </c>
      <c r="W15" s="667">
        <f t="shared" si="2"/>
        <v>97</v>
      </c>
      <c r="X15" s="1264"/>
      <c r="Y15" s="3415" t="s">
        <v>1691</v>
      </c>
      <c r="Z15" s="1263" t="str">
        <f t="shared" si="7"/>
        <v>办公集聚程度</v>
      </c>
      <c r="AA15" s="1263">
        <f t="shared" si="3"/>
        <v>1.0309278350515463</v>
      </c>
      <c r="AB15" s="1263">
        <f t="shared" si="4"/>
        <v>1</v>
      </c>
      <c r="AC15" s="1811">
        <f t="shared" si="5"/>
        <v>1.0309278350515463</v>
      </c>
    </row>
    <row r="16" spans="1:29" ht="15">
      <c r="A16" s="366"/>
      <c r="B16" s="554"/>
      <c r="C16" s="1757" t="s">
        <v>3667</v>
      </c>
      <c r="D16" s="386"/>
      <c r="E16" s="385" t="s">
        <v>3666</v>
      </c>
      <c r="F16" s="386"/>
      <c r="G16" s="385" t="s">
        <v>3667</v>
      </c>
      <c r="H16" s="388"/>
      <c r="I16" s="385" t="s">
        <v>3666</v>
      </c>
      <c r="J16" s="386"/>
      <c r="K16" s="540"/>
      <c r="L16" s="2491"/>
      <c r="M16" s="2486"/>
      <c r="N16" s="2486"/>
      <c r="O16" s="2486"/>
      <c r="P16" s="3414"/>
      <c r="Q16" s="1262"/>
      <c r="R16" s="666"/>
      <c r="S16" s="667"/>
      <c r="T16" s="666"/>
      <c r="U16" s="667"/>
      <c r="V16" s="666"/>
      <c r="W16" s="667"/>
      <c r="X16" s="1264"/>
      <c r="Y16" s="3416"/>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2"/>
      <c r="H17" s="393">
        <f>SUMIF(79:79,G18,80:80)-SUMIF(79:79,C18,80:80)+100</f>
        <v>100</v>
      </c>
      <c r="I17" s="392"/>
      <c r="J17" s="393">
        <f>SUMIF(79:79,I18,80:80)-SUMIF(79:79,C18,80:80)+100</f>
        <v>100</v>
      </c>
      <c r="K17" s="539">
        <v>3</v>
      </c>
      <c r="L17" s="2491"/>
      <c r="M17" s="2486"/>
      <c r="N17" s="2486"/>
      <c r="O17" s="2486"/>
      <c r="P17" s="3414"/>
      <c r="Q17" s="1262" t="str">
        <f>B17</f>
        <v>交通便捷度</v>
      </c>
      <c r="R17" s="666" t="s">
        <v>14</v>
      </c>
      <c r="S17" s="667">
        <f>F17</f>
        <v>100</v>
      </c>
      <c r="T17" s="666" t="s">
        <v>14</v>
      </c>
      <c r="U17" s="667">
        <f>H17</f>
        <v>100</v>
      </c>
      <c r="V17" s="666" t="s">
        <v>14</v>
      </c>
      <c r="W17" s="667">
        <f>J17</f>
        <v>100</v>
      </c>
      <c r="X17" s="1264"/>
      <c r="Y17" s="3416"/>
      <c r="Z17" s="1263" t="str">
        <f>Q17</f>
        <v>交通便捷度</v>
      </c>
      <c r="AA17" s="1263">
        <f t="shared" si="3"/>
        <v>1</v>
      </c>
      <c r="AB17" s="1263">
        <f t="shared" si="4"/>
        <v>1</v>
      </c>
      <c r="AC17" s="1811">
        <f t="shared" si="5"/>
        <v>1</v>
      </c>
    </row>
    <row r="18" spans="1:29" ht="15">
      <c r="A18" s="366"/>
      <c r="B18" s="400"/>
      <c r="C18" s="1813" t="s">
        <v>3667</v>
      </c>
      <c r="D18" s="388"/>
      <c r="E18" s="1755" t="s">
        <v>3667</v>
      </c>
      <c r="F18" s="388"/>
      <c r="G18" s="1755" t="s">
        <v>3667</v>
      </c>
      <c r="H18" s="386"/>
      <c r="I18" s="1755" t="s">
        <v>3667</v>
      </c>
      <c r="J18" s="386"/>
      <c r="K18" s="540"/>
      <c r="L18" s="2491"/>
      <c r="M18" s="2486"/>
      <c r="N18" s="2486"/>
      <c r="O18" s="2486"/>
      <c r="P18" s="3414"/>
      <c r="Q18" s="1262"/>
      <c r="R18" s="666"/>
      <c r="S18" s="667"/>
      <c r="T18" s="666"/>
      <c r="U18" s="667"/>
      <c r="V18" s="666"/>
      <c r="W18" s="667"/>
      <c r="X18" s="1264"/>
      <c r="Y18" s="3416"/>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7"/>
      <c r="H19" s="388">
        <f>SUMIF(81:81,G20,82:82)-SUMIF(81:81,C20,82:82)+100</f>
        <v>100</v>
      </c>
      <c r="I19" s="397"/>
      <c r="J19" s="388">
        <f>SUMIF(81:81,I20,82:82)-SUMIF(81:81,C20,82:82)+100</f>
        <v>100</v>
      </c>
      <c r="K19" s="539">
        <v>3</v>
      </c>
      <c r="L19" s="2491"/>
      <c r="M19" s="2486"/>
      <c r="N19" s="2486"/>
      <c r="O19" s="2486"/>
      <c r="P19" s="3414"/>
      <c r="Q19" s="1262" t="str">
        <f>B19</f>
        <v>公共配套设施</v>
      </c>
      <c r="R19" s="666" t="s">
        <v>14</v>
      </c>
      <c r="S19" s="667">
        <f>F19</f>
        <v>100</v>
      </c>
      <c r="T19" s="666" t="s">
        <v>14</v>
      </c>
      <c r="U19" s="667">
        <f>H19</f>
        <v>100</v>
      </c>
      <c r="V19" s="666" t="s">
        <v>14</v>
      </c>
      <c r="W19" s="667">
        <f>J19</f>
        <v>100</v>
      </c>
      <c r="X19" s="1264"/>
      <c r="Y19" s="3416"/>
      <c r="Z19" s="1263" t="str">
        <f>Q19</f>
        <v>公共配套设施</v>
      </c>
      <c r="AA19" s="1263">
        <f t="shared" si="3"/>
        <v>1</v>
      </c>
      <c r="AB19" s="1263">
        <f t="shared" si="4"/>
        <v>1</v>
      </c>
      <c r="AC19" s="1811">
        <f t="shared" si="5"/>
        <v>1</v>
      </c>
    </row>
    <row r="20" spans="1:29" ht="15">
      <c r="A20" s="366"/>
      <c r="B20" s="400"/>
      <c r="C20" s="1757" t="s">
        <v>3667</v>
      </c>
      <c r="D20" s="386"/>
      <c r="E20" s="1750" t="s">
        <v>3667</v>
      </c>
      <c r="F20" s="386"/>
      <c r="G20" s="1750" t="s">
        <v>3667</v>
      </c>
      <c r="H20" s="386"/>
      <c r="I20" s="1750" t="s">
        <v>3667</v>
      </c>
      <c r="J20" s="386"/>
      <c r="K20" s="540"/>
      <c r="L20" s="2491"/>
      <c r="M20" s="2486"/>
      <c r="N20" s="2486"/>
      <c r="O20" s="2486"/>
      <c r="P20" s="3414"/>
      <c r="Q20" s="1262"/>
      <c r="R20" s="666"/>
      <c r="S20" s="667"/>
      <c r="T20" s="666"/>
      <c r="U20" s="667"/>
      <c r="V20" s="666"/>
      <c r="W20" s="667"/>
      <c r="X20" s="1264"/>
      <c r="Y20" s="3416"/>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7"/>
      <c r="H21" s="388">
        <f>SUMIF(83:83,G22,84:84)-SUMIF(83:83,C22,84:84)+100</f>
        <v>100</v>
      </c>
      <c r="I21" s="397"/>
      <c r="J21" s="388">
        <f>SUMIF(83:83,I22,84:84)-SUMIF(83:83,C22,84:84)+100</f>
        <v>100</v>
      </c>
      <c r="K21" s="539">
        <v>2</v>
      </c>
      <c r="L21" s="2491"/>
      <c r="M21" s="2486"/>
      <c r="N21" s="2486"/>
      <c r="O21" s="2486"/>
      <c r="P21" s="3414"/>
      <c r="Q21" s="1262" t="str">
        <f>B21</f>
        <v>基础设施水平</v>
      </c>
      <c r="R21" s="666" t="s">
        <v>14</v>
      </c>
      <c r="S21" s="667">
        <f>F21</f>
        <v>100</v>
      </c>
      <c r="T21" s="666" t="s">
        <v>14</v>
      </c>
      <c r="U21" s="667">
        <f>H21</f>
        <v>100</v>
      </c>
      <c r="V21" s="666" t="s">
        <v>14</v>
      </c>
      <c r="W21" s="667">
        <f>J21</f>
        <v>100</v>
      </c>
      <c r="X21" s="1264"/>
      <c r="Y21" s="3416"/>
      <c r="Z21" s="1263" t="str">
        <f>Q21</f>
        <v>基础设施水平</v>
      </c>
      <c r="AA21" s="1263">
        <f t="shared" ref="AA21" si="8">D21/F21</f>
        <v>1</v>
      </c>
      <c r="AB21" s="1263">
        <f t="shared" ref="AB21" si="9">D21/H21</f>
        <v>1</v>
      </c>
      <c r="AC21" s="1811">
        <f t="shared" ref="AC21" si="10">D21/J21</f>
        <v>1</v>
      </c>
    </row>
    <row r="22" spans="1:29" ht="15">
      <c r="A22" s="366"/>
      <c r="B22" s="556"/>
      <c r="C22" s="1813" t="s">
        <v>3669</v>
      </c>
      <c r="D22" s="386"/>
      <c r="E22" s="385" t="s">
        <v>3669</v>
      </c>
      <c r="F22" s="386"/>
      <c r="G22" s="385" t="s">
        <v>3669</v>
      </c>
      <c r="H22" s="386"/>
      <c r="I22" s="385" t="s">
        <v>3669</v>
      </c>
      <c r="J22" s="386"/>
      <c r="K22" s="1063"/>
      <c r="L22" s="2491"/>
      <c r="M22" s="2486"/>
      <c r="N22" s="2486"/>
      <c r="O22" s="2486"/>
      <c r="P22" s="3414"/>
      <c r="Q22" s="1262"/>
      <c r="R22" s="666"/>
      <c r="S22" s="667"/>
      <c r="T22" s="666"/>
      <c r="U22" s="667"/>
      <c r="V22" s="666"/>
      <c r="W22" s="667"/>
      <c r="X22" s="1264"/>
      <c r="Y22" s="3416"/>
      <c r="Z22" s="1263"/>
      <c r="AA22" s="1263">
        <v>1</v>
      </c>
      <c r="AB22" s="1263">
        <v>1</v>
      </c>
      <c r="AC22" s="1811">
        <v>1</v>
      </c>
    </row>
    <row r="23" spans="1:29" ht="15">
      <c r="A23" s="366"/>
      <c r="B23" s="555" t="s">
        <v>1814</v>
      </c>
      <c r="C23" s="1812">
        <f>估价对象房地状况!C9</f>
        <v>0</v>
      </c>
      <c r="D23" s="388">
        <v>100</v>
      </c>
      <c r="E23" s="392"/>
      <c r="F23" s="388">
        <f>SUMIF(85:85,E24,86:86)-SUMIF(85:85,C24,86:86)+100</f>
        <v>97</v>
      </c>
      <c r="G23" s="392"/>
      <c r="H23" s="388">
        <f>SUMIF(85:85,G24,86:86)-SUMIF(85:85,C24,86:86)+100</f>
        <v>97</v>
      </c>
      <c r="I23" s="392"/>
      <c r="J23" s="388">
        <f>SUMIF(85:85,I24,86:86)-SUMIF(85:85,C24,86:86)+100</f>
        <v>97</v>
      </c>
      <c r="K23" s="539">
        <v>3</v>
      </c>
      <c r="L23" s="2491"/>
      <c r="M23" s="2486"/>
      <c r="N23" s="2486"/>
      <c r="O23" s="2486"/>
      <c r="P23" s="3414"/>
      <c r="Q23" s="1262" t="str">
        <f>B23</f>
        <v>环境质量</v>
      </c>
      <c r="R23" s="666" t="s">
        <v>14</v>
      </c>
      <c r="S23" s="667">
        <f>F23</f>
        <v>97</v>
      </c>
      <c r="T23" s="666" t="s">
        <v>14</v>
      </c>
      <c r="U23" s="667">
        <f>H23</f>
        <v>97</v>
      </c>
      <c r="V23" s="666" t="s">
        <v>14</v>
      </c>
      <c r="W23" s="667">
        <f>J23</f>
        <v>97</v>
      </c>
      <c r="X23" s="1264"/>
      <c r="Y23" s="3416"/>
      <c r="Z23" s="1263" t="str">
        <f>Q23</f>
        <v>环境质量</v>
      </c>
      <c r="AA23" s="1263">
        <f t="shared" si="3"/>
        <v>1.0309278350515463</v>
      </c>
      <c r="AB23" s="1263">
        <f t="shared" si="4"/>
        <v>1.0309278350515463</v>
      </c>
      <c r="AC23" s="1811">
        <f t="shared" si="5"/>
        <v>1.0309278350515463</v>
      </c>
    </row>
    <row r="24" spans="1:29" ht="15">
      <c r="A24" s="366"/>
      <c r="B24" s="556"/>
      <c r="C24" s="1757" t="s">
        <v>3668</v>
      </c>
      <c r="D24" s="386"/>
      <c r="E24" s="1750" t="s">
        <v>3667</v>
      </c>
      <c r="F24" s="386"/>
      <c r="G24" s="1750" t="s">
        <v>3667</v>
      </c>
      <c r="H24" s="386"/>
      <c r="I24" s="1750" t="s">
        <v>3667</v>
      </c>
      <c r="J24" s="386"/>
      <c r="K24" s="540"/>
      <c r="L24" s="2491"/>
      <c r="M24" s="2486"/>
      <c r="N24" s="2486"/>
      <c r="O24" s="2486"/>
      <c r="P24" s="3414"/>
      <c r="Q24" s="1262"/>
      <c r="R24" s="666"/>
      <c r="S24" s="667"/>
      <c r="T24" s="666"/>
      <c r="U24" s="667"/>
      <c r="V24" s="666"/>
      <c r="W24" s="667"/>
      <c r="X24" s="1264"/>
      <c r="Y24" s="3416"/>
      <c r="Z24" s="1263"/>
      <c r="AA24" s="1263">
        <v>1</v>
      </c>
      <c r="AB24" s="1263">
        <v>1</v>
      </c>
      <c r="AC24" s="1811">
        <v>1</v>
      </c>
    </row>
    <row r="25" spans="1:29" ht="27">
      <c r="A25" s="347"/>
      <c r="B25" s="555" t="s">
        <v>1815</v>
      </c>
      <c r="C25" s="1761"/>
      <c r="D25" s="373">
        <v>100</v>
      </c>
      <c r="E25" s="372"/>
      <c r="F25" s="373">
        <f>SUMIF(87:87,E26,88:88)-SUMIF(87:87,C26,88:88)+100</f>
        <v>98</v>
      </c>
      <c r="G25" s="1761"/>
      <c r="H25" s="373">
        <f>SUMIF(87:87,G26,88:88)-SUMIF(87:87,C26,88:88)+100</f>
        <v>102</v>
      </c>
      <c r="I25" s="372"/>
      <c r="J25" s="373">
        <f>SUMIF(87:87,I26,88:88)-SUMIF(87:87,C26,88:88)+100</f>
        <v>98</v>
      </c>
      <c r="K25" s="539">
        <v>2</v>
      </c>
      <c r="L25" s="2491"/>
      <c r="M25" s="2486"/>
      <c r="N25" s="2486"/>
      <c r="O25" s="2486"/>
      <c r="P25" s="3414"/>
      <c r="Q25" s="1262" t="str">
        <f>B25</f>
        <v>毗邻道路的类型与等级</v>
      </c>
      <c r="R25" s="666" t="s">
        <v>14</v>
      </c>
      <c r="S25" s="667">
        <f>F25</f>
        <v>98</v>
      </c>
      <c r="T25" s="666" t="s">
        <v>14</v>
      </c>
      <c r="U25" s="667">
        <f>H25</f>
        <v>102</v>
      </c>
      <c r="V25" s="666" t="s">
        <v>14</v>
      </c>
      <c r="W25" s="667">
        <f>J25</f>
        <v>98</v>
      </c>
      <c r="X25" s="1264"/>
      <c r="Y25" s="3416"/>
      <c r="Z25" s="1263" t="str">
        <f>Q25</f>
        <v>毗邻道路的类型与等级</v>
      </c>
      <c r="AA25" s="1263">
        <f t="shared" si="3"/>
        <v>1.0204081632653061</v>
      </c>
      <c r="AB25" s="1263">
        <f t="shared" si="4"/>
        <v>0.98039215686274506</v>
      </c>
      <c r="AC25" s="1811">
        <f t="shared" si="5"/>
        <v>1.0204081632653061</v>
      </c>
    </row>
    <row r="26" spans="1:29" ht="15">
      <c r="A26" s="347"/>
      <c r="B26" s="400"/>
      <c r="C26" s="3170" t="s">
        <v>3703</v>
      </c>
      <c r="D26" s="373"/>
      <c r="E26" s="3172" t="s">
        <v>3712</v>
      </c>
      <c r="F26" s="373"/>
      <c r="G26" s="3172" t="s">
        <v>3744</v>
      </c>
      <c r="H26" s="373"/>
      <c r="I26" s="3172" t="s">
        <v>3747</v>
      </c>
      <c r="J26" s="373"/>
      <c r="K26" s="540"/>
      <c r="L26" s="2491"/>
      <c r="M26" s="2486"/>
      <c r="N26" s="2486"/>
      <c r="O26" s="2486"/>
      <c r="P26" s="3414"/>
      <c r="Q26" s="1262"/>
      <c r="R26" s="666"/>
      <c r="S26" s="667"/>
      <c r="T26" s="666"/>
      <c r="U26" s="667"/>
      <c r="V26" s="666"/>
      <c r="W26" s="667"/>
      <c r="X26" s="1264"/>
      <c r="Y26" s="3416"/>
      <c r="Z26" s="1263"/>
      <c r="AA26" s="1263">
        <v>1</v>
      </c>
      <c r="AB26" s="1263">
        <v>1</v>
      </c>
      <c r="AC26" s="1811">
        <v>1</v>
      </c>
    </row>
    <row r="27" spans="1:29" ht="15" hidden="1">
      <c r="A27" s="366"/>
      <c r="B27" s="400" t="s">
        <v>1783</v>
      </c>
      <c r="C27" s="3170"/>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14"/>
      <c r="Q27" s="1262" t="str">
        <f t="shared" ref="Q27:Q47" si="11">B27</f>
        <v>楼层</v>
      </c>
      <c r="R27" s="666" t="s">
        <v>14</v>
      </c>
      <c r="S27" s="667">
        <f>F27</f>
        <v>100</v>
      </c>
      <c r="T27" s="666" t="s">
        <v>14</v>
      </c>
      <c r="U27" s="667">
        <f>H27</f>
        <v>100</v>
      </c>
      <c r="V27" s="666" t="s">
        <v>14</v>
      </c>
      <c r="W27" s="667">
        <f>J27</f>
        <v>100</v>
      </c>
      <c r="X27" s="1264"/>
      <c r="Y27" s="3416"/>
      <c r="Z27" s="1263" t="str">
        <f>Q27</f>
        <v>楼层</v>
      </c>
      <c r="AA27" s="1263">
        <f t="shared" si="3"/>
        <v>1</v>
      </c>
      <c r="AB27" s="1263">
        <f t="shared" si="4"/>
        <v>1</v>
      </c>
      <c r="AC27" s="1811">
        <f t="shared" si="5"/>
        <v>1</v>
      </c>
    </row>
    <row r="28" spans="1:29" s="101" customFormat="1" ht="1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14"/>
      <c r="Q28" s="529" t="str">
        <f t="shared" si="11"/>
        <v>朝向</v>
      </c>
      <c r="R28" s="663" t="s">
        <v>14</v>
      </c>
      <c r="S28" s="664">
        <f>F28</f>
        <v>100</v>
      </c>
      <c r="T28" s="663" t="s">
        <v>14</v>
      </c>
      <c r="U28" s="664">
        <f>H28</f>
        <v>100</v>
      </c>
      <c r="V28" s="663" t="s">
        <v>14</v>
      </c>
      <c r="W28" s="664">
        <f>J28</f>
        <v>100</v>
      </c>
      <c r="X28" s="665"/>
      <c r="Y28" s="3416"/>
      <c r="Z28" s="49" t="str">
        <f>Q28</f>
        <v>朝向</v>
      </c>
      <c r="AA28" s="1263">
        <f>D28/F28</f>
        <v>1</v>
      </c>
      <c r="AB28" s="1263">
        <f>D28/H28</f>
        <v>1</v>
      </c>
      <c r="AC28" s="1811">
        <f>D28/J28</f>
        <v>1</v>
      </c>
    </row>
    <row r="29" spans="1:29" ht="15.75" thickBot="1">
      <c r="A29" s="366"/>
      <c r="B29" s="3165" t="s">
        <v>3699</v>
      </c>
      <c r="C29" s="3173" t="s">
        <v>3713</v>
      </c>
      <c r="D29" s="373">
        <v>100</v>
      </c>
      <c r="E29" s="3173" t="s">
        <v>3713</v>
      </c>
      <c r="F29" s="373">
        <f>SUMIF(93:93,E29,94:94)-SUMIF(93:93,C29,94:94)+100</f>
        <v>100</v>
      </c>
      <c r="G29" s="3173" t="s">
        <v>3713</v>
      </c>
      <c r="H29" s="373">
        <f>SUMIF(93:93,G29,94:94)-SUMIF(93:93,C29,94:94)+100</f>
        <v>100</v>
      </c>
      <c r="I29" s="3173" t="s">
        <v>3711</v>
      </c>
      <c r="J29" s="373">
        <f>SUMIF(93:93,I29,94:94)-SUMIF(93:93,C29,94:94)+100</f>
        <v>102</v>
      </c>
      <c r="K29" s="538"/>
      <c r="L29" s="2491"/>
      <c r="M29" s="2486"/>
      <c r="N29" s="2486"/>
      <c r="O29" s="2486"/>
      <c r="P29" s="3414"/>
      <c r="Q29" s="1262" t="str">
        <f t="shared" si="11"/>
        <v>商业繁华程度</v>
      </c>
      <c r="R29" s="666" t="s">
        <v>14</v>
      </c>
      <c r="S29" s="667">
        <f t="shared" ref="S29:S47" si="12">F29</f>
        <v>100</v>
      </c>
      <c r="T29" s="666" t="s">
        <v>14</v>
      </c>
      <c r="U29" s="667">
        <f t="shared" ref="U29:U47" si="13">H29</f>
        <v>100</v>
      </c>
      <c r="V29" s="666" t="s">
        <v>14</v>
      </c>
      <c r="W29" s="667">
        <f t="shared" ref="W29:W47" si="14">J29</f>
        <v>102</v>
      </c>
      <c r="X29" s="1264"/>
      <c r="Y29" s="3416"/>
      <c r="Z29" s="1263" t="str">
        <f t="shared" ref="Z29:Z47" si="15">Q29</f>
        <v>商业繁华程度</v>
      </c>
      <c r="AA29" s="1263">
        <f t="shared" si="3"/>
        <v>1</v>
      </c>
      <c r="AB29" s="1263">
        <f t="shared" si="4"/>
        <v>1</v>
      </c>
      <c r="AC29" s="1811">
        <f t="shared" si="5"/>
        <v>0.98039215686274506</v>
      </c>
    </row>
    <row r="30" spans="1:29" ht="15" hidden="1">
      <c r="A30" s="366"/>
      <c r="B30" s="1098"/>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14"/>
      <c r="Q30" s="1262">
        <f t="shared" si="11"/>
        <v>0</v>
      </c>
      <c r="R30" s="666" t="s">
        <v>14</v>
      </c>
      <c r="S30" s="667">
        <f t="shared" si="12"/>
        <v>100</v>
      </c>
      <c r="T30" s="666" t="s">
        <v>14</v>
      </c>
      <c r="U30" s="667">
        <f t="shared" si="13"/>
        <v>100</v>
      </c>
      <c r="V30" s="666" t="s">
        <v>14</v>
      </c>
      <c r="W30" s="667">
        <f t="shared" si="14"/>
        <v>100</v>
      </c>
      <c r="X30" s="1264"/>
      <c r="Y30" s="3416"/>
      <c r="Z30" s="1263">
        <f t="shared" si="15"/>
        <v>0</v>
      </c>
      <c r="AA30" s="1263">
        <f t="shared" si="3"/>
        <v>1</v>
      </c>
      <c r="AB30" s="1263">
        <f t="shared" si="4"/>
        <v>1</v>
      </c>
      <c r="AC30" s="1811">
        <f t="shared" si="5"/>
        <v>1</v>
      </c>
    </row>
    <row r="31" spans="1:29" ht="15" hidden="1">
      <c r="A31" s="366"/>
      <c r="B31" s="1098"/>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14"/>
      <c r="Q31" s="1262">
        <f t="shared" si="11"/>
        <v>0</v>
      </c>
      <c r="R31" s="666" t="s">
        <v>14</v>
      </c>
      <c r="S31" s="667">
        <f t="shared" si="12"/>
        <v>100</v>
      </c>
      <c r="T31" s="666" t="s">
        <v>14</v>
      </c>
      <c r="U31" s="667">
        <f t="shared" si="13"/>
        <v>100</v>
      </c>
      <c r="V31" s="666" t="s">
        <v>14</v>
      </c>
      <c r="W31" s="667">
        <f t="shared" si="14"/>
        <v>100</v>
      </c>
      <c r="X31" s="1264"/>
      <c r="Y31" s="3416"/>
      <c r="Z31" s="1263">
        <f t="shared" si="15"/>
        <v>0</v>
      </c>
      <c r="AA31" s="1263">
        <f t="shared" si="3"/>
        <v>1</v>
      </c>
      <c r="AB31" s="1263">
        <f t="shared" si="4"/>
        <v>1</v>
      </c>
      <c r="AC31" s="1811">
        <f t="shared" si="5"/>
        <v>1</v>
      </c>
    </row>
    <row r="32" spans="1:29" ht="15.75" hidden="1" thickBot="1">
      <c r="A32" s="374"/>
      <c r="B32" s="558"/>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14"/>
      <c r="Q32" s="1262">
        <f t="shared" si="11"/>
        <v>0</v>
      </c>
      <c r="R32" s="666" t="s">
        <v>14</v>
      </c>
      <c r="S32" s="667">
        <f t="shared" si="12"/>
        <v>100</v>
      </c>
      <c r="T32" s="666" t="s">
        <v>14</v>
      </c>
      <c r="U32" s="667">
        <f t="shared" si="13"/>
        <v>100</v>
      </c>
      <c r="V32" s="666" t="s">
        <v>14</v>
      </c>
      <c r="W32" s="667">
        <f t="shared" si="14"/>
        <v>100</v>
      </c>
      <c r="X32" s="1264"/>
      <c r="Y32" s="3416"/>
      <c r="Z32" s="1263">
        <f t="shared" si="15"/>
        <v>0</v>
      </c>
      <c r="AA32" s="1263">
        <f t="shared" si="3"/>
        <v>1</v>
      </c>
      <c r="AB32" s="1263">
        <f t="shared" si="4"/>
        <v>1</v>
      </c>
      <c r="AC32" s="1811">
        <f t="shared" si="5"/>
        <v>1</v>
      </c>
    </row>
    <row r="33" spans="1:29" ht="15">
      <c r="A33" s="378" t="s">
        <v>1694</v>
      </c>
      <c r="B33" s="59" t="s">
        <v>1817</v>
      </c>
      <c r="C33" s="1763" t="s">
        <v>3704</v>
      </c>
      <c r="D33" s="404">
        <v>100</v>
      </c>
      <c r="E33" s="1763" t="s">
        <v>3704</v>
      </c>
      <c r="F33" s="399">
        <f>SUMIF(101:101,E33,102:102)-SUMIF(101:101,C33,102:102)+100</f>
        <v>100</v>
      </c>
      <c r="G33" s="1763" t="s">
        <v>3704</v>
      </c>
      <c r="H33" s="373">
        <f>SUMIF(101:101,G33,102:102)-SUMIF(101:101,C33,102:102)+100</f>
        <v>100</v>
      </c>
      <c r="I33" s="1763" t="s">
        <v>3704</v>
      </c>
      <c r="J33" s="404">
        <f>SUMIF(101:101,I33,102:102)-SUMIF(101:101,C33,102:102)+100</f>
        <v>100</v>
      </c>
      <c r="K33" s="537">
        <v>5</v>
      </c>
      <c r="L33" s="2491"/>
      <c r="M33" s="2486"/>
      <c r="N33" s="2486"/>
      <c r="O33" s="2486"/>
      <c r="P33" s="3417" t="s">
        <v>1696</v>
      </c>
      <c r="Q33" s="1262" t="str">
        <f t="shared" si="11"/>
        <v>建筑类型</v>
      </c>
      <c r="R33" s="666" t="s">
        <v>14</v>
      </c>
      <c r="S33" s="667">
        <f t="shared" si="12"/>
        <v>100</v>
      </c>
      <c r="T33" s="666" t="s">
        <v>14</v>
      </c>
      <c r="U33" s="667">
        <f t="shared" si="13"/>
        <v>100</v>
      </c>
      <c r="V33" s="666" t="s">
        <v>14</v>
      </c>
      <c r="W33" s="667">
        <f t="shared" si="14"/>
        <v>100</v>
      </c>
      <c r="X33" s="1264"/>
      <c r="Y33" s="3420" t="s">
        <v>1696</v>
      </c>
      <c r="Z33" s="1263" t="str">
        <f t="shared" si="15"/>
        <v>建筑类型</v>
      </c>
      <c r="AA33" s="1263">
        <f t="shared" si="3"/>
        <v>1</v>
      </c>
      <c r="AB33" s="1263">
        <f t="shared" si="4"/>
        <v>1</v>
      </c>
      <c r="AC33" s="1811">
        <f t="shared" si="5"/>
        <v>1</v>
      </c>
    </row>
    <row r="34" spans="1:29" s="407" customFormat="1" ht="15">
      <c r="A34" s="405"/>
      <c r="B34" s="363" t="s">
        <v>1697</v>
      </c>
      <c r="C34" s="406">
        <f>'数据-汇总表'!E6</f>
        <v>98928.560000000012</v>
      </c>
      <c r="D34" s="118">
        <v>100</v>
      </c>
      <c r="E34" s="368">
        <v>10575.42</v>
      </c>
      <c r="F34" s="363">
        <f>LOOKUP(E34,104:104,105:105)-LOOKUP(C34,104:104,105:105)+100</f>
        <v>102</v>
      </c>
      <c r="G34" s="367">
        <v>19609</v>
      </c>
      <c r="H34" s="118">
        <f>LOOKUP(G34,104:104,105:105)-LOOKUP(C34,104:104,105:105)+100</f>
        <v>102</v>
      </c>
      <c r="I34" s="367">
        <v>6747</v>
      </c>
      <c r="J34" s="118">
        <f>LOOKUP(I34,104:104,105:105)-LOOKUP(C34,104:104,105:105)+100</f>
        <v>102</v>
      </c>
      <c r="K34" s="538"/>
      <c r="L34" s="2490"/>
      <c r="M34" s="2492"/>
      <c r="N34" s="2492"/>
      <c r="O34" s="2492"/>
      <c r="P34" s="3418"/>
      <c r="Q34" s="530" t="str">
        <f t="shared" si="11"/>
        <v>项目建筑规模</v>
      </c>
      <c r="R34" s="668" t="s">
        <v>14</v>
      </c>
      <c r="S34" s="669">
        <f t="shared" si="12"/>
        <v>102</v>
      </c>
      <c r="T34" s="668" t="s">
        <v>14</v>
      </c>
      <c r="U34" s="669">
        <f t="shared" si="13"/>
        <v>102</v>
      </c>
      <c r="V34" s="668" t="s">
        <v>14</v>
      </c>
      <c r="W34" s="669">
        <f t="shared" si="14"/>
        <v>102</v>
      </c>
      <c r="X34" s="670"/>
      <c r="Y34" s="3420"/>
      <c r="Z34" s="671" t="str">
        <f t="shared" si="15"/>
        <v>项目建筑规模</v>
      </c>
      <c r="AA34" s="1263">
        <f t="shared" si="3"/>
        <v>0.98039215686274506</v>
      </c>
      <c r="AB34" s="1263">
        <f t="shared" si="4"/>
        <v>0.98039215686274506</v>
      </c>
      <c r="AC34" s="1811">
        <f t="shared" si="5"/>
        <v>0.98039215686274506</v>
      </c>
    </row>
    <row r="35" spans="1:29" ht="15">
      <c r="A35" s="408"/>
      <c r="B35" s="363" t="s">
        <v>1698</v>
      </c>
      <c r="C35" s="398" t="s">
        <v>3607</v>
      </c>
      <c r="D35" s="373">
        <v>100</v>
      </c>
      <c r="E35" s="398" t="s">
        <v>3607</v>
      </c>
      <c r="F35" s="399">
        <f>SUMIF(106:106,E35,107:107)-SUMIF(106:106,C35,107:107)+100</f>
        <v>100</v>
      </c>
      <c r="G35" s="398" t="s">
        <v>3607</v>
      </c>
      <c r="H35" s="373">
        <f>SUMIF(106:106,G35,107:107)-SUMIF(106:106,C35,107:107)+100</f>
        <v>100</v>
      </c>
      <c r="I35" s="398" t="s">
        <v>3607</v>
      </c>
      <c r="J35" s="373">
        <f>SUMIF(106:106,I35,107:107)-SUMIF(106:106,C35,107:107)+100</f>
        <v>100</v>
      </c>
      <c r="K35" s="537">
        <v>2</v>
      </c>
      <c r="L35" s="2491"/>
      <c r="M35" s="2486"/>
      <c r="N35" s="2486"/>
      <c r="O35" s="2486"/>
      <c r="P35" s="3418"/>
      <c r="Q35" s="1262" t="str">
        <f t="shared" si="11"/>
        <v>建筑结构</v>
      </c>
      <c r="R35" s="666" t="s">
        <v>14</v>
      </c>
      <c r="S35" s="667">
        <f t="shared" si="12"/>
        <v>100</v>
      </c>
      <c r="T35" s="666" t="s">
        <v>14</v>
      </c>
      <c r="U35" s="667">
        <f t="shared" si="13"/>
        <v>100</v>
      </c>
      <c r="V35" s="666" t="s">
        <v>14</v>
      </c>
      <c r="W35" s="667">
        <f t="shared" si="14"/>
        <v>100</v>
      </c>
      <c r="X35" s="1264"/>
      <c r="Y35" s="3420"/>
      <c r="Z35" s="1263" t="str">
        <f t="shared" si="15"/>
        <v>建筑结构</v>
      </c>
      <c r="AA35" s="1263">
        <f t="shared" si="3"/>
        <v>1</v>
      </c>
      <c r="AB35" s="1263">
        <f t="shared" si="4"/>
        <v>1</v>
      </c>
      <c r="AC35" s="1811">
        <f t="shared" si="5"/>
        <v>1</v>
      </c>
    </row>
    <row r="36" spans="1:29" ht="15">
      <c r="A36" s="408"/>
      <c r="B36" s="363" t="s">
        <v>1785</v>
      </c>
      <c r="C36" s="398" t="s">
        <v>3705</v>
      </c>
      <c r="D36" s="373">
        <v>100</v>
      </c>
      <c r="E36" s="398" t="s">
        <v>3705</v>
      </c>
      <c r="F36" s="399">
        <f>SUMIF(108:108,E36,109:109)-SUMIF(108:108,C36,109:109)+100</f>
        <v>100</v>
      </c>
      <c r="G36" s="398" t="s">
        <v>3705</v>
      </c>
      <c r="H36" s="373">
        <f>SUMIF(108:108,G36,109:109)-SUMIF(108:108,C36,109:109)+100</f>
        <v>100</v>
      </c>
      <c r="I36" s="398" t="s">
        <v>3705</v>
      </c>
      <c r="J36" s="373">
        <f>SUMIF(108:108,I36,109:109)-SUMIF(108:108,C36,109:109)+100</f>
        <v>100</v>
      </c>
      <c r="K36" s="537">
        <v>2</v>
      </c>
      <c r="L36" s="2491"/>
      <c r="M36" s="2486"/>
      <c r="N36" s="2486"/>
      <c r="O36" s="2486"/>
      <c r="P36" s="3418"/>
      <c r="Q36" s="1262" t="str">
        <f t="shared" si="11"/>
        <v>公共部分装修</v>
      </c>
      <c r="R36" s="666" t="s">
        <v>14</v>
      </c>
      <c r="S36" s="667">
        <f t="shared" si="12"/>
        <v>100</v>
      </c>
      <c r="T36" s="666" t="s">
        <v>14</v>
      </c>
      <c r="U36" s="667">
        <f t="shared" si="13"/>
        <v>100</v>
      </c>
      <c r="V36" s="666" t="s">
        <v>14</v>
      </c>
      <c r="W36" s="667">
        <f t="shared" si="14"/>
        <v>100</v>
      </c>
      <c r="X36" s="1264"/>
      <c r="Y36" s="3420"/>
      <c r="Z36" s="1263" t="str">
        <f t="shared" si="15"/>
        <v>公共部分装修</v>
      </c>
      <c r="AA36" s="1263">
        <f t="shared" si="3"/>
        <v>1</v>
      </c>
      <c r="AB36" s="1263">
        <f t="shared" si="4"/>
        <v>1</v>
      </c>
      <c r="AC36" s="1811">
        <f t="shared" si="5"/>
        <v>1</v>
      </c>
    </row>
    <row r="37" spans="1:29" ht="15">
      <c r="A37" s="408"/>
      <c r="B37" s="363" t="s">
        <v>1786</v>
      </c>
      <c r="C37" s="410">
        <f>'数据-取费表'!N6</f>
        <v>0.83</v>
      </c>
      <c r="D37" s="373">
        <v>100</v>
      </c>
      <c r="E37" s="410">
        <f>ROUND(1-(2024-2018)/60,2)</f>
        <v>0.9</v>
      </c>
      <c r="F37" s="399">
        <f>LOOKUP(E37,111:111,112:112)-LOOKUP(C37,111:111,112:112)+100</f>
        <v>101</v>
      </c>
      <c r="G37" s="410">
        <f>ROUND(1-(2024-2021)/60,2)</f>
        <v>0.95</v>
      </c>
      <c r="H37" s="399">
        <f>LOOKUP(G37,111:111,112:112)-LOOKUP(C37,111:111,112:112)+100</f>
        <v>101</v>
      </c>
      <c r="I37" s="410">
        <v>0.75</v>
      </c>
      <c r="J37" s="373">
        <f>LOOKUP(I37,111:111,112:112)-LOOKUP(C37,111:111,112:112)+100</f>
        <v>99</v>
      </c>
      <c r="K37" s="537">
        <v>1</v>
      </c>
      <c r="L37" s="2491"/>
      <c r="M37" s="2486"/>
      <c r="N37" s="2486"/>
      <c r="O37" s="2486"/>
      <c r="P37" s="3418"/>
      <c r="Q37" s="1262" t="str">
        <f t="shared" si="11"/>
        <v>成新度</v>
      </c>
      <c r="R37" s="666" t="s">
        <v>14</v>
      </c>
      <c r="S37" s="667">
        <f t="shared" si="12"/>
        <v>101</v>
      </c>
      <c r="T37" s="666" t="s">
        <v>14</v>
      </c>
      <c r="U37" s="667">
        <f t="shared" si="13"/>
        <v>101</v>
      </c>
      <c r="V37" s="666" t="s">
        <v>14</v>
      </c>
      <c r="W37" s="667">
        <f t="shared" si="14"/>
        <v>99</v>
      </c>
      <c r="X37" s="1264"/>
      <c r="Y37" s="3420"/>
      <c r="Z37" s="1263" t="str">
        <f t="shared" si="15"/>
        <v>成新度</v>
      </c>
      <c r="AA37" s="1263">
        <f t="shared" si="3"/>
        <v>0.99009900990099009</v>
      </c>
      <c r="AB37" s="1263">
        <f t="shared" si="4"/>
        <v>0.99009900990099009</v>
      </c>
      <c r="AC37" s="1811">
        <f t="shared" si="5"/>
        <v>1.0101010101010102</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18"/>
      <c r="Q38" s="529" t="str">
        <f t="shared" si="11"/>
        <v>写字楼等级</v>
      </c>
      <c r="R38" s="663" t="s">
        <v>14</v>
      </c>
      <c r="S38" s="664">
        <f t="shared" si="12"/>
        <v>100</v>
      </c>
      <c r="T38" s="663" t="s">
        <v>14</v>
      </c>
      <c r="U38" s="664">
        <f t="shared" si="13"/>
        <v>100</v>
      </c>
      <c r="V38" s="663" t="s">
        <v>14</v>
      </c>
      <c r="W38" s="664">
        <f t="shared" si="14"/>
        <v>100</v>
      </c>
      <c r="X38" s="665"/>
      <c r="Y38" s="3420"/>
      <c r="Z38" s="49" t="str">
        <f t="shared" si="15"/>
        <v>写字楼等级</v>
      </c>
      <c r="AA38" s="49">
        <f t="shared" si="3"/>
        <v>1</v>
      </c>
      <c r="AB38" s="49">
        <f t="shared" si="4"/>
        <v>1</v>
      </c>
      <c r="AC38" s="801">
        <f t="shared" si="5"/>
        <v>1</v>
      </c>
    </row>
    <row r="39" spans="1:29" ht="15">
      <c r="A39" s="408"/>
      <c r="B39" s="363" t="s">
        <v>1819</v>
      </c>
      <c r="C39" s="398" t="s">
        <v>3706</v>
      </c>
      <c r="D39" s="373">
        <v>100</v>
      </c>
      <c r="E39" s="398" t="s">
        <v>3706</v>
      </c>
      <c r="F39" s="399">
        <f>SUMIF(115:115,E39,116:116)-SUMIF(115:115,C39,116:116)+100</f>
        <v>100</v>
      </c>
      <c r="G39" s="398" t="s">
        <v>3706</v>
      </c>
      <c r="H39" s="373">
        <f>SUMIF(115:115,G39,116:116)-SUMIF(115:115,C39,116:116)+100</f>
        <v>100</v>
      </c>
      <c r="I39" s="398" t="s">
        <v>3706</v>
      </c>
      <c r="J39" s="373">
        <f>SUMIF(115:115,I39,116:116)-SUMIF(115:115,C39,116:116)+100</f>
        <v>100</v>
      </c>
      <c r="K39" s="537">
        <v>3</v>
      </c>
      <c r="L39" s="2491"/>
      <c r="M39" s="2486"/>
      <c r="N39" s="2486"/>
      <c r="O39" s="2486"/>
      <c r="P39" s="3418" t="s">
        <v>1696</v>
      </c>
      <c r="Q39" s="1262" t="str">
        <f t="shared" si="11"/>
        <v>物业管理</v>
      </c>
      <c r="R39" s="666" t="s">
        <v>14</v>
      </c>
      <c r="S39" s="667">
        <f t="shared" si="12"/>
        <v>100</v>
      </c>
      <c r="T39" s="666" t="s">
        <v>14</v>
      </c>
      <c r="U39" s="667">
        <f t="shared" si="13"/>
        <v>100</v>
      </c>
      <c r="V39" s="666" t="s">
        <v>14</v>
      </c>
      <c r="W39" s="667">
        <f t="shared" si="14"/>
        <v>100</v>
      </c>
      <c r="X39" s="1264"/>
      <c r="Y39" s="3420" t="s">
        <v>1696</v>
      </c>
      <c r="Z39" s="1263" t="str">
        <f t="shared" si="15"/>
        <v>物业管理</v>
      </c>
      <c r="AA39" s="1263">
        <f t="shared" si="3"/>
        <v>1</v>
      </c>
      <c r="AB39" s="1263">
        <f t="shared" si="4"/>
        <v>1</v>
      </c>
      <c r="AC39" s="1811">
        <f t="shared" si="5"/>
        <v>1</v>
      </c>
    </row>
    <row r="40" spans="1:29" ht="15" hidden="1">
      <c r="A40" s="408"/>
      <c r="B40" s="363" t="s">
        <v>1787</v>
      </c>
      <c r="C40" s="398" t="s">
        <v>3707</v>
      </c>
      <c r="D40" s="373">
        <v>100</v>
      </c>
      <c r="E40" s="398" t="s">
        <v>3707</v>
      </c>
      <c r="F40" s="399">
        <f>SUMIF(117:117,E40,118:118)-SUMIF(117:117,C40,118:118)+100</f>
        <v>100</v>
      </c>
      <c r="G40" s="398" t="s">
        <v>3707</v>
      </c>
      <c r="H40" s="373">
        <f>SUMIF(117:117,G40,118:118)-SUMIF(117:117,C40,118:118)+100</f>
        <v>100</v>
      </c>
      <c r="I40" s="398" t="s">
        <v>3707</v>
      </c>
      <c r="J40" s="373">
        <f>SUMIF(117:117,I40,118:118)-SUMIF(117:117,C40,118:118)+100</f>
        <v>100</v>
      </c>
      <c r="K40" s="537">
        <v>2</v>
      </c>
      <c r="L40" s="2491"/>
      <c r="M40" s="2486"/>
      <c r="N40" s="2486"/>
      <c r="O40" s="2486"/>
      <c r="P40" s="3418"/>
      <c r="Q40" s="1262" t="str">
        <f t="shared" si="11"/>
        <v>市政基础设施</v>
      </c>
      <c r="R40" s="666" t="s">
        <v>14</v>
      </c>
      <c r="S40" s="667">
        <f t="shared" si="12"/>
        <v>100</v>
      </c>
      <c r="T40" s="666" t="s">
        <v>14</v>
      </c>
      <c r="U40" s="667">
        <f t="shared" si="13"/>
        <v>100</v>
      </c>
      <c r="V40" s="666" t="s">
        <v>14</v>
      </c>
      <c r="W40" s="667">
        <f t="shared" si="14"/>
        <v>100</v>
      </c>
      <c r="X40" s="1264"/>
      <c r="Y40" s="3420"/>
      <c r="Z40" s="1263" t="str">
        <f t="shared" si="15"/>
        <v>市政基础设施</v>
      </c>
      <c r="AA40" s="1263">
        <f t="shared" si="3"/>
        <v>1</v>
      </c>
      <c r="AB40" s="1263">
        <f t="shared" si="4"/>
        <v>1</v>
      </c>
      <c r="AC40" s="1811">
        <f t="shared" si="5"/>
        <v>1</v>
      </c>
    </row>
    <row r="41" spans="1:29" ht="15" hidden="1">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18"/>
      <c r="Q41" s="1262" t="str">
        <f t="shared" si="11"/>
        <v>层高</v>
      </c>
      <c r="R41" s="666" t="s">
        <v>14</v>
      </c>
      <c r="S41" s="667">
        <f t="shared" si="12"/>
        <v>100</v>
      </c>
      <c r="T41" s="666" t="s">
        <v>14</v>
      </c>
      <c r="U41" s="667">
        <f t="shared" si="13"/>
        <v>100</v>
      </c>
      <c r="V41" s="666" t="s">
        <v>14</v>
      </c>
      <c r="W41" s="667">
        <f t="shared" si="14"/>
        <v>100</v>
      </c>
      <c r="X41" s="1264"/>
      <c r="Y41" s="3420"/>
      <c r="Z41" s="1263" t="str">
        <f t="shared" si="15"/>
        <v>层高</v>
      </c>
      <c r="AA41" s="1263">
        <f t="shared" si="3"/>
        <v>1</v>
      </c>
      <c r="AB41" s="1263">
        <f t="shared" si="4"/>
        <v>1</v>
      </c>
      <c r="AC41" s="1811">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18"/>
      <c r="Q42" s="530" t="str">
        <f t="shared" si="11"/>
        <v>单套建筑面积</v>
      </c>
      <c r="R42" s="668" t="s">
        <v>14</v>
      </c>
      <c r="S42" s="669">
        <f t="shared" si="12"/>
        <v>100</v>
      </c>
      <c r="T42" s="668" t="s">
        <v>14</v>
      </c>
      <c r="U42" s="669">
        <f t="shared" si="13"/>
        <v>100</v>
      </c>
      <c r="V42" s="668" t="s">
        <v>14</v>
      </c>
      <c r="W42" s="669">
        <f t="shared" si="14"/>
        <v>100</v>
      </c>
      <c r="X42" s="670"/>
      <c r="Y42" s="3420"/>
      <c r="Z42" s="671" t="str">
        <f t="shared" si="15"/>
        <v>单套建筑面积</v>
      </c>
      <c r="AA42" s="1263">
        <f t="shared" si="3"/>
        <v>1</v>
      </c>
      <c r="AB42" s="1263">
        <f t="shared" si="4"/>
        <v>1</v>
      </c>
      <c r="AC42" s="1811">
        <f t="shared" si="5"/>
        <v>1</v>
      </c>
    </row>
    <row r="43" spans="1:29" ht="15">
      <c r="A43" s="408"/>
      <c r="B43" s="363" t="s">
        <v>1792</v>
      </c>
      <c r="C43" s="3171" t="s">
        <v>3710</v>
      </c>
      <c r="D43" s="373">
        <v>100</v>
      </c>
      <c r="E43" s="398" t="s">
        <v>3708</v>
      </c>
      <c r="F43" s="399">
        <f>SUMIF(123:123,E43,124:124)-SUMIF(123:123,C43,124:124)+100</f>
        <v>98</v>
      </c>
      <c r="G43" s="398" t="s">
        <v>3708</v>
      </c>
      <c r="H43" s="373">
        <f>SUMIF(123:123,G43,124:124)-SUMIF(123:123,C43,124:124)+100</f>
        <v>98</v>
      </c>
      <c r="I43" s="398" t="s">
        <v>3708</v>
      </c>
      <c r="J43" s="373">
        <f>SUMIF(123:123,I43,124:124)-SUMIF(123:123,C43,124:124)+100</f>
        <v>98</v>
      </c>
      <c r="K43" s="537">
        <v>1</v>
      </c>
      <c r="L43" s="2491"/>
      <c r="M43" s="2486"/>
      <c r="N43" s="2486"/>
      <c r="O43" s="2486"/>
      <c r="P43" s="3418"/>
      <c r="Q43" s="1262" t="str">
        <f t="shared" si="11"/>
        <v>内部装修</v>
      </c>
      <c r="R43" s="666" t="s">
        <v>14</v>
      </c>
      <c r="S43" s="667">
        <f t="shared" si="12"/>
        <v>98</v>
      </c>
      <c r="T43" s="666" t="s">
        <v>14</v>
      </c>
      <c r="U43" s="667">
        <f t="shared" si="13"/>
        <v>98</v>
      </c>
      <c r="V43" s="666" t="s">
        <v>14</v>
      </c>
      <c r="W43" s="667">
        <f t="shared" si="14"/>
        <v>98</v>
      </c>
      <c r="X43" s="1264"/>
      <c r="Y43" s="3420"/>
      <c r="Z43" s="1263" t="str">
        <f t="shared" si="15"/>
        <v>内部装修</v>
      </c>
      <c r="AA43" s="1263">
        <f t="shared" si="3"/>
        <v>1.0204081632653061</v>
      </c>
      <c r="AB43" s="1263">
        <f t="shared" si="4"/>
        <v>1.0204081632653061</v>
      </c>
      <c r="AC43" s="1811">
        <f t="shared" si="5"/>
        <v>1.0204081632653061</v>
      </c>
    </row>
    <row r="44" spans="1:29" ht="15">
      <c r="A44" s="408"/>
      <c r="B44" s="363" t="s">
        <v>1707</v>
      </c>
      <c r="C44" s="3171" t="s">
        <v>3711</v>
      </c>
      <c r="D44" s="373">
        <v>100</v>
      </c>
      <c r="E44" s="1759" t="s">
        <v>3667</v>
      </c>
      <c r="F44" s="399">
        <f>SUMIF(125:125,E44,126:126)-SUMIF(125:125,C44,126:126)+100</f>
        <v>100</v>
      </c>
      <c r="G44" s="1759" t="s">
        <v>3667</v>
      </c>
      <c r="H44" s="373">
        <f>SUMIF(125:125,G44,126:126)-SUMIF(125:125,C44,126:126)+100</f>
        <v>100</v>
      </c>
      <c r="I44" s="1759" t="s">
        <v>3667</v>
      </c>
      <c r="J44" s="373">
        <f>SUMIF(125:125,I44,126:126)-SUMIF(125:125,C44,126:126)+100</f>
        <v>100</v>
      </c>
      <c r="K44" s="537">
        <v>2</v>
      </c>
      <c r="L44" s="2491"/>
      <c r="M44" s="2486"/>
      <c r="N44" s="2486"/>
      <c r="O44" s="2486"/>
      <c r="P44" s="3418"/>
      <c r="Q44" s="1262" t="str">
        <f t="shared" si="11"/>
        <v>内部装修维护情况</v>
      </c>
      <c r="R44" s="666" t="s">
        <v>14</v>
      </c>
      <c r="S44" s="667">
        <f t="shared" si="12"/>
        <v>100</v>
      </c>
      <c r="T44" s="666" t="s">
        <v>14</v>
      </c>
      <c r="U44" s="667">
        <f t="shared" si="13"/>
        <v>100</v>
      </c>
      <c r="V44" s="666" t="s">
        <v>14</v>
      </c>
      <c r="W44" s="667">
        <f t="shared" si="14"/>
        <v>100</v>
      </c>
      <c r="X44" s="1264"/>
      <c r="Y44" s="3420"/>
      <c r="Z44" s="1263" t="str">
        <f t="shared" si="15"/>
        <v>内部装修维护情况</v>
      </c>
      <c r="AA44" s="1263">
        <f t="shared" si="3"/>
        <v>1</v>
      </c>
      <c r="AB44" s="1263">
        <f t="shared" si="4"/>
        <v>1</v>
      </c>
      <c r="AC44" s="1811">
        <f t="shared" si="5"/>
        <v>1</v>
      </c>
    </row>
    <row r="45" spans="1:29" s="101" customFormat="1" ht="15">
      <c r="A45" s="409"/>
      <c r="B45" s="3166" t="s">
        <v>3700</v>
      </c>
      <c r="C45" s="406">
        <v>0</v>
      </c>
      <c r="D45" s="118">
        <v>100</v>
      </c>
      <c r="E45" s="370">
        <v>0</v>
      </c>
      <c r="F45" s="363">
        <f>SUMIF(127:127,E45,128:128)-SUMIF(127:127,C45,128:128)+100</f>
        <v>100</v>
      </c>
      <c r="G45" s="370">
        <v>0</v>
      </c>
      <c r="H45" s="118">
        <f>SUMIF(127:127,G45,128:128)-SUMIF(127:127,C45,128:128)+100</f>
        <v>100</v>
      </c>
      <c r="I45" s="370">
        <v>0</v>
      </c>
      <c r="J45" s="118">
        <f>SUMIF(127:127,I45,128:128)-SUMIF(127:127,C45,128:128)+100</f>
        <v>100</v>
      </c>
      <c r="K45" s="538"/>
      <c r="L45" s="2487"/>
      <c r="M45" s="2439"/>
      <c r="N45" s="2439"/>
      <c r="O45" s="2439"/>
      <c r="P45" s="3418"/>
      <c r="Q45" s="529" t="str">
        <f t="shared" si="11"/>
        <v>地下占比</v>
      </c>
      <c r="R45" s="663" t="s">
        <v>14</v>
      </c>
      <c r="S45" s="664">
        <f t="shared" si="12"/>
        <v>100</v>
      </c>
      <c r="T45" s="663" t="s">
        <v>14</v>
      </c>
      <c r="U45" s="664">
        <f t="shared" si="13"/>
        <v>100</v>
      </c>
      <c r="V45" s="663" t="s">
        <v>14</v>
      </c>
      <c r="W45" s="664">
        <f t="shared" si="14"/>
        <v>100</v>
      </c>
      <c r="X45" s="665"/>
      <c r="Y45" s="3420"/>
      <c r="Z45" s="49" t="str">
        <f t="shared" si="15"/>
        <v>地下占比</v>
      </c>
      <c r="AA45" s="49">
        <f t="shared" si="3"/>
        <v>1</v>
      </c>
      <c r="AB45" s="49">
        <f t="shared" si="4"/>
        <v>1</v>
      </c>
      <c r="AC45" s="801">
        <f t="shared" si="5"/>
        <v>1</v>
      </c>
    </row>
    <row r="46" spans="1:29" ht="15.75" thickBot="1">
      <c r="A46" s="408"/>
      <c r="B46" s="3166"/>
      <c r="C46" s="3175"/>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18"/>
      <c r="Q46" s="1262">
        <f t="shared" si="11"/>
        <v>0</v>
      </c>
      <c r="R46" s="666" t="s">
        <v>14</v>
      </c>
      <c r="S46" s="667">
        <f t="shared" si="12"/>
        <v>100</v>
      </c>
      <c r="T46" s="666" t="s">
        <v>14</v>
      </c>
      <c r="U46" s="667">
        <f t="shared" si="13"/>
        <v>100</v>
      </c>
      <c r="V46" s="666" t="s">
        <v>14</v>
      </c>
      <c r="W46" s="667">
        <f t="shared" si="14"/>
        <v>100</v>
      </c>
      <c r="X46" s="1264"/>
      <c r="Y46" s="3420"/>
      <c r="Z46" s="1263">
        <f t="shared" si="15"/>
        <v>0</v>
      </c>
      <c r="AA46" s="1263">
        <f t="shared" si="3"/>
        <v>1</v>
      </c>
      <c r="AB46" s="1263">
        <f t="shared" si="4"/>
        <v>1</v>
      </c>
      <c r="AC46" s="1811">
        <f t="shared" si="5"/>
        <v>1</v>
      </c>
    </row>
    <row r="47" spans="1:29" ht="15.75" hidden="1" thickBot="1">
      <c r="A47" s="414"/>
      <c r="B47" s="1748"/>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19"/>
      <c r="Q47" s="1262">
        <f t="shared" si="11"/>
        <v>0</v>
      </c>
      <c r="R47" s="666" t="s">
        <v>14</v>
      </c>
      <c r="S47" s="667">
        <f t="shared" si="12"/>
        <v>100</v>
      </c>
      <c r="T47" s="666" t="s">
        <v>14</v>
      </c>
      <c r="U47" s="667">
        <f t="shared" si="13"/>
        <v>100</v>
      </c>
      <c r="V47" s="666" t="s">
        <v>14</v>
      </c>
      <c r="W47" s="667">
        <f t="shared" si="14"/>
        <v>100</v>
      </c>
      <c r="X47" s="1264"/>
      <c r="Y47" s="3421"/>
      <c r="Z47" s="1263">
        <f t="shared" si="15"/>
        <v>0</v>
      </c>
      <c r="AA47" s="1263">
        <f t="shared" si="3"/>
        <v>1</v>
      </c>
      <c r="AB47" s="1263">
        <f t="shared" si="4"/>
        <v>1</v>
      </c>
      <c r="AC47" s="1811">
        <f t="shared" si="5"/>
        <v>1</v>
      </c>
    </row>
    <row r="48" spans="1:29" ht="15">
      <c r="A48" s="415" t="s">
        <v>1708</v>
      </c>
      <c r="B48" s="416"/>
      <c r="C48" s="1080" t="s">
        <v>0</v>
      </c>
      <c r="D48" s="417"/>
      <c r="E48" s="418">
        <v>45388</v>
      </c>
      <c r="F48" s="419"/>
      <c r="G48" s="420">
        <v>48663</v>
      </c>
      <c r="H48" s="421"/>
      <c r="I48" s="418">
        <v>50393</v>
      </c>
      <c r="J48" s="421"/>
      <c r="K48" s="673"/>
      <c r="L48" s="2493"/>
      <c r="M48" s="2486"/>
      <c r="N48" s="2486"/>
      <c r="O48" s="2486"/>
      <c r="P48" s="3393" t="str">
        <f>A48</f>
        <v>成交单价（元/平方米）</v>
      </c>
      <c r="Q48" s="3422"/>
      <c r="R48" s="3410">
        <f>E48</f>
        <v>45388</v>
      </c>
      <c r="S48" s="3410"/>
      <c r="T48" s="3410">
        <f>G48</f>
        <v>48663</v>
      </c>
      <c r="U48" s="3410"/>
      <c r="V48" s="3410">
        <f>I48</f>
        <v>50393</v>
      </c>
      <c r="W48" s="3410"/>
      <c r="X48" s="384"/>
      <c r="Y48" s="672"/>
      <c r="Z48" s="384"/>
      <c r="AA48" s="384"/>
      <c r="AB48" s="384"/>
      <c r="AC48" s="554"/>
    </row>
    <row r="49" spans="1:32" ht="15.75" thickBot="1">
      <c r="A49" s="422" t="s">
        <v>1793</v>
      </c>
      <c r="B49" s="423"/>
      <c r="C49" s="1081">
        <f>R50</f>
        <v>55364</v>
      </c>
      <c r="D49" s="2140" t="s">
        <v>2136</v>
      </c>
      <c r="E49" s="1082">
        <f>R49</f>
        <v>52425</v>
      </c>
      <c r="F49" s="2141"/>
      <c r="G49" s="1081">
        <f>T49</f>
        <v>52384</v>
      </c>
      <c r="H49" s="2141"/>
      <c r="I49" s="1082">
        <f>V49</f>
        <v>61282</v>
      </c>
      <c r="J49" s="2141"/>
      <c r="K49" s="2143">
        <f>F49+H49+J49</f>
        <v>0</v>
      </c>
      <c r="L49" s="2493"/>
      <c r="M49" s="2486"/>
      <c r="N49" s="2486"/>
      <c r="O49" s="2486"/>
      <c r="P49" s="3393" t="str">
        <f>A49</f>
        <v>比较价值（元/平方米）</v>
      </c>
      <c r="Q49" s="3422"/>
      <c r="R49" s="3410">
        <f>IF(F1="售价",ROUND(PRODUCT(R48,AA7:AA47),0),ROUND(PRODUCT(R48,AA7:AA47),1))</f>
        <v>52425</v>
      </c>
      <c r="S49" s="3410"/>
      <c r="T49" s="3410">
        <f>IF(F1="售价",ROUND(PRODUCT(T48,AB7:AB47),0),ROUND(PRODUCT(T48,AB7:AB47),1))</f>
        <v>52384</v>
      </c>
      <c r="U49" s="3410"/>
      <c r="V49" s="3410">
        <f>IF(F1="售价",ROUND(PRODUCT(V48,AC7:AC47),0),ROUND(PRODUCT(V48,AC7:AC47),1))</f>
        <v>61282</v>
      </c>
      <c r="W49" s="3410"/>
      <c r="X49" s="384"/>
      <c r="Y49" s="384"/>
      <c r="Z49" s="384"/>
      <c r="AA49" s="384"/>
      <c r="AB49" s="384"/>
      <c r="AC49" s="554"/>
    </row>
    <row r="50" spans="1:32" ht="15.75" thickBot="1">
      <c r="A50" s="426" t="s">
        <v>1794</v>
      </c>
      <c r="B50" s="427"/>
      <c r="C50" s="350">
        <f>R50</f>
        <v>55364</v>
      </c>
      <c r="D50" s="350"/>
      <c r="E50" s="350"/>
      <c r="F50" s="350"/>
      <c r="G50" s="350"/>
      <c r="H50" s="350"/>
      <c r="I50" s="350"/>
      <c r="J50" s="428"/>
      <c r="K50" s="674"/>
      <c r="L50" s="2493"/>
      <c r="M50" s="2486"/>
      <c r="N50" s="2486"/>
      <c r="O50" s="2486"/>
      <c r="P50" s="3423" t="str">
        <f>A50</f>
        <v>估价对象XX用房的比较价值（楼面单价，元/平方米）</v>
      </c>
      <c r="Q50" s="3424"/>
      <c r="R50" s="3425">
        <f>IF(F1="售价",ROUND(IF(D49="简单平均",AVERAGE(R49:V49),R49*F49+T49*H49+V49*J49),0),ROUND(IF(D49="简单平均",AVERAGE(R49:V49),R49*F49+T49*H49+V49*J49),1))</f>
        <v>55364</v>
      </c>
      <c r="S50" s="3425"/>
      <c r="T50" s="3425"/>
      <c r="U50" s="3425"/>
      <c r="V50" s="3425"/>
      <c r="W50" s="3425"/>
      <c r="X50" s="1797"/>
      <c r="Y50" s="1797"/>
      <c r="Z50" s="1797"/>
      <c r="AA50" s="1797"/>
      <c r="AB50" s="1797"/>
      <c r="AC50" s="1798"/>
    </row>
    <row r="51" spans="1:32">
      <c r="A51" s="2486"/>
      <c r="B51" s="2486"/>
      <c r="C51" s="2486">
        <f>ROUND('数据-汇总表'!F19/('数据-汇总表'!F19+'数据-汇总表'!F20),2)</f>
        <v>0.27</v>
      </c>
      <c r="D51" s="2486"/>
      <c r="E51" s="2486">
        <v>2018</v>
      </c>
      <c r="F51" s="2486"/>
      <c r="G51" s="2486">
        <v>2021</v>
      </c>
      <c r="H51" s="2486"/>
      <c r="I51" s="2486">
        <v>1994</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32">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32" ht="13.5" customHeight="1">
      <c r="A53" s="2486"/>
      <c r="B53" s="2486"/>
      <c r="C53" s="431" t="s">
        <v>1795</v>
      </c>
      <c r="D53" s="432"/>
      <c r="E53" s="433">
        <f>IF(E48&lt;E49,E49/E48-1,E48/E49-1)</f>
        <v>0.15504097999471234</v>
      </c>
      <c r="F53" s="434" t="str">
        <f>IF(OR(E53&gt;=0.3,E53&lt;=-0.3),"超过30%","")</f>
        <v/>
      </c>
      <c r="G53" s="433">
        <f>IF(G48&lt;G49,G49/G48-1,G48/G49-1)</f>
        <v>7.646466514600414E-2</v>
      </c>
      <c r="H53" s="434" t="str">
        <f>IF(OR(G53&gt;=0.3,G53&lt;=-0.3),"超过30%","")</f>
        <v/>
      </c>
      <c r="I53" s="433">
        <f>IF(I48&lt;I49,I49/I48-1,I48/I49-1)</f>
        <v>0.21608159863473109</v>
      </c>
      <c r="J53" s="434"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32" ht="13.5" customHeight="1">
      <c r="A54" s="2486"/>
      <c r="B54" s="2486"/>
      <c r="C54" s="431" t="s">
        <v>1796</v>
      </c>
      <c r="D54" s="435"/>
      <c r="E54" s="433">
        <f>IF(E49&lt;G49,G49/E49-1,E49/G49-1)</f>
        <v>7.8268173488083015E-4</v>
      </c>
      <c r="F54" s="434" t="str">
        <f>IF(OR(E54&gt;=0.2,E54&lt;=-0.2),"超过20%","")</f>
        <v/>
      </c>
      <c r="G54" s="433">
        <f>IF(G49&lt;I49,I49/G49-1,G49/I49-1)</f>
        <v>0.16986102626756261</v>
      </c>
      <c r="H54" s="434" t="str">
        <f>IF(OR(G54&gt;=0.2,G54&lt;=-0.2),"超过20%","")</f>
        <v/>
      </c>
      <c r="I54" s="433">
        <f>IF(I49&lt;E49,E49/I49-1,I49/E49-1)</f>
        <v>0.16894611349546973</v>
      </c>
      <c r="J54" s="434"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32" s="436" customFormat="1" ht="13.5" customHeight="1">
      <c r="A55" s="2496"/>
      <c r="B55" s="2496"/>
      <c r="C55" s="431" t="s">
        <v>1797</v>
      </c>
      <c r="D55" s="435"/>
      <c r="E55" s="433">
        <f>IF(E48&lt;G48,G48/E48-1,E48/G48-1)</f>
        <v>7.2155635850885691E-2</v>
      </c>
      <c r="F55" s="434" t="str">
        <f>IF(OR(E55&gt;=0.3,E55&lt;=-0.3),"超过30%","")</f>
        <v/>
      </c>
      <c r="G55" s="433">
        <f>IF(G48&lt;I48,I48/G48-1,G48/I48-1)</f>
        <v>3.5550623677126358E-2</v>
      </c>
      <c r="H55" s="434" t="str">
        <f>IF(OR(G55&gt;=0.3,G55&lt;=-0.3),"超过30%","")</f>
        <v/>
      </c>
      <c r="I55" s="433">
        <f>IF(I48&lt;E48,E48/I48-1,I48/E48-1)</f>
        <v>0.11027143738433076</v>
      </c>
      <c r="J55" s="434"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32"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32">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32"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32"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3167">
        <f t="shared" ref="P59" si="17">EDATE(O59,-1)</f>
        <v>45200</v>
      </c>
      <c r="Q59" s="3167">
        <f t="shared" ref="Q59" si="18">EDATE(P59,-1)</f>
        <v>45170</v>
      </c>
      <c r="R59" s="3167">
        <f t="shared" ref="R59" si="19">EDATE(Q59,-1)</f>
        <v>45139</v>
      </c>
      <c r="S59" s="3167">
        <f t="shared" ref="S59" si="20">EDATE(R59,-1)</f>
        <v>45108</v>
      </c>
      <c r="T59" s="3167">
        <f t="shared" ref="T59" si="21">EDATE(S59,-1)</f>
        <v>45078</v>
      </c>
      <c r="U59" s="3167">
        <f t="shared" ref="U59" si="22">EDATE(T59,-1)</f>
        <v>45047</v>
      </c>
      <c r="V59" s="3167">
        <f t="shared" ref="V59" si="23">EDATE(U59,-1)</f>
        <v>45017</v>
      </c>
      <c r="W59" s="3167">
        <f t="shared" ref="W59" si="24">EDATE(V59,-1)</f>
        <v>44986</v>
      </c>
      <c r="X59" s="3167">
        <f t="shared" ref="X59" si="25">EDATE(W59,-1)</f>
        <v>44958</v>
      </c>
      <c r="Y59" s="3167">
        <f t="shared" ref="Y59" si="26">EDATE(X59,-1)</f>
        <v>44927</v>
      </c>
      <c r="Z59" s="3167">
        <f t="shared" ref="Z59" si="27">EDATE(Y59,-1)</f>
        <v>44896</v>
      </c>
      <c r="AA59" s="3167">
        <f t="shared" ref="AA59" si="28">EDATE(Z59,-1)</f>
        <v>44866</v>
      </c>
      <c r="AB59" s="3167">
        <f t="shared" ref="AB59" si="29">EDATE(AA59,-1)</f>
        <v>44835</v>
      </c>
      <c r="AC59" s="3167">
        <f t="shared" ref="AC59" si="30">EDATE(AB59,-1)</f>
        <v>44805</v>
      </c>
      <c r="AD59" s="3167">
        <f t="shared" ref="AD59" si="31">EDATE(AC59,-1)</f>
        <v>44774</v>
      </c>
      <c r="AE59" s="3167">
        <f t="shared" ref="AE59" si="32">EDATE(AD59,-1)</f>
        <v>44743</v>
      </c>
      <c r="AF59" s="3167">
        <f t="shared" ref="AF59" si="33">EDATE(AE59,-1)</f>
        <v>44713</v>
      </c>
    </row>
    <row r="60" spans="1:32" s="101" customFormat="1" ht="15">
      <c r="A60" s="442"/>
      <c r="B60" s="443"/>
      <c r="C60" s="1101">
        <v>100</v>
      </c>
      <c r="D60" s="445">
        <v>100</v>
      </c>
      <c r="E60" s="445">
        <v>100</v>
      </c>
      <c r="F60" s="445">
        <v>100</v>
      </c>
      <c r="G60" s="445">
        <v>100</v>
      </c>
      <c r="H60" s="445">
        <v>100</v>
      </c>
      <c r="I60" s="445">
        <v>100</v>
      </c>
      <c r="J60" s="445">
        <v>100</v>
      </c>
      <c r="K60" s="445">
        <v>100</v>
      </c>
      <c r="L60" s="445">
        <v>100</v>
      </c>
      <c r="M60" s="446">
        <v>100</v>
      </c>
      <c r="N60" s="445">
        <v>100</v>
      </c>
      <c r="O60" s="446">
        <v>100</v>
      </c>
      <c r="P60" s="445">
        <v>100</v>
      </c>
      <c r="Q60" s="446">
        <v>100</v>
      </c>
      <c r="R60" s="445">
        <v>100</v>
      </c>
      <c r="S60" s="446">
        <v>100</v>
      </c>
      <c r="T60" s="445">
        <v>100</v>
      </c>
      <c r="U60" s="446">
        <v>100</v>
      </c>
      <c r="V60" s="445">
        <v>100</v>
      </c>
      <c r="W60" s="446">
        <v>100</v>
      </c>
      <c r="X60" s="445">
        <v>100</v>
      </c>
      <c r="Y60" s="446">
        <v>100</v>
      </c>
      <c r="Z60" s="445">
        <v>100</v>
      </c>
      <c r="AA60" s="446">
        <v>100</v>
      </c>
      <c r="AB60" s="445">
        <v>100</v>
      </c>
      <c r="AC60" s="446">
        <v>100</v>
      </c>
      <c r="AD60" s="445">
        <v>100</v>
      </c>
      <c r="AE60" s="446">
        <v>100</v>
      </c>
      <c r="AF60" s="445">
        <v>100</v>
      </c>
    </row>
    <row r="61" spans="1:32" s="101" customFormat="1" ht="15.7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32" s="101" customFormat="1" ht="15">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32" s="101" customFormat="1" ht="15.75"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32">
      <c r="A64" s="378" t="s">
        <v>1719</v>
      </c>
      <c r="B64" s="459" t="s">
        <v>1685</v>
      </c>
      <c r="C64" s="460" t="str">
        <f>C9</f>
        <v>商业、办公</v>
      </c>
      <c r="D64" s="3174" t="s">
        <v>3702</v>
      </c>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v>93</v>
      </c>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t="s">
        <v>3719</v>
      </c>
      <c r="D66" s="512" t="s">
        <v>3720</v>
      </c>
      <c r="E66" s="512" t="s">
        <v>3721</v>
      </c>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v>100</v>
      </c>
      <c r="D67" s="466">
        <f>C67-5</f>
        <v>95</v>
      </c>
      <c r="E67" s="466">
        <f>D67-5</f>
        <v>90</v>
      </c>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34">D69&amp;"（含）"&amp;"-"&amp;E69</f>
        <v>3（含）-</v>
      </c>
      <c r="E68" s="477" t="str">
        <f t="shared" si="34"/>
        <v>（含）-</v>
      </c>
      <c r="F68" s="477" t="str">
        <f t="shared" si="34"/>
        <v>（含）-</v>
      </c>
      <c r="G68" s="477" t="str">
        <f t="shared" si="34"/>
        <v>（含）-</v>
      </c>
      <c r="H68" s="477" t="str">
        <f t="shared" si="34"/>
        <v>（含）-</v>
      </c>
      <c r="I68" s="477" t="str">
        <f t="shared" si="34"/>
        <v>（含）-</v>
      </c>
      <c r="J68" s="477" t="str">
        <f t="shared" si="34"/>
        <v>（含）-</v>
      </c>
      <c r="K68" s="477" t="str">
        <f t="shared" si="34"/>
        <v>（含）-</v>
      </c>
      <c r="L68" s="477" t="str">
        <f t="shared" si="3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35">C70-$K11</f>
        <v>100</v>
      </c>
      <c r="E70" s="474">
        <f t="shared" si="35"/>
        <v>100</v>
      </c>
      <c r="F70" s="474">
        <f t="shared" si="35"/>
        <v>100</v>
      </c>
      <c r="G70" s="474">
        <f t="shared" si="35"/>
        <v>100</v>
      </c>
      <c r="H70" s="474">
        <f t="shared" si="35"/>
        <v>100</v>
      </c>
      <c r="I70" s="474">
        <f t="shared" si="35"/>
        <v>100</v>
      </c>
      <c r="J70" s="474">
        <f t="shared" si="35"/>
        <v>100</v>
      </c>
      <c r="K70" s="474">
        <f t="shared" si="35"/>
        <v>100</v>
      </c>
      <c r="L70" s="474">
        <f t="shared" si="35"/>
        <v>100</v>
      </c>
      <c r="M70" s="475">
        <f t="shared" si="35"/>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97</v>
      </c>
      <c r="E78" s="474">
        <f>D78-$K15</f>
        <v>94</v>
      </c>
      <c r="F78" s="474">
        <f>E78-$K15</f>
        <v>91</v>
      </c>
      <c r="G78" s="474">
        <f>F78-$K15</f>
        <v>88</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97</v>
      </c>
      <c r="E80" s="474">
        <f>D80-$K17</f>
        <v>94</v>
      </c>
      <c r="F80" s="474">
        <f>E80-$K17</f>
        <v>91</v>
      </c>
      <c r="G80" s="474">
        <f>F80-$K17</f>
        <v>88</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97</v>
      </c>
      <c r="E82" s="474">
        <f>D82-$K19</f>
        <v>94</v>
      </c>
      <c r="F82" s="474">
        <f>E82-$K19</f>
        <v>91</v>
      </c>
      <c r="G82" s="474">
        <f>F82-$K19</f>
        <v>88</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98</v>
      </c>
      <c r="E84" s="474">
        <f>D84-$K21</f>
        <v>96</v>
      </c>
      <c r="F84" s="474">
        <f>E84-$K21</f>
        <v>94</v>
      </c>
      <c r="G84" s="474">
        <f>F84-$K21</f>
        <v>92</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97</v>
      </c>
      <c r="E86" s="474">
        <f>D86-$K23</f>
        <v>94</v>
      </c>
      <c r="F86" s="474">
        <f>E86-$K23</f>
        <v>91</v>
      </c>
      <c r="G86" s="474">
        <f>F86-$K23</f>
        <v>88</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7.75" thickTop="1">
      <c r="A87" s="369"/>
      <c r="B87" s="468" t="s">
        <v>1823</v>
      </c>
      <c r="C87" s="3161" t="s">
        <v>3722</v>
      </c>
      <c r="D87" s="3161" t="s">
        <v>3723</v>
      </c>
      <c r="E87" s="3161" t="s">
        <v>3724</v>
      </c>
      <c r="F87" s="3161" t="s">
        <v>3725</v>
      </c>
      <c r="G87" s="3161" t="s">
        <v>3726</v>
      </c>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36">C88-$K25</f>
        <v>98</v>
      </c>
      <c r="E88" s="474">
        <f t="shared" si="36"/>
        <v>96</v>
      </c>
      <c r="F88" s="474">
        <f t="shared" si="36"/>
        <v>94</v>
      </c>
      <c r="G88" s="474">
        <f t="shared" si="36"/>
        <v>92</v>
      </c>
      <c r="H88" s="474">
        <f t="shared" si="36"/>
        <v>90</v>
      </c>
      <c r="I88" s="474">
        <f t="shared" si="36"/>
        <v>88</v>
      </c>
      <c r="J88" s="474">
        <f t="shared" si="36"/>
        <v>86</v>
      </c>
      <c r="K88" s="474">
        <f t="shared" si="36"/>
        <v>84</v>
      </c>
      <c r="L88" s="474">
        <f t="shared" si="36"/>
        <v>82</v>
      </c>
      <c r="M88" s="474">
        <f t="shared" si="36"/>
        <v>80</v>
      </c>
      <c r="N88" s="2521"/>
      <c r="O88" s="2521"/>
      <c r="P88" s="2529"/>
      <c r="Q88" s="2507"/>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37">D90-$K27</f>
        <v>100</v>
      </c>
      <c r="F90" s="474">
        <f t="shared" si="37"/>
        <v>100</v>
      </c>
      <c r="G90" s="474">
        <f t="shared" si="37"/>
        <v>100</v>
      </c>
      <c r="H90" s="474">
        <f t="shared" si="37"/>
        <v>100</v>
      </c>
      <c r="I90" s="474">
        <f t="shared" si="37"/>
        <v>100</v>
      </c>
      <c r="J90" s="474">
        <f t="shared" si="37"/>
        <v>100</v>
      </c>
      <c r="K90" s="474">
        <f t="shared" si="37"/>
        <v>100</v>
      </c>
      <c r="L90" s="474">
        <f t="shared" si="37"/>
        <v>100</v>
      </c>
      <c r="M90" s="474">
        <f t="shared" si="37"/>
        <v>100</v>
      </c>
      <c r="N90" s="2521"/>
      <c r="O90" s="2521"/>
      <c r="P90" s="2529"/>
      <c r="Q90" s="2507"/>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38">C92-$K28</f>
        <v>100</v>
      </c>
      <c r="E92" s="474">
        <f t="shared" si="38"/>
        <v>100</v>
      </c>
      <c r="F92" s="474">
        <f t="shared" si="38"/>
        <v>100</v>
      </c>
      <c r="G92" s="474">
        <f t="shared" si="38"/>
        <v>100</v>
      </c>
      <c r="H92" s="474">
        <f t="shared" si="38"/>
        <v>100</v>
      </c>
      <c r="I92" s="474">
        <f t="shared" si="38"/>
        <v>100</v>
      </c>
      <c r="J92" s="474">
        <f t="shared" si="38"/>
        <v>100</v>
      </c>
      <c r="K92" s="474">
        <f t="shared" si="38"/>
        <v>100</v>
      </c>
      <c r="L92" s="474">
        <f t="shared" si="38"/>
        <v>100</v>
      </c>
      <c r="M92" s="474">
        <f t="shared" si="38"/>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t="str">
        <f>B29</f>
        <v>商业繁华程度</v>
      </c>
      <c r="C93" s="484" t="s">
        <v>3668</v>
      </c>
      <c r="D93" s="484" t="s">
        <v>3667</v>
      </c>
      <c r="E93" s="484" t="s">
        <v>3666</v>
      </c>
      <c r="F93" s="484" t="s">
        <v>3745</v>
      </c>
      <c r="G93" s="484" t="s">
        <v>3746</v>
      </c>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v>100</v>
      </c>
      <c r="D94" s="466">
        <f>C94-2</f>
        <v>98</v>
      </c>
      <c r="E94" s="466">
        <f t="shared" ref="E94:G94" si="39">D94-2</f>
        <v>96</v>
      </c>
      <c r="F94" s="466">
        <f t="shared" si="39"/>
        <v>94</v>
      </c>
      <c r="G94" s="466">
        <f t="shared" si="39"/>
        <v>92</v>
      </c>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0</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0</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0</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40">C102-$K33</f>
        <v>95</v>
      </c>
      <c r="E102" s="474">
        <f t="shared" si="40"/>
        <v>90</v>
      </c>
      <c r="F102" s="474">
        <f t="shared" si="40"/>
        <v>85</v>
      </c>
      <c r="G102" s="474">
        <f t="shared" si="40"/>
        <v>80</v>
      </c>
      <c r="H102" s="474">
        <f t="shared" si="40"/>
        <v>75</v>
      </c>
      <c r="I102" s="474">
        <f t="shared" si="40"/>
        <v>70</v>
      </c>
      <c r="J102" s="474">
        <f t="shared" si="40"/>
        <v>65</v>
      </c>
      <c r="K102" s="474">
        <f t="shared" si="40"/>
        <v>60</v>
      </c>
      <c r="L102" s="474">
        <f t="shared" si="40"/>
        <v>55</v>
      </c>
      <c r="M102" s="475">
        <f t="shared" si="40"/>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6"/>
      <c r="B103" s="468" t="s">
        <v>1737</v>
      </c>
      <c r="C103" s="508" t="str">
        <f>C104&amp;"(含)"&amp;"-"&amp;D104</f>
        <v>0(含)-20000</v>
      </c>
      <c r="D103" s="508" t="str">
        <f t="shared" ref="D103:L103" si="41">D104&amp;"(含)"&amp;"-"&amp;E104</f>
        <v>20000(含)-50000</v>
      </c>
      <c r="E103" s="508" t="str">
        <f t="shared" si="41"/>
        <v>50000(含)-100000</v>
      </c>
      <c r="F103" s="508" t="str">
        <f t="shared" si="41"/>
        <v>100000(含)-</v>
      </c>
      <c r="G103" s="508" t="str">
        <f t="shared" si="41"/>
        <v>(含)-</v>
      </c>
      <c r="H103" s="508" t="str">
        <f t="shared" si="41"/>
        <v>(含)-</v>
      </c>
      <c r="I103" s="508" t="str">
        <f t="shared" si="41"/>
        <v>(含)-</v>
      </c>
      <c r="J103" s="508" t="str">
        <f t="shared" si="41"/>
        <v>(含)-</v>
      </c>
      <c r="K103" s="508" t="str">
        <f t="shared" si="41"/>
        <v>(含)-</v>
      </c>
      <c r="L103" s="508" t="str">
        <f t="shared" si="41"/>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v>0</v>
      </c>
      <c r="D104" s="6">
        <v>20000</v>
      </c>
      <c r="E104" s="6">
        <v>50000</v>
      </c>
      <c r="F104" s="6">
        <v>100000</v>
      </c>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v>100</v>
      </c>
      <c r="D105" s="466">
        <f>C105-1</f>
        <v>99</v>
      </c>
      <c r="E105" s="466">
        <f>D105-1</f>
        <v>98</v>
      </c>
      <c r="F105" s="466">
        <f>E105-1</f>
        <v>97</v>
      </c>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42">C107-$K35</f>
        <v>98</v>
      </c>
      <c r="E107" s="474">
        <f t="shared" si="42"/>
        <v>96</v>
      </c>
      <c r="F107" s="474">
        <f t="shared" si="42"/>
        <v>94</v>
      </c>
      <c r="G107" s="474">
        <f t="shared" si="42"/>
        <v>92</v>
      </c>
      <c r="H107" s="474">
        <f t="shared" si="42"/>
        <v>90</v>
      </c>
      <c r="I107" s="474">
        <f t="shared" si="42"/>
        <v>88</v>
      </c>
      <c r="J107" s="474">
        <f t="shared" si="42"/>
        <v>86</v>
      </c>
      <c r="K107" s="474">
        <f t="shared" si="42"/>
        <v>84</v>
      </c>
      <c r="L107" s="474">
        <f t="shared" si="42"/>
        <v>82</v>
      </c>
      <c r="M107" s="475">
        <f t="shared" si="42"/>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43">C109-$K36</f>
        <v>98</v>
      </c>
      <c r="E109" s="474">
        <f t="shared" si="43"/>
        <v>96</v>
      </c>
      <c r="F109" s="474">
        <f t="shared" si="43"/>
        <v>94</v>
      </c>
      <c r="G109" s="474">
        <f t="shared" si="43"/>
        <v>92</v>
      </c>
      <c r="H109" s="474">
        <f t="shared" si="43"/>
        <v>90</v>
      </c>
      <c r="I109" s="474">
        <f t="shared" si="43"/>
        <v>88</v>
      </c>
      <c r="J109" s="474">
        <f t="shared" si="43"/>
        <v>86</v>
      </c>
      <c r="K109" s="474">
        <f t="shared" si="43"/>
        <v>84</v>
      </c>
      <c r="L109" s="474">
        <f t="shared" si="43"/>
        <v>82</v>
      </c>
      <c r="M109" s="475">
        <f t="shared" si="43"/>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101</v>
      </c>
      <c r="E112" s="474">
        <f t="shared" ref="E112:M112" si="44">D112+$K37</f>
        <v>102</v>
      </c>
      <c r="F112" s="474">
        <f t="shared" si="44"/>
        <v>103</v>
      </c>
      <c r="G112" s="474">
        <f t="shared" si="44"/>
        <v>104</v>
      </c>
      <c r="H112" s="474">
        <f t="shared" si="44"/>
        <v>105</v>
      </c>
      <c r="I112" s="474">
        <f t="shared" si="44"/>
        <v>106</v>
      </c>
      <c r="J112" s="474">
        <f t="shared" si="44"/>
        <v>107</v>
      </c>
      <c r="K112" s="474">
        <f t="shared" si="44"/>
        <v>108</v>
      </c>
      <c r="L112" s="474">
        <f t="shared" si="44"/>
        <v>109</v>
      </c>
      <c r="M112" s="474">
        <f t="shared" si="44"/>
        <v>110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45">D114-$K38</f>
        <v>100</v>
      </c>
      <c r="F114" s="474">
        <f t="shared" si="45"/>
        <v>100</v>
      </c>
      <c r="G114" s="474">
        <f t="shared" si="45"/>
        <v>100</v>
      </c>
      <c r="H114" s="474">
        <f t="shared" si="45"/>
        <v>100</v>
      </c>
      <c r="I114" s="474">
        <f t="shared" si="45"/>
        <v>100</v>
      </c>
      <c r="J114" s="474">
        <f t="shared" si="45"/>
        <v>100</v>
      </c>
      <c r="K114" s="474">
        <f t="shared" si="45"/>
        <v>100</v>
      </c>
      <c r="L114" s="474">
        <f t="shared" si="45"/>
        <v>100</v>
      </c>
      <c r="M114" s="474">
        <f t="shared" si="45"/>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46">C116-$K39</f>
        <v>97</v>
      </c>
      <c r="E116" s="474">
        <f t="shared" si="46"/>
        <v>94</v>
      </c>
      <c r="F116" s="474">
        <f t="shared" si="46"/>
        <v>91</v>
      </c>
      <c r="G116" s="474">
        <f t="shared" si="46"/>
        <v>88</v>
      </c>
      <c r="H116" s="474">
        <f t="shared" si="46"/>
        <v>85</v>
      </c>
      <c r="I116" s="474">
        <f t="shared" si="46"/>
        <v>82</v>
      </c>
      <c r="J116" s="474">
        <f t="shared" si="46"/>
        <v>79</v>
      </c>
      <c r="K116" s="474">
        <f t="shared" si="46"/>
        <v>76</v>
      </c>
      <c r="L116" s="474">
        <f t="shared" si="46"/>
        <v>73</v>
      </c>
      <c r="M116" s="475">
        <f t="shared" si="46"/>
        <v>70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98</v>
      </c>
      <c r="E118" s="474">
        <f>D118-$K40</f>
        <v>96</v>
      </c>
      <c r="F118" s="474">
        <f>E118-$K40</f>
        <v>94</v>
      </c>
      <c r="G118" s="474">
        <f>F118-$K40</f>
        <v>92</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47">D120-$K41</f>
        <v>100</v>
      </c>
      <c r="F120" s="474">
        <f t="shared" si="47"/>
        <v>100</v>
      </c>
      <c r="G120" s="474">
        <f t="shared" si="47"/>
        <v>100</v>
      </c>
      <c r="H120" s="474">
        <f t="shared" si="47"/>
        <v>100</v>
      </c>
      <c r="I120" s="474">
        <f t="shared" si="47"/>
        <v>100</v>
      </c>
      <c r="J120" s="474">
        <f t="shared" si="47"/>
        <v>100</v>
      </c>
      <c r="K120" s="474">
        <f t="shared" si="47"/>
        <v>100</v>
      </c>
      <c r="L120" s="474">
        <f t="shared" si="47"/>
        <v>100</v>
      </c>
      <c r="M120" s="474">
        <f t="shared" si="47"/>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t="s">
        <v>3705</v>
      </c>
      <c r="D123" s="484" t="s">
        <v>3709</v>
      </c>
      <c r="E123" s="484" t="s">
        <v>3727</v>
      </c>
      <c r="F123" s="512" t="s">
        <v>3708</v>
      </c>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48">C124-$K43</f>
        <v>99</v>
      </c>
      <c r="E124" s="474">
        <f t="shared" si="48"/>
        <v>98</v>
      </c>
      <c r="F124" s="474">
        <f t="shared" si="48"/>
        <v>97</v>
      </c>
      <c r="G124" s="474">
        <f t="shared" si="48"/>
        <v>96</v>
      </c>
      <c r="H124" s="474">
        <f t="shared" si="48"/>
        <v>95</v>
      </c>
      <c r="I124" s="474">
        <f t="shared" si="48"/>
        <v>94</v>
      </c>
      <c r="J124" s="474">
        <f t="shared" si="48"/>
        <v>93</v>
      </c>
      <c r="K124" s="474">
        <f t="shared" si="48"/>
        <v>92</v>
      </c>
      <c r="L124" s="474">
        <f t="shared" si="48"/>
        <v>91</v>
      </c>
      <c r="M124" s="475">
        <f t="shared" si="48"/>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t="str">
        <f>B45</f>
        <v>地下占比</v>
      </c>
      <c r="C127" s="484">
        <v>0</v>
      </c>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v>100</v>
      </c>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f>B46</f>
        <v>0</v>
      </c>
      <c r="C129" s="484"/>
      <c r="D129" s="484" t="s">
        <v>3715</v>
      </c>
      <c r="E129" s="3176" t="s">
        <v>3714</v>
      </c>
      <c r="F129" s="484" t="s">
        <v>3716</v>
      </c>
      <c r="G129" s="512" t="s">
        <v>3717</v>
      </c>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c r="D130" s="490">
        <v>90</v>
      </c>
      <c r="E130" s="490">
        <v>95</v>
      </c>
      <c r="F130" s="490">
        <v>100</v>
      </c>
      <c r="G130" s="466">
        <v>95</v>
      </c>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0</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f ca="1">IF(D2="——",C52,C52-E2)</f>
        <v>384572</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38874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214381</v>
      </c>
      <c r="D5" s="202" t="s">
        <v>1469</v>
      </c>
      <c r="E5" s="203" t="s">
        <v>1470</v>
      </c>
      <c r="F5" s="203" t="s">
        <v>1471</v>
      </c>
      <c r="G5" s="204"/>
    </row>
    <row r="6" spans="1:9" s="205" customFormat="1" ht="13.5" customHeight="1">
      <c r="A6" s="731" t="s">
        <v>1472</v>
      </c>
      <c r="B6" s="206" t="s">
        <v>1473</v>
      </c>
      <c r="C6" s="207">
        <f ca="1">'基准地价（汇总）'!B2</f>
        <v>206115</v>
      </c>
      <c r="D6" s="208"/>
      <c r="E6" s="209"/>
      <c r="F6" s="209"/>
      <c r="G6" s="210"/>
    </row>
    <row r="7" spans="1:9" s="205" customFormat="1" ht="13.5" customHeight="1">
      <c r="A7" s="731" t="s">
        <v>1474</v>
      </c>
      <c r="B7" s="206" t="s">
        <v>1475</v>
      </c>
      <c r="C7" s="211">
        <f ca="1">ROUND(C6*F7,0)</f>
        <v>6287</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1979</v>
      </c>
      <c r="D8" s="213"/>
      <c r="E8" s="211"/>
      <c r="F8" s="212"/>
      <c r="G8" s="1713" t="s">
        <v>3676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3677</v>
      </c>
      <c r="H9" s="1069"/>
      <c r="I9" s="1715" t="s">
        <v>1479</v>
      </c>
    </row>
    <row r="10" spans="1:9" s="205" customFormat="1" ht="13.5" customHeight="1">
      <c r="A10" s="732" t="s">
        <v>356</v>
      </c>
      <c r="B10" s="215" t="s">
        <v>1480</v>
      </c>
      <c r="C10" s="216">
        <f ca="1">ROUND(D10*E10/10000,0)</f>
        <v>1979</v>
      </c>
      <c r="D10" s="794">
        <f ca="1">IF(B1="",'数据-汇总表'!E6,IF(INDIRECT("'数据-取费表'!c"&amp;$G$1)="住宅",INDIRECT("'数据-取费表'!s"&amp;$G$1),INDIRECT("'数据-取费表'!k"&amp;$G$1)+INDIRECT("'数据-取费表'!s"&amp;$G$1)))</f>
        <v>98928.560000000012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98928.560000000012</v>
      </c>
      <c r="E19" s="202">
        <f>'数据-取费表'!B31</f>
        <v>200</v>
      </c>
      <c r="F19" s="222"/>
      <c r="G19" s="1713" t="s">
        <v>3678</v>
      </c>
    </row>
    <row r="20" spans="1:7" s="205" customFormat="1" ht="13.5" customHeight="1">
      <c r="A20" s="246" t="s">
        <v>1493</v>
      </c>
      <c r="B20" s="201" t="s">
        <v>1494</v>
      </c>
      <c r="C20" s="223">
        <f ca="1">ROUND((C5+C19)*F20,0)</f>
        <v>4288</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17170</v>
      </c>
      <c r="D22" s="226">
        <f ca="1">C26</f>
        <v>1.1999999999999999E-3</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17003</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167</v>
      </c>
      <c r="D25" s="229"/>
      <c r="E25" s="232"/>
      <c r="F25" s="230"/>
      <c r="G25" s="233" t="s">
        <v>1510</v>
      </c>
    </row>
    <row r="26" spans="1:7" s="205" customFormat="1">
      <c r="A26" s="733" t="s">
        <v>350</v>
      </c>
      <c r="B26" s="206" t="s">
        <v>1511</v>
      </c>
      <c r="C26" s="229">
        <f ca="1">ROUND(IF('数据-取费表'!B22&lt;=1,F21*F22*'数据-取费表'!B23/2,F21*(POWER((1+F22),'数据-取费表'!B23/2)-1)),4)</f>
        <v>1.1999999999999999E-3</v>
      </c>
      <c r="D26" s="229"/>
      <c r="E26" s="232"/>
      <c r="F26" s="230"/>
      <c r="G26" s="234"/>
    </row>
    <row r="27" spans="1:7" s="205" customFormat="1" ht="24.75">
      <c r="A27" s="246" t="s">
        <v>1512</v>
      </c>
      <c r="B27" s="235" t="s">
        <v>1513</v>
      </c>
      <c r="C27" s="236">
        <f ca="1">C28</f>
        <v>43734</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43734</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307392</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66926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60698</v>
      </c>
      <c r="D34" s="208"/>
      <c r="E34" s="211"/>
      <c r="F34" s="248">
        <f ca="1">IF('数据-取费表'!B24=0,1,IF(B1="",'数据-取费表'!N16,INDIRECT("'数据-取费表'!n"&amp;$G$1)))</f>
        <v>1</v>
      </c>
      <c r="G34" s="210" t="s">
        <v>1526</v>
      </c>
    </row>
    <row r="35" spans="1:7" ht="13.5" customHeight="1">
      <c r="A35" s="733" t="s">
        <v>351</v>
      </c>
      <c r="B35" s="206" t="s">
        <v>1527</v>
      </c>
      <c r="C35" s="211">
        <f ca="1">ROUND(C34*F35,0)</f>
        <v>3035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1979</v>
      </c>
      <c r="D37" s="208">
        <f ca="1">D19</f>
        <v>98928.560000000012</v>
      </c>
      <c r="E37" s="240">
        <f>'数据-取费表'!B35</f>
        <v>200</v>
      </c>
      <c r="F37" s="250"/>
      <c r="G37" s="252" t="s">
        <v>1532</v>
      </c>
    </row>
    <row r="38" spans="1:7" ht="13.5" customHeight="1">
      <c r="A38" s="733" t="s">
        <v>354</v>
      </c>
      <c r="B38" s="206" t="s">
        <v>1533</v>
      </c>
      <c r="C38" s="211">
        <f ca="1">ROUND(C34*F38,0)</f>
        <v>1214</v>
      </c>
      <c r="D38" s="211"/>
      <c r="E38" s="211"/>
      <c r="F38" s="250">
        <f>'数据-取费表'!B36</f>
        <v>0.02</v>
      </c>
      <c r="G38" s="210" t="s">
        <v>1528</v>
      </c>
    </row>
    <row r="39" spans="1:7" s="205" customFormat="1" ht="13.5" customHeight="1">
      <c r="A39" s="246" t="s">
        <v>1534</v>
      </c>
      <c r="B39" s="201" t="s">
        <v>1535</v>
      </c>
      <c r="C39" s="223">
        <f ca="1">ROUND(C33*F20,0)</f>
        <v>1339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2603</v>
      </c>
      <c r="D42" s="229"/>
      <c r="E42" s="229"/>
      <c r="F42" s="230"/>
      <c r="G42" s="3426" t="s">
        <v>1544</v>
      </c>
    </row>
    <row r="43" spans="1:7" ht="13.5" customHeight="1">
      <c r="A43" s="733" t="s">
        <v>347</v>
      </c>
      <c r="B43" s="206" t="s">
        <v>1545</v>
      </c>
      <c r="C43" s="229">
        <f ca="1">ROUND(IF('数据-取费表'!B22&lt;=1,C39*F22*'数据-取费表'!B21/2,C39*(POWER((1+F22),'数据-取费表'!B21/2)-1)),0)</f>
        <v>52</v>
      </c>
      <c r="D43" s="229"/>
      <c r="E43" s="229"/>
      <c r="F43" s="230"/>
      <c r="G43" s="3427"/>
    </row>
    <row r="44" spans="1:7" ht="13.5" customHeight="1">
      <c r="A44" s="733" t="s">
        <v>348</v>
      </c>
      <c r="B44" s="206" t="s">
        <v>1546</v>
      </c>
      <c r="C44" s="229">
        <f ca="1">ROUND(IF('数据-取费表'!B22&lt;=1,C40*F22*'数据-取费表'!B21/2,C40*(POWER((1+F22),'数据-取费表'!B21/2)-1)),4)</f>
        <v>1.1999999999999999E-3</v>
      </c>
      <c r="D44" s="229"/>
      <c r="E44" s="229"/>
      <c r="F44" s="230"/>
      <c r="G44" s="3428"/>
    </row>
    <row r="45" spans="1:7" s="205" customFormat="1" ht="13.5" customHeight="1">
      <c r="A45" s="246" t="s">
        <v>1547</v>
      </c>
      <c r="B45" s="235" t="s">
        <v>1513</v>
      </c>
      <c r="C45" s="236">
        <f ca="1">C46</f>
        <v>13653</v>
      </c>
      <c r="D45" s="226">
        <f ca="1">C47</f>
        <v>6.0000000000000001E-3</v>
      </c>
      <c r="E45" s="227" t="s">
        <v>1539</v>
      </c>
      <c r="F45" s="237">
        <f ca="1">F27</f>
        <v>0.2</v>
      </c>
      <c r="G45" s="238" t="s">
        <v>1548</v>
      </c>
    </row>
    <row r="46" spans="1:7" s="205" customFormat="1" ht="13.5" customHeight="1">
      <c r="A46" s="733" t="s">
        <v>346</v>
      </c>
      <c r="B46" s="239" t="s">
        <v>1549</v>
      </c>
      <c r="C46" s="240">
        <f ca="1">ROUND((C33+C39)*F27,0)</f>
        <v>13653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92988</v>
      </c>
      <c r="D49" s="223"/>
      <c r="E49" s="223"/>
      <c r="F49" s="255"/>
      <c r="G49" s="225" t="s">
        <v>1554</v>
      </c>
    </row>
    <row r="50" spans="1:7" s="249" customFormat="1" ht="24">
      <c r="A50" s="246" t="s">
        <v>1555</v>
      </c>
      <c r="B50" s="201" t="s">
        <v>1556</v>
      </c>
      <c r="C50" s="223"/>
      <c r="D50" s="223"/>
      <c r="E50" s="223"/>
      <c r="F50" s="255">
        <f>IF('数据-取费表'!B24=0,'数据-取费表'!N16,1)</f>
        <v>0.83</v>
      </c>
      <c r="G50" s="238" t="s">
        <v>1557</v>
      </c>
    </row>
    <row r="51" spans="1:7" ht="16.5" customHeight="1">
      <c r="A51" s="246" t="s">
        <v>1558</v>
      </c>
      <c r="B51" s="201" t="s">
        <v>1559</v>
      </c>
      <c r="C51" s="223">
        <f ca="1">ROUND(C49*F50,0)</f>
        <v>77180</v>
      </c>
      <c r="D51" s="223"/>
      <c r="E51" s="223"/>
      <c r="F51" s="255"/>
      <c r="G51" s="225" t="s">
        <v>1560</v>
      </c>
    </row>
    <row r="52" spans="1:7" s="199" customFormat="1" ht="16.5" thickBot="1">
      <c r="A52" s="256" t="s">
        <v>1561</v>
      </c>
      <c r="B52" s="257"/>
      <c r="C52" s="258">
        <f ca="1">C31+C51</f>
        <v>384572</v>
      </c>
      <c r="D52" s="257"/>
      <c r="E52" s="257"/>
      <c r="F52" s="257"/>
      <c r="G52" s="259"/>
    </row>
    <row r="55" spans="1:7" ht="15">
      <c r="B55" s="261" t="s">
        <v>1562</v>
      </c>
      <c r="C55" s="262"/>
    </row>
    <row r="56" spans="1:7">
      <c r="B56" s="264" t="s">
        <v>802</v>
      </c>
      <c r="C56" s="266">
        <f ca="1">1-C57</f>
        <v>0.79899999999999993</v>
      </c>
    </row>
    <row r="57" spans="1:7">
      <c r="B57" s="264" t="s">
        <v>803</v>
      </c>
      <c r="C57" s="265">
        <f ca="1">ROUND(C51/C52,3)</f>
        <v>0.20100000000000001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82854.256299999994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8375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19785712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19785712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19785712</v>
      </c>
      <c r="D10" s="794">
        <f ca="1">IF(B1="",'数据-汇总表'!E6,IF(INDIRECT("'数据-取费表'!c"&amp;$G$1)="住宅",INDIRECT("'数据-取费表'!s"&amp;$G$1),INDIRECT("'数据-取费表'!k"&amp;$G$1)+INDIRECT("'数据-取费表'!s"&amp;$G$1)))</f>
        <v>98928.560000000012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19785712</v>
      </c>
      <c r="D19" s="203">
        <f ca="1">D9+D10</f>
        <v>98928.560000000012</v>
      </c>
      <c r="E19" s="202">
        <f>'数据-取费表'!B31</f>
        <v>200</v>
      </c>
      <c r="F19" s="222"/>
      <c r="G19" s="1713"/>
    </row>
    <row r="20" spans="1:7" s="205" customFormat="1" ht="13.5" customHeight="1">
      <c r="A20" s="246" t="s">
        <v>1574</v>
      </c>
      <c r="B20" s="201" t="s">
        <v>1575</v>
      </c>
      <c r="C20" s="223">
        <f ca="1">ROUND((C5+C19)*F20,0)</f>
        <v>791428</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3169242</v>
      </c>
      <c r="D22" s="226">
        <f ca="1">C26</f>
        <v>1.1999999999999999E-3</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1569228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1569228</v>
      </c>
      <c r="D24" s="229"/>
      <c r="E24" s="229"/>
      <c r="F24" s="230"/>
      <c r="G24" s="231" t="s">
        <v>1586</v>
      </c>
    </row>
    <row r="25" spans="1:7" s="205" customFormat="1" ht="24">
      <c r="A25" s="733" t="s">
        <v>1476</v>
      </c>
      <c r="B25" s="206" t="s">
        <v>1587</v>
      </c>
      <c r="C25" s="229">
        <f ca="1">ROUND(IF('数据-取费表'!B22&lt;=1,C20*F22*'数据-取费表'!B22/2,C20*(POWER((1+F22),'数据-取费表'!B22/2)-1)),0)</f>
        <v>30786</v>
      </c>
      <c r="D25" s="229"/>
      <c r="E25" s="232"/>
      <c r="F25" s="230"/>
      <c r="G25" s="233" t="s">
        <v>1588</v>
      </c>
    </row>
    <row r="26" spans="1:7" s="205" customFormat="1">
      <c r="A26" s="733"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8072570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8072570</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56739598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669260165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606985470</v>
      </c>
      <c r="D34" s="208"/>
      <c r="E34" s="211"/>
      <c r="F34" s="248"/>
      <c r="G34" s="210"/>
    </row>
    <row r="35" spans="1:7" ht="13.5" customHeight="1">
      <c r="A35" s="733" t="s">
        <v>351</v>
      </c>
      <c r="B35" s="206" t="s">
        <v>1527</v>
      </c>
      <c r="C35" s="211">
        <f ca="1">ROUND(C34*F35,0)</f>
        <v>30349274</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19785712</v>
      </c>
      <c r="D37" s="208">
        <f ca="1">D19</f>
        <v>98928.560000000012</v>
      </c>
      <c r="E37" s="240">
        <f>'数据-取费表'!B35</f>
        <v>200</v>
      </c>
      <c r="F37" s="250"/>
      <c r="G37" s="252"/>
    </row>
    <row r="38" spans="1:7" ht="13.5" customHeight="1">
      <c r="A38" s="733" t="s">
        <v>354</v>
      </c>
      <c r="B38" s="206" t="s">
        <v>1533</v>
      </c>
      <c r="C38" s="211">
        <f ca="1">ROUND(C34*F38,0)</f>
        <v>12139709</v>
      </c>
      <c r="D38" s="211"/>
      <c r="E38" s="211"/>
      <c r="F38" s="250">
        <f>'数据-取费表'!B36</f>
        <v>0.02</v>
      </c>
      <c r="G38" s="210" t="s">
        <v>1528</v>
      </c>
    </row>
    <row r="39" spans="1:7" s="205" customFormat="1" ht="13.5" customHeight="1">
      <c r="A39" s="246" t="s">
        <v>1534</v>
      </c>
      <c r="B39" s="201" t="s">
        <v>1535</v>
      </c>
      <c r="C39" s="223">
        <f ca="1">ROUND(C33*F20,0)</f>
        <v>13385203</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26554228</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26033557</v>
      </c>
      <c r="D42" s="229"/>
      <c r="E42" s="229"/>
      <c r="F42" s="230"/>
      <c r="G42" s="3426" t="s">
        <v>1591</v>
      </c>
    </row>
    <row r="43" spans="1:7" ht="13.5" customHeight="1">
      <c r="A43" s="733" t="s">
        <v>347</v>
      </c>
      <c r="B43" s="206" t="s">
        <v>1545</v>
      </c>
      <c r="C43" s="229">
        <f ca="1">ROUND(IF('数据-取费表'!B22&lt;=1,C39*F22*'数据-取费表'!B20/2,C39*(POWER((1+F22),'数据-取费表'!B20/2)-1)),0)</f>
        <v>520671</v>
      </c>
      <c r="D43" s="229"/>
      <c r="E43" s="229"/>
      <c r="F43" s="230"/>
      <c r="G43" s="3427"/>
    </row>
    <row r="44" spans="1:7" ht="13.5" customHeight="1">
      <c r="A44" s="733" t="s">
        <v>348</v>
      </c>
      <c r="B44" s="206" t="s">
        <v>1546</v>
      </c>
      <c r="C44" s="229">
        <f ca="1">ROUND(IF('数据-取费表'!B22&lt;=1,C40*F22*'数据-取费表'!B20/2,C40*(POWER((1+F22),'数据-取费表'!B20/2)-1)),4)</f>
        <v>1.1999999999999999E-3</v>
      </c>
      <c r="D44" s="229"/>
      <c r="E44" s="229"/>
      <c r="F44" s="230"/>
      <c r="G44" s="3428"/>
    </row>
    <row r="45" spans="1:7" s="205" customFormat="1" ht="13.5" customHeight="1">
      <c r="A45" s="246" t="s">
        <v>1547</v>
      </c>
      <c r="B45" s="235" t="s">
        <v>1513</v>
      </c>
      <c r="C45" s="236">
        <f ca="1">C46</f>
        <v>136529074</v>
      </c>
      <c r="D45" s="226">
        <f ca="1">C47</f>
        <v>6.0000000000000001E-3</v>
      </c>
      <c r="E45" s="227" t="s">
        <v>1539</v>
      </c>
      <c r="F45" s="237">
        <f ca="1">F27</f>
        <v>0.2</v>
      </c>
      <c r="G45" s="238" t="s">
        <v>1548</v>
      </c>
    </row>
    <row r="46" spans="1:7" s="205" customFormat="1" ht="13.5" customHeight="1">
      <c r="A46" s="733" t="s">
        <v>346</v>
      </c>
      <c r="B46" s="239" t="s">
        <v>1549</v>
      </c>
      <c r="C46" s="240">
        <f ca="1">ROUND((C33+C39)*F27,0)</f>
        <v>136529074</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929883090</v>
      </c>
      <c r="D49" s="223"/>
      <c r="E49" s="223"/>
      <c r="F49" s="255"/>
      <c r="G49" s="225" t="s">
        <v>1554</v>
      </c>
    </row>
    <row r="50" spans="1:7" s="249" customFormat="1">
      <c r="A50" s="246" t="s">
        <v>1555</v>
      </c>
      <c r="B50" s="201" t="s">
        <v>1556</v>
      </c>
      <c r="C50" s="223"/>
      <c r="D50" s="223"/>
      <c r="E50" s="223"/>
      <c r="F50" s="255">
        <f>IF('数据-取费表'!B24=0,'数据-取费表'!N16,1)</f>
        <v>0.83</v>
      </c>
      <c r="G50" s="238"/>
    </row>
    <row r="51" spans="1:7" ht="16.5" customHeight="1">
      <c r="A51" s="246" t="s">
        <v>1558</v>
      </c>
      <c r="B51" s="201" t="s">
        <v>1593</v>
      </c>
      <c r="C51" s="223">
        <f ca="1">ROUND(C49*F50,0)</f>
        <v>771802965</v>
      </c>
      <c r="D51" s="223"/>
      <c r="E51" s="223"/>
      <c r="F51" s="255"/>
      <c r="G51" s="225" t="s">
        <v>1560</v>
      </c>
    </row>
    <row r="52" spans="1:7" s="199" customFormat="1" ht="16.5" thickBot="1">
      <c r="A52" s="256" t="s">
        <v>1561</v>
      </c>
      <c r="B52" s="257"/>
      <c r="C52" s="258">
        <f ca="1">C31+C51</f>
        <v>828542563</v>
      </c>
      <c r="D52" s="257"/>
      <c r="E52" s="257"/>
      <c r="F52" s="257"/>
      <c r="G52" s="259"/>
    </row>
    <row r="55" spans="1:7" ht="15">
      <c r="B55" s="261" t="s">
        <v>1562</v>
      </c>
      <c r="C55" s="262"/>
    </row>
    <row r="56" spans="1:7">
      <c r="B56" s="264" t="s">
        <v>802</v>
      </c>
      <c r="C56" s="266">
        <f ca="1">1-C57</f>
        <v>6.7999999999999949E-2</v>
      </c>
    </row>
    <row r="57" spans="1:7">
      <c r="B57" s="264" t="s">
        <v>803</v>
      </c>
      <c r="C57" s="265">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6"/>
      <c r="F1" s="2566"/>
      <c r="G1" s="2448"/>
      <c r="H1" s="2566"/>
      <c r="I1" s="2566"/>
      <c r="J1" s="2566"/>
      <c r="K1" s="2567">
        <f>MATCH(C1,'数据-取费表'!A6:A16,0)+5</f>
        <v>8</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98928.560000000012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98928.560000000012</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1979</v>
      </c>
      <c r="D20" s="795">
        <f ca="1">IF(C1="",'数据-汇总表'!E6,IF(INDIRECT("'数据-取费表'!c"&amp;$K$1)="住宅",INDIRECT("'数据-取费表'!s"&amp;$K$1),INDIRECT("'数据-取费表'!k"&amp;$K$1)+INDIRECT("'数据-取费表'!s"&amp;$K$1)))</f>
        <v>98928.560000000012</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D22" sqref="D2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211717</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21401</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97" t="s">
        <v>1770</v>
      </c>
      <c r="D4" s="3398"/>
      <c r="E4" s="3399" t="s">
        <v>1771</v>
      </c>
      <c r="F4" s="3400"/>
      <c r="G4" s="3397" t="s">
        <v>1772</v>
      </c>
      <c r="H4" s="3398"/>
      <c r="I4" s="3397" t="s">
        <v>1773</v>
      </c>
      <c r="J4" s="3398"/>
      <c r="K4" s="536" t="s">
        <v>1774</v>
      </c>
      <c r="L4" s="2485"/>
      <c r="M4" s="2486"/>
      <c r="N4" s="2486"/>
      <c r="O4" s="2486"/>
      <c r="P4" s="3433" t="s">
        <v>1775</v>
      </c>
      <c r="Q4" s="3434"/>
      <c r="R4" s="3430" t="s">
        <v>1771</v>
      </c>
      <c r="S4" s="3431"/>
      <c r="T4" s="3430" t="s">
        <v>1772</v>
      </c>
      <c r="U4" s="3431"/>
      <c r="V4" s="3410" t="s">
        <v>1773</v>
      </c>
      <c r="W4" s="3410"/>
      <c r="X4" s="1264"/>
      <c r="Y4" s="3430" t="s">
        <v>1775</v>
      </c>
      <c r="Z4" s="3431"/>
      <c r="AA4" s="3429" t="s">
        <v>1771</v>
      </c>
      <c r="AB4" s="3377" t="s">
        <v>1772</v>
      </c>
      <c r="AC4" s="3429" t="s">
        <v>1773</v>
      </c>
    </row>
    <row r="5" spans="1:29" ht="43.5" customHeight="1">
      <c r="A5" s="347"/>
      <c r="B5" s="348"/>
      <c r="C5" s="3432" t="s">
        <v>1673</v>
      </c>
      <c r="D5" s="3388"/>
      <c r="E5" s="3385" t="s">
        <v>3665</v>
      </c>
      <c r="F5" s="3386"/>
      <c r="G5" s="3387" t="s">
        <v>3664</v>
      </c>
      <c r="H5" s="3388"/>
      <c r="I5" s="3387" t="s">
        <v>3663</v>
      </c>
      <c r="J5" s="3388"/>
      <c r="K5" s="536"/>
      <c r="L5" s="2485"/>
      <c r="M5" s="2486"/>
      <c r="N5" s="2486"/>
      <c r="O5" s="2486"/>
      <c r="P5" s="3435"/>
      <c r="Q5" s="3404"/>
      <c r="R5" s="3383"/>
      <c r="S5" s="3384"/>
      <c r="T5" s="3383"/>
      <c r="U5" s="3384"/>
      <c r="V5" s="3410"/>
      <c r="W5" s="3410"/>
      <c r="X5" s="1264"/>
      <c r="Y5" s="3383"/>
      <c r="Z5" s="3384"/>
      <c r="AA5" s="3377"/>
      <c r="AB5" s="3377"/>
      <c r="AC5" s="3377"/>
    </row>
    <row r="6" spans="1:29" ht="15.75" thickBot="1">
      <c r="A6" s="349"/>
      <c r="B6" s="350"/>
      <c r="C6" s="3389" t="s">
        <v>1677</v>
      </c>
      <c r="D6" s="3390"/>
      <c r="E6" s="3391" t="s">
        <v>1677</v>
      </c>
      <c r="F6" s="3392"/>
      <c r="G6" s="3389" t="s">
        <v>1677</v>
      </c>
      <c r="H6" s="3390"/>
      <c r="I6" s="3389" t="s">
        <v>1677</v>
      </c>
      <c r="J6" s="3390"/>
      <c r="K6" s="536" t="s">
        <v>1678</v>
      </c>
      <c r="L6" s="2485"/>
      <c r="M6" s="2486"/>
      <c r="N6" s="2486"/>
      <c r="O6" s="2486"/>
      <c r="P6" s="3436"/>
      <c r="Q6" s="3406"/>
      <c r="R6" s="3383"/>
      <c r="S6" s="3384"/>
      <c r="T6" s="3407"/>
      <c r="U6" s="3408"/>
      <c r="V6" s="3410"/>
      <c r="W6" s="3410"/>
      <c r="X6" s="1264"/>
      <c r="Y6" s="3407"/>
      <c r="Z6" s="3408"/>
      <c r="AA6" s="3378"/>
      <c r="AB6" s="3378"/>
      <c r="AC6" s="3378"/>
    </row>
    <row r="7" spans="1:29" s="101" customFormat="1" ht="15.75" thickBot="1">
      <c r="A7" s="351" t="s">
        <v>1679</v>
      </c>
      <c r="B7" s="352"/>
      <c r="C7" s="353">
        <f>'数据-取费表'!B2</f>
        <v>45600</v>
      </c>
      <c r="D7" s="354">
        <v>100</v>
      </c>
      <c r="E7" s="355">
        <v>45320</v>
      </c>
      <c r="F7" s="356">
        <f>SUMIF(69:69,YEAR(E7)&amp;"-"&amp;INT((MONTH(E7)+2)/3),70:70)</f>
        <v>100</v>
      </c>
      <c r="G7" s="1821">
        <v>45114</v>
      </c>
      <c r="H7" s="354">
        <f>SUMIF(69:69,YEAR(G7)&amp;"-"&amp;INT((MONTH(G7)+2)/3),70:70)</f>
        <v>99</v>
      </c>
      <c r="I7" s="1821">
        <v>44980</v>
      </c>
      <c r="J7" s="354">
        <f>SUMIF(69:69,YEAR(I7)&amp;"-"&amp;INT((MONTH(I7)+2)/3),70:70)</f>
        <v>98</v>
      </c>
      <c r="K7" s="37"/>
      <c r="L7" s="2487"/>
      <c r="M7" s="2439"/>
      <c r="N7" s="2439"/>
      <c r="O7" s="2439"/>
      <c r="P7" s="3379" t="s">
        <v>1680</v>
      </c>
      <c r="Q7" s="3412"/>
      <c r="R7" s="663" t="s">
        <v>14</v>
      </c>
      <c r="S7" s="664">
        <f t="shared" ref="S7:S15" si="0">F7</f>
        <v>100</v>
      </c>
      <c r="T7" s="663" t="s">
        <v>14</v>
      </c>
      <c r="U7" s="664">
        <f t="shared" ref="U7:U15" si="1">H7</f>
        <v>99</v>
      </c>
      <c r="V7" s="663" t="s">
        <v>14</v>
      </c>
      <c r="W7" s="664">
        <f t="shared" ref="W7:W15" si="2">J7</f>
        <v>98</v>
      </c>
      <c r="X7" s="665"/>
      <c r="Y7" s="3379" t="s">
        <v>1680</v>
      </c>
      <c r="Z7" s="3380"/>
      <c r="AA7" s="49">
        <f>D7/F7</f>
        <v>1</v>
      </c>
      <c r="AB7" s="49">
        <f>D7/H7</f>
        <v>1.0101010101010102</v>
      </c>
      <c r="AC7" s="49">
        <f>D7/J7</f>
        <v>1.0204081632653061</v>
      </c>
    </row>
    <row r="8" spans="1:29" s="101" customFormat="1" ht="15.75" thickBot="1">
      <c r="A8" s="351" t="s">
        <v>1681</v>
      </c>
      <c r="B8" s="352"/>
      <c r="C8" s="357" t="s">
        <v>1682</v>
      </c>
      <c r="D8" s="354">
        <v>100</v>
      </c>
      <c r="E8" s="357" t="s">
        <v>3621</v>
      </c>
      <c r="F8" s="356">
        <f>SUMIF(72:72,E8,73:73)-SUMIF(72:72,C8,73:73)+100</f>
        <v>100</v>
      </c>
      <c r="G8" s="357" t="s">
        <v>3621</v>
      </c>
      <c r="H8" s="354">
        <f>SUMIF(72:72,G8,73:73)-SUMIF(72:72,C8,73:73)+100</f>
        <v>100</v>
      </c>
      <c r="I8" s="357" t="s">
        <v>3621</v>
      </c>
      <c r="J8" s="354">
        <f>SUMIF(72:72,I8,73:73)-SUMIF(72:72,C8,73:73)+100</f>
        <v>100</v>
      </c>
      <c r="K8" s="37"/>
      <c r="L8" s="2487"/>
      <c r="M8" s="2439"/>
      <c r="N8" s="2439"/>
      <c r="O8" s="2439"/>
      <c r="P8" s="3379" t="s">
        <v>1683</v>
      </c>
      <c r="Q8" s="3380"/>
      <c r="R8" s="663" t="s">
        <v>14</v>
      </c>
      <c r="S8" s="664">
        <f t="shared" si="0"/>
        <v>100</v>
      </c>
      <c r="T8" s="663" t="s">
        <v>14</v>
      </c>
      <c r="U8" s="664">
        <f t="shared" si="1"/>
        <v>100</v>
      </c>
      <c r="V8" s="663" t="s">
        <v>14</v>
      </c>
      <c r="W8" s="664">
        <f t="shared" si="2"/>
        <v>100</v>
      </c>
      <c r="X8" s="665"/>
      <c r="Y8" s="3379" t="s">
        <v>1683</v>
      </c>
      <c r="Z8" s="3380"/>
      <c r="AA8" s="49">
        <f t="shared" ref="AA8:AA45" si="3">D8/F8</f>
        <v>1</v>
      </c>
      <c r="AB8" s="49">
        <f t="shared" ref="AB8:AB45" si="4">D8/H8</f>
        <v>1</v>
      </c>
      <c r="AC8" s="49">
        <f t="shared" ref="AC8:AC45" si="5">D8/J8</f>
        <v>1</v>
      </c>
    </row>
    <row r="9" spans="1:29" s="101" customFormat="1" ht="27.75">
      <c r="A9" s="358" t="s">
        <v>1684</v>
      </c>
      <c r="B9" s="59" t="s">
        <v>1685</v>
      </c>
      <c r="C9" s="3158" t="s">
        <v>3618</v>
      </c>
      <c r="D9" s="58">
        <v>100</v>
      </c>
      <c r="E9" s="1824" t="s">
        <v>3622</v>
      </c>
      <c r="F9" s="58">
        <f>SUMIF(74:74,E9,75:75)-SUMIF(74:74,C9,75:75)+100</f>
        <v>100</v>
      </c>
      <c r="G9" s="1824" t="s">
        <v>3622</v>
      </c>
      <c r="H9" s="58">
        <f>SUMIF(74:74,G9,75:75)-SUMIF(74:74,C9,75:75)+100</f>
        <v>100</v>
      </c>
      <c r="I9" s="1824" t="s">
        <v>3622</v>
      </c>
      <c r="J9" s="58">
        <f>SUMIF(74:74,I9,75:75)-SUMIF(74:74,C9,75:75)+100</f>
        <v>100</v>
      </c>
      <c r="K9" s="37"/>
      <c r="L9" s="2487"/>
      <c r="M9" s="2439"/>
      <c r="N9" s="2439"/>
      <c r="O9" s="2539"/>
      <c r="P9" s="3422" t="s">
        <v>1686</v>
      </c>
      <c r="Q9" s="529" t="str">
        <f t="shared" ref="Q9:Q15" si="6">B9</f>
        <v>用途</v>
      </c>
      <c r="R9" s="663" t="s">
        <v>14</v>
      </c>
      <c r="S9" s="664">
        <f t="shared" si="0"/>
        <v>100</v>
      </c>
      <c r="T9" s="663" t="s">
        <v>14</v>
      </c>
      <c r="U9" s="664">
        <f t="shared" si="1"/>
        <v>100</v>
      </c>
      <c r="V9" s="663" t="s">
        <v>14</v>
      </c>
      <c r="W9" s="664">
        <f t="shared" si="2"/>
        <v>100</v>
      </c>
      <c r="X9" s="665"/>
      <c r="Y9" s="3352" t="s">
        <v>1687</v>
      </c>
      <c r="Z9" s="49" t="str">
        <f t="shared" ref="Z9:Z15" si="7">Q9</f>
        <v>用途</v>
      </c>
      <c r="AA9" s="49">
        <f t="shared" si="3"/>
        <v>1</v>
      </c>
      <c r="AB9" s="49">
        <f t="shared" si="4"/>
        <v>1</v>
      </c>
      <c r="AC9" s="49">
        <f t="shared" si="5"/>
        <v>1</v>
      </c>
    </row>
    <row r="10" spans="1:29" s="365" customFormat="1" ht="27">
      <c r="A10" s="362"/>
      <c r="B10" s="363" t="s">
        <v>1688</v>
      </c>
      <c r="C10" s="370" t="s">
        <v>3619</v>
      </c>
      <c r="D10" s="118">
        <v>100</v>
      </c>
      <c r="E10" s="402" t="s">
        <v>3620</v>
      </c>
      <c r="F10" s="118">
        <f>ROUND(100/'数据-取费表'!G16,0)</f>
        <v>119</v>
      </c>
      <c r="G10" s="402" t="s">
        <v>3620</v>
      </c>
      <c r="H10" s="118">
        <f>ROUND(100/'数据-取费表'!G16,0)</f>
        <v>119</v>
      </c>
      <c r="I10" s="402" t="s">
        <v>3620</v>
      </c>
      <c r="J10" s="118">
        <f>ROUND(100/'数据-取费表'!G16,0)</f>
        <v>119</v>
      </c>
      <c r="K10" s="591"/>
      <c r="L10" s="2488"/>
      <c r="M10" s="2489"/>
      <c r="N10" s="2489"/>
      <c r="O10" s="2540"/>
      <c r="P10" s="3422"/>
      <c r="Q10" s="529" t="str">
        <f t="shared" si="6"/>
        <v>土地使用年限（年）</v>
      </c>
      <c r="R10" s="663" t="s">
        <v>14</v>
      </c>
      <c r="S10" s="664">
        <f t="shared" si="0"/>
        <v>119</v>
      </c>
      <c r="T10" s="663" t="s">
        <v>14</v>
      </c>
      <c r="U10" s="664">
        <f t="shared" si="1"/>
        <v>119</v>
      </c>
      <c r="V10" s="663" t="s">
        <v>14</v>
      </c>
      <c r="W10" s="664">
        <f t="shared" si="2"/>
        <v>119</v>
      </c>
      <c r="X10" s="665"/>
      <c r="Y10" s="3352"/>
      <c r="Z10" s="49" t="str">
        <f t="shared" si="7"/>
        <v>土地使用年限（年）</v>
      </c>
      <c r="AA10" s="49">
        <f t="shared" si="3"/>
        <v>0.84033613445378152</v>
      </c>
      <c r="AB10" s="49">
        <f t="shared" si="4"/>
        <v>0.84033613445378152</v>
      </c>
      <c r="AC10" s="49">
        <f t="shared" si="5"/>
        <v>0.84033613445378152</v>
      </c>
    </row>
    <row r="11" spans="1:29" ht="15">
      <c r="A11" s="366"/>
      <c r="B11" s="363" t="s">
        <v>1689</v>
      </c>
      <c r="C11" s="367">
        <f>'数据-汇总表'!I6</f>
        <v>5.08</v>
      </c>
      <c r="D11" s="118">
        <v>100</v>
      </c>
      <c r="E11" s="367">
        <v>1.76</v>
      </c>
      <c r="F11" s="118">
        <f>LOOKUP(E11,79:79,80:80)-LOOKUP(C11,79:79,80:80)+100</f>
        <v>112</v>
      </c>
      <c r="G11" s="368">
        <v>4.5</v>
      </c>
      <c r="H11" s="118">
        <f>LOOKUP(G11,79:79,80:80)-LOOKUP(C11,79:79,80:80)+100</f>
        <v>103</v>
      </c>
      <c r="I11" s="367">
        <v>4.3899999999999997</v>
      </c>
      <c r="J11" s="118">
        <f>LOOKUP(I11,79:79,80:80)-LOOKUP(C11,79:79,80:80)+100</f>
        <v>103</v>
      </c>
      <c r="K11" s="592">
        <v>3</v>
      </c>
      <c r="L11" s="2490"/>
      <c r="M11" s="2486"/>
      <c r="N11" s="2486"/>
      <c r="O11" s="2541"/>
      <c r="P11" s="3422"/>
      <c r="Q11" s="529" t="str">
        <f t="shared" si="6"/>
        <v>容积率</v>
      </c>
      <c r="R11" s="663" t="s">
        <v>14</v>
      </c>
      <c r="S11" s="664">
        <f t="shared" si="0"/>
        <v>112</v>
      </c>
      <c r="T11" s="663" t="s">
        <v>14</v>
      </c>
      <c r="U11" s="664">
        <f t="shared" si="1"/>
        <v>103</v>
      </c>
      <c r="V11" s="663" t="s">
        <v>14</v>
      </c>
      <c r="W11" s="664">
        <f t="shared" si="2"/>
        <v>103</v>
      </c>
      <c r="X11" s="665"/>
      <c r="Y11" s="3352"/>
      <c r="Z11" s="49" t="str">
        <f t="shared" si="7"/>
        <v>容积率</v>
      </c>
      <c r="AA11" s="49">
        <f t="shared" si="3"/>
        <v>0.8928571428571429</v>
      </c>
      <c r="AB11" s="49">
        <f t="shared" si="4"/>
        <v>0.970873786407767</v>
      </c>
      <c r="AC11" s="49">
        <f t="shared" si="5"/>
        <v>0.970873786407767</v>
      </c>
    </row>
    <row r="12" spans="1:29" s="101" customFormat="1" ht="15" hidden="1">
      <c r="A12" s="369"/>
      <c r="B12" s="446"/>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22"/>
      <c r="Q12" s="529">
        <f t="shared" si="6"/>
        <v>0</v>
      </c>
      <c r="R12" s="663" t="s">
        <v>14</v>
      </c>
      <c r="S12" s="664">
        <f t="shared" si="0"/>
        <v>100</v>
      </c>
      <c r="T12" s="663" t="s">
        <v>14</v>
      </c>
      <c r="U12" s="664">
        <f t="shared" si="1"/>
        <v>100</v>
      </c>
      <c r="V12" s="663" t="s">
        <v>14</v>
      </c>
      <c r="W12" s="664">
        <f t="shared" si="2"/>
        <v>100</v>
      </c>
      <c r="X12" s="665"/>
      <c r="Y12" s="3352"/>
      <c r="Z12" s="49">
        <f t="shared" si="7"/>
        <v>0</v>
      </c>
      <c r="AA12" s="49">
        <f>D12/F12</f>
        <v>1</v>
      </c>
      <c r="AB12" s="49">
        <f>D12/H12</f>
        <v>1</v>
      </c>
      <c r="AC12" s="49">
        <f>D12/J12</f>
        <v>1</v>
      </c>
    </row>
    <row r="13" spans="1:29" ht="15" hidden="1">
      <c r="A13" s="366"/>
      <c r="B13" s="446"/>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22"/>
      <c r="Q13" s="529">
        <f t="shared" si="6"/>
        <v>0</v>
      </c>
      <c r="R13" s="663" t="s">
        <v>14</v>
      </c>
      <c r="S13" s="664">
        <f t="shared" si="0"/>
        <v>100</v>
      </c>
      <c r="T13" s="663" t="s">
        <v>14</v>
      </c>
      <c r="U13" s="664">
        <f t="shared" si="1"/>
        <v>100</v>
      </c>
      <c r="V13" s="663" t="s">
        <v>14</v>
      </c>
      <c r="W13" s="664">
        <f t="shared" si="2"/>
        <v>100</v>
      </c>
      <c r="X13" s="665"/>
      <c r="Y13" s="3352"/>
      <c r="Z13" s="49">
        <f t="shared" si="7"/>
        <v>0</v>
      </c>
      <c r="AA13" s="49">
        <f>D13/F13</f>
        <v>1</v>
      </c>
      <c r="AB13" s="49">
        <f>D13/H13</f>
        <v>1</v>
      </c>
      <c r="AC13" s="49">
        <f>D13/J13</f>
        <v>1</v>
      </c>
    </row>
    <row r="14" spans="1:29" ht="15.75" hidden="1" thickBot="1">
      <c r="A14" s="374"/>
      <c r="B14" s="1748"/>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22"/>
      <c r="Q14" s="529">
        <f t="shared" si="6"/>
        <v>0</v>
      </c>
      <c r="R14" s="663" t="s">
        <v>14</v>
      </c>
      <c r="S14" s="664">
        <f t="shared" si="0"/>
        <v>100</v>
      </c>
      <c r="T14" s="663" t="s">
        <v>14</v>
      </c>
      <c r="U14" s="664">
        <f t="shared" si="1"/>
        <v>100</v>
      </c>
      <c r="V14" s="663" t="s">
        <v>14</v>
      </c>
      <c r="W14" s="664">
        <f t="shared" si="2"/>
        <v>100</v>
      </c>
      <c r="X14" s="665"/>
      <c r="Y14" s="3352"/>
      <c r="Z14" s="49">
        <f t="shared" si="7"/>
        <v>0</v>
      </c>
      <c r="AA14" s="49">
        <f>D14/F14</f>
        <v>1</v>
      </c>
      <c r="AB14" s="49">
        <f>D14/H14</f>
        <v>1</v>
      </c>
      <c r="AC14" s="49">
        <f>D14/J14</f>
        <v>1</v>
      </c>
    </row>
    <row r="15" spans="1:29" ht="1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15" t="s">
        <v>1691</v>
      </c>
      <c r="Q15" s="1262" t="str">
        <f t="shared" si="6"/>
        <v>居住社区成熟度</v>
      </c>
      <c r="R15" s="666" t="s">
        <v>14</v>
      </c>
      <c r="S15" s="667">
        <f t="shared" si="0"/>
        <v>100</v>
      </c>
      <c r="T15" s="666" t="s">
        <v>14</v>
      </c>
      <c r="U15" s="667">
        <f t="shared" si="1"/>
        <v>100</v>
      </c>
      <c r="V15" s="666" t="s">
        <v>14</v>
      </c>
      <c r="W15" s="667">
        <f t="shared" si="2"/>
        <v>100</v>
      </c>
      <c r="X15" s="1264"/>
      <c r="Y15" s="3415" t="s">
        <v>1691</v>
      </c>
      <c r="Z15" s="1263" t="str">
        <f t="shared" si="7"/>
        <v>居住社区成熟度</v>
      </c>
      <c r="AA15" s="1263">
        <f t="shared" si="3"/>
        <v>1</v>
      </c>
      <c r="AB15" s="1263">
        <f t="shared" si="4"/>
        <v>1</v>
      </c>
      <c r="AC15" s="1263">
        <f t="shared" si="5"/>
        <v>1</v>
      </c>
    </row>
    <row r="16" spans="1:29" ht="15" hidden="1">
      <c r="A16" s="366"/>
      <c r="B16" s="384"/>
      <c r="C16" s="385"/>
      <c r="D16" s="386"/>
      <c r="E16" s="1751"/>
      <c r="F16" s="386"/>
      <c r="G16" s="1751"/>
      <c r="H16" s="388"/>
      <c r="I16" s="1750"/>
      <c r="J16" s="386"/>
      <c r="K16" s="591"/>
      <c r="L16" s="2491"/>
      <c r="M16" s="2486"/>
      <c r="N16" s="2486"/>
      <c r="O16" s="2541"/>
      <c r="P16" s="3416"/>
      <c r="Q16" s="1262"/>
      <c r="R16" s="666"/>
      <c r="S16" s="667"/>
      <c r="T16" s="666"/>
      <c r="U16" s="667"/>
      <c r="V16" s="666"/>
      <c r="W16" s="667"/>
      <c r="X16" s="1264"/>
      <c r="Y16" s="3416"/>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v>4</v>
      </c>
      <c r="L17" s="2491"/>
      <c r="M17" s="2486"/>
      <c r="N17" s="2486"/>
      <c r="O17" s="2541"/>
      <c r="P17" s="3416"/>
      <c r="Q17" s="1262" t="str">
        <f>B17</f>
        <v>商业繁华度</v>
      </c>
      <c r="R17" s="666" t="s">
        <v>14</v>
      </c>
      <c r="S17" s="667">
        <f>F17</f>
        <v>100</v>
      </c>
      <c r="T17" s="666" t="s">
        <v>14</v>
      </c>
      <c r="U17" s="667">
        <f>H17</f>
        <v>100</v>
      </c>
      <c r="V17" s="666" t="s">
        <v>14</v>
      </c>
      <c r="W17" s="667">
        <f>J17</f>
        <v>100</v>
      </c>
      <c r="X17" s="1264"/>
      <c r="Y17" s="3416"/>
      <c r="Z17" s="1263" t="str">
        <f>Q17</f>
        <v>商业繁华度</v>
      </c>
      <c r="AA17" s="1263">
        <f t="shared" si="3"/>
        <v>1</v>
      </c>
      <c r="AB17" s="1263">
        <f t="shared" si="4"/>
        <v>1</v>
      </c>
      <c r="AC17" s="1263">
        <f t="shared" si="5"/>
        <v>1</v>
      </c>
    </row>
    <row r="18" spans="1:29" ht="15">
      <c r="A18" s="366"/>
      <c r="B18" s="394"/>
      <c r="C18" s="1754" t="s">
        <v>3666</v>
      </c>
      <c r="D18" s="388"/>
      <c r="E18" s="1756" t="s">
        <v>3666</v>
      </c>
      <c r="F18" s="388"/>
      <c r="G18" s="1756" t="s">
        <v>3666</v>
      </c>
      <c r="H18" s="386"/>
      <c r="I18" s="1756" t="s">
        <v>3666</v>
      </c>
      <c r="J18" s="386"/>
      <c r="K18" s="591"/>
      <c r="L18" s="2491"/>
      <c r="M18" s="2486"/>
      <c r="N18" s="2486"/>
      <c r="O18" s="2541"/>
      <c r="P18" s="3416"/>
      <c r="Q18" s="1262"/>
      <c r="R18" s="666"/>
      <c r="S18" s="667"/>
      <c r="T18" s="666"/>
      <c r="U18" s="667"/>
      <c r="V18" s="666"/>
      <c r="W18" s="667"/>
      <c r="X18" s="1264"/>
      <c r="Y18" s="3416"/>
      <c r="Z18" s="1263"/>
      <c r="AA18" s="1263">
        <v>1</v>
      </c>
      <c r="AB18" s="1263">
        <v>1</v>
      </c>
      <c r="AC18" s="1263">
        <v>1</v>
      </c>
    </row>
    <row r="19" spans="1:29" ht="15">
      <c r="A19" s="366"/>
      <c r="B19" s="389" t="s">
        <v>1811</v>
      </c>
      <c r="C19" s="1805">
        <f>估价对象房地状况!C17</f>
        <v>0</v>
      </c>
      <c r="D19" s="393">
        <v>100</v>
      </c>
      <c r="E19" s="395"/>
      <c r="F19" s="393">
        <f>SUMIF(91:91,E20,92:92)-SUMIF(91:91,C20,92:92)+100</f>
        <v>96</v>
      </c>
      <c r="G19" s="395"/>
      <c r="H19" s="388">
        <f>SUMIF(91:91,G20,92:92)-SUMIF(91:91,C20,92:92)+100</f>
        <v>104</v>
      </c>
      <c r="I19" s="395"/>
      <c r="J19" s="388">
        <f>SUMIF(91:91,I20,92:92)-SUMIF(91:91,C20,92:92)+100</f>
        <v>96</v>
      </c>
      <c r="K19" s="592">
        <v>4</v>
      </c>
      <c r="L19" s="2491"/>
      <c r="M19" s="2486"/>
      <c r="N19" s="2486"/>
      <c r="O19" s="2541"/>
      <c r="P19" s="3416"/>
      <c r="Q19" s="1262" t="str">
        <f>B19</f>
        <v>办公集聚程度</v>
      </c>
      <c r="R19" s="666" t="s">
        <v>14</v>
      </c>
      <c r="S19" s="667">
        <f>F19</f>
        <v>96</v>
      </c>
      <c r="T19" s="666" t="s">
        <v>14</v>
      </c>
      <c r="U19" s="667">
        <f>H19</f>
        <v>104</v>
      </c>
      <c r="V19" s="666" t="s">
        <v>14</v>
      </c>
      <c r="W19" s="667">
        <f>J19</f>
        <v>96</v>
      </c>
      <c r="X19" s="1264"/>
      <c r="Y19" s="3416"/>
      <c r="Z19" s="1263" t="str">
        <f>Q19</f>
        <v>办公集聚程度</v>
      </c>
      <c r="AA19" s="1263">
        <f t="shared" si="3"/>
        <v>1.0416666666666667</v>
      </c>
      <c r="AB19" s="1263">
        <f t="shared" si="4"/>
        <v>0.96153846153846156</v>
      </c>
      <c r="AC19" s="1263">
        <f t="shared" si="5"/>
        <v>1.0416666666666667</v>
      </c>
    </row>
    <row r="20" spans="1:29" ht="15">
      <c r="A20" s="366"/>
      <c r="B20" s="394"/>
      <c r="C20" s="385" t="s">
        <v>3667</v>
      </c>
      <c r="D20" s="386"/>
      <c r="E20" s="1751" t="s">
        <v>3666</v>
      </c>
      <c r="F20" s="386"/>
      <c r="G20" s="1751" t="s">
        <v>3668</v>
      </c>
      <c r="H20" s="386"/>
      <c r="I20" s="1751" t="s">
        <v>3666</v>
      </c>
      <c r="J20" s="386"/>
      <c r="K20" s="591"/>
      <c r="L20" s="2491"/>
      <c r="M20" s="2486"/>
      <c r="N20" s="2486"/>
      <c r="O20" s="2541"/>
      <c r="P20" s="3416"/>
      <c r="Q20" s="1262"/>
      <c r="R20" s="666"/>
      <c r="S20" s="667"/>
      <c r="T20" s="666"/>
      <c r="U20" s="667"/>
      <c r="V20" s="666"/>
      <c r="W20" s="667"/>
      <c r="X20" s="1264"/>
      <c r="Y20" s="3416"/>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v>4</v>
      </c>
      <c r="L21" s="2491"/>
      <c r="M21" s="2486"/>
      <c r="N21" s="2486"/>
      <c r="O21" s="2541"/>
      <c r="P21" s="3416"/>
      <c r="Q21" s="1262" t="str">
        <f>B21</f>
        <v>交通便捷度</v>
      </c>
      <c r="R21" s="666" t="s">
        <v>14</v>
      </c>
      <c r="S21" s="667">
        <f>F21</f>
        <v>100</v>
      </c>
      <c r="T21" s="666" t="s">
        <v>14</v>
      </c>
      <c r="U21" s="667">
        <f>H21</f>
        <v>100</v>
      </c>
      <c r="V21" s="666" t="s">
        <v>14</v>
      </c>
      <c r="W21" s="667">
        <f>J21</f>
        <v>100</v>
      </c>
      <c r="X21" s="1264"/>
      <c r="Y21" s="3416"/>
      <c r="Z21" s="1263" t="str">
        <f>Q21</f>
        <v>交通便捷度</v>
      </c>
      <c r="AA21" s="1263">
        <f t="shared" si="3"/>
        <v>1</v>
      </c>
      <c r="AB21" s="1263">
        <f t="shared" si="4"/>
        <v>1</v>
      </c>
      <c r="AC21" s="1263">
        <f t="shared" si="5"/>
        <v>1</v>
      </c>
    </row>
    <row r="22" spans="1:29" ht="15">
      <c r="A22" s="366"/>
      <c r="B22" s="585"/>
      <c r="C22" s="385" t="s">
        <v>3667</v>
      </c>
      <c r="D22" s="388"/>
      <c r="E22" s="1751" t="s">
        <v>3667</v>
      </c>
      <c r="F22" s="386"/>
      <c r="G22" s="1751" t="s">
        <v>3667</v>
      </c>
      <c r="H22" s="386"/>
      <c r="I22" s="1751" t="s">
        <v>3667</v>
      </c>
      <c r="J22" s="386"/>
      <c r="K22" s="591"/>
      <c r="L22" s="2491"/>
      <c r="M22" s="2486"/>
      <c r="N22" s="2486"/>
      <c r="O22" s="2541"/>
      <c r="P22" s="3416"/>
      <c r="Q22" s="1262"/>
      <c r="R22" s="666"/>
      <c r="S22" s="667"/>
      <c r="T22" s="666"/>
      <c r="U22" s="667"/>
      <c r="V22" s="666"/>
      <c r="W22" s="667"/>
      <c r="X22" s="1264"/>
      <c r="Y22" s="3416"/>
      <c r="Z22" s="1263"/>
      <c r="AA22" s="1263">
        <v>1</v>
      </c>
      <c r="AB22" s="1263">
        <v>1</v>
      </c>
      <c r="AC22" s="1263">
        <v>1</v>
      </c>
    </row>
    <row r="23" spans="1:29" ht="15">
      <c r="A23" s="347"/>
      <c r="B23" s="389" t="s">
        <v>1870</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91"/>
      <c r="M23" s="2486"/>
      <c r="N23" s="2486"/>
      <c r="O23" s="2541"/>
      <c r="P23" s="3416"/>
      <c r="Q23" s="1262" t="str">
        <f t="shared" ref="Q23:Q37" si="8">B23</f>
        <v>区域土地利用方向</v>
      </c>
      <c r="R23" s="666" t="s">
        <v>14</v>
      </c>
      <c r="S23" s="667">
        <f>F23</f>
        <v>100</v>
      </c>
      <c r="T23" s="666" t="s">
        <v>14</v>
      </c>
      <c r="U23" s="667">
        <f>H23</f>
        <v>100</v>
      </c>
      <c r="V23" s="666" t="s">
        <v>14</v>
      </c>
      <c r="W23" s="667">
        <f>J23</f>
        <v>100</v>
      </c>
      <c r="X23" s="1264"/>
      <c r="Y23" s="3416"/>
      <c r="Z23" s="1263" t="str">
        <f>Q23</f>
        <v>区域土地利用方向</v>
      </c>
      <c r="AA23" s="1263">
        <f t="shared" si="3"/>
        <v>1</v>
      </c>
      <c r="AB23" s="1263">
        <f t="shared" si="4"/>
        <v>1</v>
      </c>
      <c r="AC23" s="1263">
        <f t="shared" si="5"/>
        <v>1</v>
      </c>
    </row>
    <row r="24" spans="1:29" ht="15">
      <c r="A24" s="347"/>
      <c r="B24" s="394"/>
      <c r="C24" s="541" t="s">
        <v>3667</v>
      </c>
      <c r="D24" s="386"/>
      <c r="E24" s="541" t="s">
        <v>3667</v>
      </c>
      <c r="F24" s="386"/>
      <c r="G24" s="541" t="s">
        <v>3667</v>
      </c>
      <c r="H24" s="386"/>
      <c r="I24" s="541" t="s">
        <v>3667</v>
      </c>
      <c r="J24" s="386"/>
      <c r="K24" s="697"/>
      <c r="L24" s="2491"/>
      <c r="M24" s="2486"/>
      <c r="N24" s="2486"/>
      <c r="O24" s="2541"/>
      <c r="P24" s="3416"/>
      <c r="Q24" s="1262"/>
      <c r="R24" s="666"/>
      <c r="S24" s="667"/>
      <c r="T24" s="666"/>
      <c r="U24" s="667"/>
      <c r="V24" s="666"/>
      <c r="W24" s="667"/>
      <c r="X24" s="1264"/>
      <c r="Y24" s="3416"/>
      <c r="Z24" s="1263"/>
      <c r="AA24" s="1263"/>
      <c r="AB24" s="1263"/>
      <c r="AC24" s="1263"/>
    </row>
    <row r="25" spans="1:29" ht="27">
      <c r="A25" s="347"/>
      <c r="B25" s="585" t="s">
        <v>1871</v>
      </c>
      <c r="C25" s="1805">
        <f>估价对象房地状况!C20</f>
        <v>0</v>
      </c>
      <c r="D25" s="388">
        <v>100</v>
      </c>
      <c r="E25" s="390"/>
      <c r="F25" s="388">
        <f>SUMIF(97:97,E26,98:98)-SUMIF(97:97,C26,98:98)+100</f>
        <v>97</v>
      </c>
      <c r="G25" s="390"/>
      <c r="H25" s="388">
        <f>SUMIF(97:97,G26,98:98)-SUMIF(97:97,C26,98:98)+100</f>
        <v>97</v>
      </c>
      <c r="I25" s="392"/>
      <c r="J25" s="388">
        <f>SUMIF(97:97,I26,98:98)-SUMIF(97:97,C26,98:98)+100</f>
        <v>94</v>
      </c>
      <c r="K25" s="592">
        <v>3</v>
      </c>
      <c r="L25" s="2491"/>
      <c r="M25" s="2486"/>
      <c r="N25" s="2486"/>
      <c r="O25" s="2541"/>
      <c r="P25" s="3416"/>
      <c r="Q25" s="1262" t="str">
        <f t="shared" si="8"/>
        <v>自然及人文环境状况</v>
      </c>
      <c r="R25" s="666" t="s">
        <v>14</v>
      </c>
      <c r="S25" s="667">
        <f>F25</f>
        <v>97</v>
      </c>
      <c r="T25" s="666" t="s">
        <v>14</v>
      </c>
      <c r="U25" s="667">
        <f>H25</f>
        <v>97</v>
      </c>
      <c r="V25" s="666" t="s">
        <v>14</v>
      </c>
      <c r="W25" s="667">
        <f>J25</f>
        <v>94</v>
      </c>
      <c r="X25" s="1264"/>
      <c r="Y25" s="3416"/>
      <c r="Z25" s="1263" t="str">
        <f>Q25</f>
        <v>自然及人文环境状况</v>
      </c>
      <c r="AA25" s="1263">
        <f t="shared" si="3"/>
        <v>1.0309278350515463</v>
      </c>
      <c r="AB25" s="1263">
        <f t="shared" si="4"/>
        <v>1.0309278350515463</v>
      </c>
      <c r="AC25" s="1263">
        <f t="shared" si="5"/>
        <v>1.0638297872340425</v>
      </c>
    </row>
    <row r="26" spans="1:29" ht="15">
      <c r="A26" s="347"/>
      <c r="B26" s="394"/>
      <c r="C26" s="385" t="s">
        <v>3668</v>
      </c>
      <c r="D26" s="386"/>
      <c r="E26" s="1757" t="s">
        <v>3667</v>
      </c>
      <c r="F26" s="386"/>
      <c r="G26" s="1757" t="s">
        <v>3667</v>
      </c>
      <c r="H26" s="386"/>
      <c r="I26" s="1757" t="s">
        <v>3666</v>
      </c>
      <c r="J26" s="386"/>
      <c r="K26" s="591"/>
      <c r="L26" s="2491"/>
      <c r="M26" s="2486"/>
      <c r="N26" s="2486"/>
      <c r="O26" s="2541"/>
      <c r="P26" s="3416"/>
      <c r="Q26" s="1262"/>
      <c r="R26" s="666"/>
      <c r="S26" s="667"/>
      <c r="T26" s="666"/>
      <c r="U26" s="667"/>
      <c r="V26" s="666"/>
      <c r="W26" s="667"/>
      <c r="X26" s="1264"/>
      <c r="Y26" s="3416"/>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v>4</v>
      </c>
      <c r="L27" s="2487"/>
      <c r="M27" s="2439"/>
      <c r="N27" s="2439"/>
      <c r="O27" s="2539"/>
      <c r="P27" s="3416"/>
      <c r="Q27" s="529" t="str">
        <f t="shared" si="8"/>
        <v>公共配套设施</v>
      </c>
      <c r="R27" s="663" t="s">
        <v>14</v>
      </c>
      <c r="S27" s="664">
        <f>F27</f>
        <v>100</v>
      </c>
      <c r="T27" s="663" t="s">
        <v>14</v>
      </c>
      <c r="U27" s="664">
        <f>H27</f>
        <v>100</v>
      </c>
      <c r="V27" s="663" t="s">
        <v>14</v>
      </c>
      <c r="W27" s="664">
        <f>J27</f>
        <v>100</v>
      </c>
      <c r="X27" s="665"/>
      <c r="Y27" s="3416"/>
      <c r="Z27" s="49" t="str">
        <f>Q27</f>
        <v>公共配套设施</v>
      </c>
      <c r="AA27" s="1263">
        <f>D27/F27</f>
        <v>1</v>
      </c>
      <c r="AB27" s="1263">
        <f>D27/H27</f>
        <v>1</v>
      </c>
      <c r="AC27" s="1263">
        <f>D27/J27</f>
        <v>1</v>
      </c>
    </row>
    <row r="28" spans="1:29" s="101" customFormat="1" ht="15">
      <c r="A28" s="442"/>
      <c r="B28" s="394"/>
      <c r="C28" s="1825" t="s">
        <v>3667</v>
      </c>
      <c r="D28" s="386"/>
      <c r="E28" s="1757" t="s">
        <v>3667</v>
      </c>
      <c r="F28" s="386"/>
      <c r="G28" s="1757" t="s">
        <v>3667</v>
      </c>
      <c r="H28" s="386"/>
      <c r="I28" s="1757" t="s">
        <v>3667</v>
      </c>
      <c r="J28" s="386"/>
      <c r="K28" s="591"/>
      <c r="L28" s="2487"/>
      <c r="M28" s="2439"/>
      <c r="N28" s="2439"/>
      <c r="O28" s="2539"/>
      <c r="P28" s="3416"/>
      <c r="Q28" s="529"/>
      <c r="R28" s="663"/>
      <c r="S28" s="664"/>
      <c r="T28" s="663"/>
      <c r="U28" s="664"/>
      <c r="V28" s="663"/>
      <c r="W28" s="664"/>
      <c r="X28" s="665"/>
      <c r="Y28" s="3416"/>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v>2</v>
      </c>
      <c r="L29" s="2487"/>
      <c r="M29" s="2439"/>
      <c r="N29" s="2439"/>
      <c r="O29" s="2539"/>
      <c r="P29" s="3416"/>
      <c r="Q29" s="529" t="str">
        <f t="shared" ref="Q29" si="9">B29</f>
        <v>基础设施水平</v>
      </c>
      <c r="R29" s="663" t="s">
        <v>14</v>
      </c>
      <c r="S29" s="664">
        <f>F29</f>
        <v>100</v>
      </c>
      <c r="T29" s="663" t="s">
        <v>14</v>
      </c>
      <c r="U29" s="664">
        <f>H29</f>
        <v>100</v>
      </c>
      <c r="V29" s="663" t="s">
        <v>14</v>
      </c>
      <c r="W29" s="664">
        <f>J29</f>
        <v>100</v>
      </c>
      <c r="X29" s="665"/>
      <c r="Y29" s="3416"/>
      <c r="Z29" s="49" t="str">
        <f>Q29</f>
        <v>基础设施水平</v>
      </c>
      <c r="AA29" s="1263">
        <f>D29/F29</f>
        <v>1</v>
      </c>
      <c r="AB29" s="1263">
        <f>D29/H29</f>
        <v>1</v>
      </c>
      <c r="AC29" s="1263">
        <f>D29/J29</f>
        <v>1</v>
      </c>
    </row>
    <row r="30" spans="1:29" s="101" customFormat="1" ht="15.75" thickBot="1">
      <c r="A30" s="442"/>
      <c r="B30" s="394"/>
      <c r="C30" s="1825" t="s">
        <v>3669</v>
      </c>
      <c r="D30" s="386"/>
      <c r="E30" s="1825" t="s">
        <v>3669</v>
      </c>
      <c r="F30" s="386"/>
      <c r="G30" s="1825" t="s">
        <v>3669</v>
      </c>
      <c r="H30" s="386"/>
      <c r="I30" s="1825" t="s">
        <v>3669</v>
      </c>
      <c r="J30" s="386"/>
      <c r="K30" s="591"/>
      <c r="L30" s="2487"/>
      <c r="M30" s="2439"/>
      <c r="N30" s="2439"/>
      <c r="O30" s="2539"/>
      <c r="P30" s="3416"/>
      <c r="Q30" s="529"/>
      <c r="R30" s="663"/>
      <c r="S30" s="664"/>
      <c r="T30" s="663"/>
      <c r="U30" s="664"/>
      <c r="V30" s="663"/>
      <c r="W30" s="664"/>
      <c r="X30" s="665"/>
      <c r="Y30" s="3416"/>
      <c r="Z30" s="49"/>
      <c r="AA30" s="1263">
        <v>1</v>
      </c>
      <c r="AB30" s="1263">
        <v>1</v>
      </c>
      <c r="AC30" s="1263">
        <v>1</v>
      </c>
    </row>
    <row r="31" spans="1:29" ht="1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1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6"/>
      <c r="Z31" s="1263" t="str">
        <f t="shared" ref="Z31:Z45" si="13">Q31</f>
        <v>临街状况</v>
      </c>
      <c r="AA31" s="1263">
        <f t="shared" si="3"/>
        <v>1</v>
      </c>
      <c r="AB31" s="1263">
        <f t="shared" si="4"/>
        <v>1</v>
      </c>
      <c r="AC31" s="1263">
        <f t="shared" si="5"/>
        <v>1</v>
      </c>
    </row>
    <row r="32" spans="1:29" ht="27"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16"/>
      <c r="Q32" s="1262" t="str">
        <f t="shared" si="8"/>
        <v>毗邻道路的类型与等级</v>
      </c>
      <c r="R32" s="666" t="s">
        <v>14</v>
      </c>
      <c r="S32" s="667">
        <f t="shared" si="10"/>
        <v>100</v>
      </c>
      <c r="T32" s="666" t="s">
        <v>14</v>
      </c>
      <c r="U32" s="667">
        <f t="shared" si="11"/>
        <v>100</v>
      </c>
      <c r="V32" s="666" t="s">
        <v>14</v>
      </c>
      <c r="W32" s="667">
        <f t="shared" si="12"/>
        <v>100</v>
      </c>
      <c r="X32" s="1264"/>
      <c r="Y32" s="3416"/>
      <c r="Z32" s="1263" t="str">
        <f t="shared" si="13"/>
        <v>毗邻道路的类型与等级</v>
      </c>
      <c r="AA32" s="1263">
        <f t="shared" si="3"/>
        <v>1</v>
      </c>
      <c r="AB32" s="1263">
        <f t="shared" si="4"/>
        <v>1</v>
      </c>
      <c r="AC32" s="1263">
        <f t="shared" si="5"/>
        <v>1</v>
      </c>
    </row>
    <row r="33" spans="1:29" ht="15" hidden="1">
      <c r="A33" s="366"/>
      <c r="B33" s="394"/>
      <c r="C33" s="385"/>
      <c r="D33" s="386"/>
      <c r="E33" s="1757"/>
      <c r="F33" s="386"/>
      <c r="G33" s="1757"/>
      <c r="H33" s="386"/>
      <c r="I33" s="385"/>
      <c r="J33" s="386"/>
      <c r="K33" s="538"/>
      <c r="L33" s="2491"/>
      <c r="M33" s="2486"/>
      <c r="N33" s="2486"/>
      <c r="O33" s="2541"/>
      <c r="P33" s="3416"/>
      <c r="Q33" s="1262"/>
      <c r="R33" s="666"/>
      <c r="S33" s="667"/>
      <c r="T33" s="666"/>
      <c r="U33" s="667"/>
      <c r="V33" s="666"/>
      <c r="W33" s="667"/>
      <c r="X33" s="1264"/>
      <c r="Y33" s="3416"/>
      <c r="Z33" s="1263"/>
      <c r="AA33" s="1263">
        <v>1</v>
      </c>
      <c r="AB33" s="1263">
        <v>1</v>
      </c>
      <c r="AC33" s="1263">
        <v>1</v>
      </c>
    </row>
    <row r="34" spans="1:29" ht="15" hidden="1">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16"/>
      <c r="Q34" s="1262" t="str">
        <f t="shared" si="8"/>
        <v>土地级别</v>
      </c>
      <c r="R34" s="666" t="s">
        <v>14</v>
      </c>
      <c r="S34" s="667">
        <f t="shared" si="10"/>
        <v>100</v>
      </c>
      <c r="T34" s="666" t="s">
        <v>14</v>
      </c>
      <c r="U34" s="667">
        <f t="shared" si="11"/>
        <v>100</v>
      </c>
      <c r="V34" s="666" t="s">
        <v>14</v>
      </c>
      <c r="W34" s="667">
        <f t="shared" si="12"/>
        <v>100</v>
      </c>
      <c r="X34" s="1264"/>
      <c r="Y34" s="3416"/>
      <c r="Z34" s="1263" t="str">
        <f t="shared" si="13"/>
        <v>土地级别</v>
      </c>
      <c r="AA34" s="1263">
        <f t="shared" si="3"/>
        <v>1</v>
      </c>
      <c r="AB34" s="1263">
        <f t="shared" si="4"/>
        <v>1</v>
      </c>
      <c r="AC34" s="1263">
        <f t="shared" si="5"/>
        <v>1</v>
      </c>
    </row>
    <row r="35" spans="1:29" ht="15" hidden="1">
      <c r="A35" s="347"/>
      <c r="B35" s="1065"/>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16"/>
      <c r="Q35" s="1262">
        <f t="shared" si="8"/>
        <v>0</v>
      </c>
      <c r="R35" s="666" t="s">
        <v>14</v>
      </c>
      <c r="S35" s="667">
        <f t="shared" si="10"/>
        <v>100</v>
      </c>
      <c r="T35" s="666" t="s">
        <v>14</v>
      </c>
      <c r="U35" s="667">
        <f t="shared" si="11"/>
        <v>100</v>
      </c>
      <c r="V35" s="666" t="s">
        <v>14</v>
      </c>
      <c r="W35" s="667">
        <f t="shared" si="12"/>
        <v>100</v>
      </c>
      <c r="X35" s="1264"/>
      <c r="Y35" s="3416"/>
      <c r="Z35" s="1263">
        <f t="shared" si="13"/>
        <v>0</v>
      </c>
      <c r="AA35" s="1263">
        <f t="shared" si="3"/>
        <v>1</v>
      </c>
      <c r="AB35" s="1263">
        <f t="shared" si="4"/>
        <v>1</v>
      </c>
      <c r="AC35" s="1263">
        <f t="shared" si="5"/>
        <v>1</v>
      </c>
    </row>
    <row r="36" spans="1:29" ht="15" hidden="1">
      <c r="A36" s="594"/>
      <c r="B36" s="1066"/>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37" t="s">
        <v>1696</v>
      </c>
      <c r="Q36" s="1262">
        <f t="shared" si="8"/>
        <v>0</v>
      </c>
      <c r="R36" s="666" t="s">
        <v>14</v>
      </c>
      <c r="S36" s="667">
        <f t="shared" si="10"/>
        <v>100</v>
      </c>
      <c r="T36" s="666" t="s">
        <v>14</v>
      </c>
      <c r="U36" s="667">
        <f t="shared" si="11"/>
        <v>100</v>
      </c>
      <c r="V36" s="666" t="s">
        <v>14</v>
      </c>
      <c r="W36" s="667">
        <f t="shared" si="12"/>
        <v>100</v>
      </c>
      <c r="X36" s="1264"/>
      <c r="Y36" s="3420" t="s">
        <v>1696</v>
      </c>
      <c r="Z36" s="1263">
        <f t="shared" si="13"/>
        <v>0</v>
      </c>
      <c r="AA36" s="1263">
        <f t="shared" si="3"/>
        <v>1</v>
      </c>
      <c r="AB36" s="1263">
        <f t="shared" si="4"/>
        <v>1</v>
      </c>
      <c r="AC36" s="1263">
        <f t="shared" si="5"/>
        <v>1</v>
      </c>
    </row>
    <row r="37" spans="1:29" s="407" customFormat="1" ht="15.75" hidden="1" thickBot="1">
      <c r="A37" s="595"/>
      <c r="B37" s="1067"/>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20"/>
      <c r="Q37" s="1262">
        <f t="shared" si="8"/>
        <v>0</v>
      </c>
      <c r="R37" s="668" t="s">
        <v>14</v>
      </c>
      <c r="S37" s="669">
        <f t="shared" si="10"/>
        <v>100</v>
      </c>
      <c r="T37" s="668" t="s">
        <v>14</v>
      </c>
      <c r="U37" s="669">
        <f t="shared" si="11"/>
        <v>100</v>
      </c>
      <c r="V37" s="668" t="s">
        <v>14</v>
      </c>
      <c r="W37" s="669">
        <f t="shared" si="12"/>
        <v>100</v>
      </c>
      <c r="X37" s="670"/>
      <c r="Y37" s="3420"/>
      <c r="Z37" s="671">
        <f t="shared" si="13"/>
        <v>0</v>
      </c>
      <c r="AA37" s="1263">
        <f t="shared" si="3"/>
        <v>1</v>
      </c>
      <c r="AB37" s="1263">
        <f t="shared" si="4"/>
        <v>1</v>
      </c>
      <c r="AC37" s="1263">
        <f t="shared" si="5"/>
        <v>1</v>
      </c>
    </row>
    <row r="38" spans="1:29" ht="15">
      <c r="A38" s="408" t="s">
        <v>1694</v>
      </c>
      <c r="B38" s="394" t="s">
        <v>1873</v>
      </c>
      <c r="C38" s="598">
        <v>25854.880000000001</v>
      </c>
      <c r="D38" s="404">
        <v>100</v>
      </c>
      <c r="E38" s="598">
        <v>9999.98</v>
      </c>
      <c r="F38" s="404">
        <f>LOOKUP(E38,116:116,117:117)-LOOKUP(C38,116:116,117:117)+100</f>
        <v>98</v>
      </c>
      <c r="G38" s="598">
        <v>10610.35</v>
      </c>
      <c r="H38" s="404">
        <f>LOOKUP(G38,116:116,117:117)-LOOKUP(C38,116:116,117:117)+100</f>
        <v>99</v>
      </c>
      <c r="I38" s="461">
        <v>62796.800000000003</v>
      </c>
      <c r="J38" s="404">
        <f>LOOKUP(I38,116:116,117:117)-LOOKUP(C38,116:116,117:117)+100</f>
        <v>99</v>
      </c>
      <c r="K38" s="538"/>
      <c r="L38" s="2491"/>
      <c r="M38" s="2486"/>
      <c r="N38" s="2486"/>
      <c r="O38" s="2541"/>
      <c r="P38" s="3420"/>
      <c r="Q38" s="1262" t="str">
        <f>B38</f>
        <v>宗地面积</v>
      </c>
      <c r="R38" s="666" t="s">
        <v>14</v>
      </c>
      <c r="S38" s="667">
        <f t="shared" si="10"/>
        <v>98</v>
      </c>
      <c r="T38" s="666" t="s">
        <v>14</v>
      </c>
      <c r="U38" s="667">
        <f t="shared" si="11"/>
        <v>99</v>
      </c>
      <c r="V38" s="666" t="s">
        <v>14</v>
      </c>
      <c r="W38" s="667">
        <f t="shared" si="12"/>
        <v>99</v>
      </c>
      <c r="X38" s="1264"/>
      <c r="Y38" s="3420"/>
      <c r="Z38" s="1263" t="str">
        <f t="shared" si="13"/>
        <v>宗地面积</v>
      </c>
      <c r="AA38" s="1263">
        <f t="shared" si="3"/>
        <v>1.0204081632653061</v>
      </c>
      <c r="AB38" s="1263">
        <f t="shared" si="4"/>
        <v>1.0101010101010102</v>
      </c>
      <c r="AC38" s="1263">
        <f t="shared" si="5"/>
        <v>1.0101010101010102</v>
      </c>
    </row>
    <row r="39" spans="1:29" ht="15">
      <c r="A39" s="408"/>
      <c r="B39" s="363" t="s">
        <v>1874</v>
      </c>
      <c r="C39" s="3160" t="s">
        <v>3670</v>
      </c>
      <c r="D39" s="373">
        <v>100</v>
      </c>
      <c r="E39" s="3160" t="s">
        <v>3670</v>
      </c>
      <c r="F39" s="373">
        <f>SUMIF(118:118,E39,119:119)-SUMIF(118:118,C39,119:119)+100</f>
        <v>100</v>
      </c>
      <c r="G39" s="3160" t="s">
        <v>3670</v>
      </c>
      <c r="H39" s="373">
        <f>SUMIF(118:118,G39,119:119)-SUMIF(118:118,C39,119:119)+100</f>
        <v>100</v>
      </c>
      <c r="I39" s="3160" t="s">
        <v>3670</v>
      </c>
      <c r="J39" s="373">
        <f>SUMIF(118:118,I39,119:119)-SUMIF(118:118,C39,119:119)+100</f>
        <v>100</v>
      </c>
      <c r="K39" s="537">
        <v>1</v>
      </c>
      <c r="L39" s="2491"/>
      <c r="M39" s="2486"/>
      <c r="N39" s="2486"/>
      <c r="O39" s="2541"/>
      <c r="P39" s="3420"/>
      <c r="Q39" s="1262" t="str">
        <f t="shared" ref="Q39:Q45" si="14">B39</f>
        <v>宗地形状</v>
      </c>
      <c r="R39" s="666" t="s">
        <v>14</v>
      </c>
      <c r="S39" s="667">
        <f t="shared" si="10"/>
        <v>100</v>
      </c>
      <c r="T39" s="666" t="s">
        <v>14</v>
      </c>
      <c r="U39" s="667">
        <f t="shared" si="11"/>
        <v>100</v>
      </c>
      <c r="V39" s="666" t="s">
        <v>14</v>
      </c>
      <c r="W39" s="667">
        <f t="shared" si="12"/>
        <v>100</v>
      </c>
      <c r="X39" s="1264"/>
      <c r="Y39" s="3420"/>
      <c r="Z39" s="1263" t="str">
        <f t="shared" si="13"/>
        <v>宗地形状</v>
      </c>
      <c r="AA39" s="1263">
        <f t="shared" si="3"/>
        <v>1</v>
      </c>
      <c r="AB39" s="1263">
        <f t="shared" si="4"/>
        <v>1</v>
      </c>
      <c r="AC39" s="1263">
        <f t="shared" si="5"/>
        <v>1</v>
      </c>
    </row>
    <row r="40" spans="1:29" ht="15">
      <c r="A40" s="408"/>
      <c r="B40" s="363" t="s">
        <v>1875</v>
      </c>
      <c r="C40" s="3160" t="s">
        <v>3671</v>
      </c>
      <c r="D40" s="373">
        <v>100</v>
      </c>
      <c r="E40" s="3160" t="s">
        <v>3671</v>
      </c>
      <c r="F40" s="373">
        <f>SUMIF(120:120,E40,121:121)-SUMIF(120:120,C40,121:121)+100</f>
        <v>100</v>
      </c>
      <c r="G40" s="3160" t="s">
        <v>3671</v>
      </c>
      <c r="H40" s="373">
        <f>SUMIF(120:120,G40,121:121)-SUMIF(120:120,C40,121:121)+100</f>
        <v>100</v>
      </c>
      <c r="I40" s="3160" t="s">
        <v>3671</v>
      </c>
      <c r="J40" s="373">
        <f>SUMIF(120:120,I40,121:121)-SUMIF(120:120,C40,121:121)+100</f>
        <v>100</v>
      </c>
      <c r="K40" s="537">
        <v>1</v>
      </c>
      <c r="L40" s="2491"/>
      <c r="M40" s="2486"/>
      <c r="N40" s="2486"/>
      <c r="O40" s="2541"/>
      <c r="P40" s="3420"/>
      <c r="Q40" s="1262" t="str">
        <f t="shared" si="14"/>
        <v>临街宽度及深度</v>
      </c>
      <c r="R40" s="666" t="s">
        <v>14</v>
      </c>
      <c r="S40" s="667">
        <f t="shared" si="10"/>
        <v>100</v>
      </c>
      <c r="T40" s="666" t="s">
        <v>14</v>
      </c>
      <c r="U40" s="667">
        <f t="shared" si="11"/>
        <v>100</v>
      </c>
      <c r="V40" s="666" t="s">
        <v>14</v>
      </c>
      <c r="W40" s="667">
        <f t="shared" si="12"/>
        <v>100</v>
      </c>
      <c r="X40" s="1264"/>
      <c r="Y40" s="3420"/>
      <c r="Z40" s="1263" t="str">
        <f t="shared" si="13"/>
        <v>临街宽度及深度</v>
      </c>
      <c r="AA40" s="1263">
        <f t="shared" si="3"/>
        <v>1</v>
      </c>
      <c r="AB40" s="1263">
        <f t="shared" si="4"/>
        <v>1</v>
      </c>
      <c r="AC40" s="1263">
        <f t="shared" si="5"/>
        <v>1</v>
      </c>
    </row>
    <row r="41" spans="1:29" s="101" customFormat="1" ht="15">
      <c r="A41" s="409"/>
      <c r="B41" s="363" t="s">
        <v>1876</v>
      </c>
      <c r="C41" s="3159" t="s">
        <v>3672</v>
      </c>
      <c r="D41" s="118">
        <v>100</v>
      </c>
      <c r="E41" s="3159" t="s">
        <v>3623</v>
      </c>
      <c r="F41" s="373">
        <f>SUMIF(122:122,E41,123:123)-SUMIF(122:122,C41,123:123)+100</f>
        <v>97</v>
      </c>
      <c r="G41" s="3159" t="s">
        <v>3623</v>
      </c>
      <c r="H41" s="373">
        <f>SUMIF(122:122,G41,123:123)-SUMIF(122:122,C41,123:123)+100</f>
        <v>97</v>
      </c>
      <c r="I41" s="3159" t="s">
        <v>3623</v>
      </c>
      <c r="J41" s="373">
        <f>SUMIF(122:122,I41,123:123)-SUMIF(122:122,C41,123:123)+100</f>
        <v>97</v>
      </c>
      <c r="K41" s="537">
        <v>1</v>
      </c>
      <c r="L41" s="2487"/>
      <c r="M41" s="2439"/>
      <c r="N41" s="2439"/>
      <c r="O41" s="2539"/>
      <c r="P41" s="3420"/>
      <c r="Q41" s="1262" t="str">
        <f t="shared" si="14"/>
        <v>宗地开发程度</v>
      </c>
      <c r="R41" s="663" t="s">
        <v>14</v>
      </c>
      <c r="S41" s="664">
        <f t="shared" si="10"/>
        <v>97</v>
      </c>
      <c r="T41" s="663" t="s">
        <v>14</v>
      </c>
      <c r="U41" s="664">
        <f t="shared" si="11"/>
        <v>97</v>
      </c>
      <c r="V41" s="663" t="s">
        <v>14</v>
      </c>
      <c r="W41" s="664">
        <f t="shared" si="12"/>
        <v>97</v>
      </c>
      <c r="X41" s="665"/>
      <c r="Y41" s="3420"/>
      <c r="Z41" s="49" t="str">
        <f t="shared" si="13"/>
        <v>宗地开发程度</v>
      </c>
      <c r="AA41" s="49">
        <f t="shared" si="3"/>
        <v>1.0309278350515463</v>
      </c>
      <c r="AB41" s="49">
        <f t="shared" si="4"/>
        <v>1.0309278350515463</v>
      </c>
      <c r="AC41" s="49">
        <f t="shared" si="5"/>
        <v>1.0309278350515463</v>
      </c>
    </row>
    <row r="42" spans="1:29" ht="15.75" thickBot="1">
      <c r="A42" s="408"/>
      <c r="B42" s="363" t="s">
        <v>1877</v>
      </c>
      <c r="C42" s="3160" t="s">
        <v>3671</v>
      </c>
      <c r="D42" s="373">
        <v>100</v>
      </c>
      <c r="E42" s="3160" t="s">
        <v>3671</v>
      </c>
      <c r="F42" s="373">
        <f>SUMIF(124:124,E42,125:125)-SUMIF(124:124,C42,125:125)+100</f>
        <v>100</v>
      </c>
      <c r="G42" s="3160" t="s">
        <v>3671</v>
      </c>
      <c r="H42" s="373">
        <f>SUMIF(124:124,G42,125:125)-SUMIF(124:124,C42,125:125)+100</f>
        <v>100</v>
      </c>
      <c r="I42" s="3160" t="s">
        <v>3671</v>
      </c>
      <c r="J42" s="373">
        <f>SUMIF(124:124,I42,125:125)-SUMIF(124:124,C42,125:125)+100</f>
        <v>100</v>
      </c>
      <c r="K42" s="537">
        <v>1</v>
      </c>
      <c r="L42" s="2491"/>
      <c r="M42" s="2486"/>
      <c r="N42" s="2486"/>
      <c r="O42" s="2541"/>
      <c r="P42" s="3420" t="s">
        <v>1696</v>
      </c>
      <c r="Q42" s="1262" t="str">
        <f t="shared" si="14"/>
        <v>工程地质条件</v>
      </c>
      <c r="R42" s="666" t="s">
        <v>14</v>
      </c>
      <c r="S42" s="667">
        <f t="shared" si="10"/>
        <v>100</v>
      </c>
      <c r="T42" s="666" t="s">
        <v>14</v>
      </c>
      <c r="U42" s="667">
        <f t="shared" si="11"/>
        <v>100</v>
      </c>
      <c r="V42" s="666" t="s">
        <v>14</v>
      </c>
      <c r="W42" s="667">
        <f t="shared" si="12"/>
        <v>100</v>
      </c>
      <c r="X42" s="1264"/>
      <c r="Y42" s="3420" t="s">
        <v>1696</v>
      </c>
      <c r="Z42" s="1263" t="str">
        <f t="shared" si="13"/>
        <v>工程地质条件</v>
      </c>
      <c r="AA42" s="1263">
        <f t="shared" si="3"/>
        <v>1</v>
      </c>
      <c r="AB42" s="1263">
        <f t="shared" si="4"/>
        <v>1</v>
      </c>
      <c r="AC42" s="1263">
        <f t="shared" si="5"/>
        <v>1</v>
      </c>
    </row>
    <row r="43" spans="1:29" ht="15" hidden="1">
      <c r="A43" s="408"/>
      <c r="B43" s="1066"/>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20"/>
      <c r="Q43" s="1262">
        <f t="shared" si="14"/>
        <v>0</v>
      </c>
      <c r="R43" s="666" t="s">
        <v>14</v>
      </c>
      <c r="S43" s="667">
        <f t="shared" si="10"/>
        <v>100</v>
      </c>
      <c r="T43" s="666" t="s">
        <v>14</v>
      </c>
      <c r="U43" s="667">
        <f t="shared" si="11"/>
        <v>100</v>
      </c>
      <c r="V43" s="666" t="s">
        <v>14</v>
      </c>
      <c r="W43" s="667">
        <f t="shared" si="12"/>
        <v>100</v>
      </c>
      <c r="X43" s="1264"/>
      <c r="Y43" s="3420"/>
      <c r="Z43" s="1263">
        <f t="shared" si="13"/>
        <v>0</v>
      </c>
      <c r="AA43" s="1263">
        <f t="shared" si="3"/>
        <v>1</v>
      </c>
      <c r="AB43" s="1263">
        <f t="shared" si="4"/>
        <v>1</v>
      </c>
      <c r="AC43" s="1263">
        <f t="shared" si="5"/>
        <v>1</v>
      </c>
    </row>
    <row r="44" spans="1:29" ht="15" hidden="1">
      <c r="A44" s="408"/>
      <c r="B44" s="1066"/>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20"/>
      <c r="Q44" s="1262">
        <f t="shared" si="14"/>
        <v>0</v>
      </c>
      <c r="R44" s="666" t="s">
        <v>14</v>
      </c>
      <c r="S44" s="667">
        <f t="shared" si="10"/>
        <v>100</v>
      </c>
      <c r="T44" s="666" t="s">
        <v>14</v>
      </c>
      <c r="U44" s="667">
        <f t="shared" si="11"/>
        <v>100</v>
      </c>
      <c r="V44" s="666" t="s">
        <v>14</v>
      </c>
      <c r="W44" s="667">
        <f t="shared" si="12"/>
        <v>100</v>
      </c>
      <c r="X44" s="1264"/>
      <c r="Y44" s="3420"/>
      <c r="Z44" s="1263">
        <f t="shared" si="13"/>
        <v>0</v>
      </c>
      <c r="AA44" s="1263">
        <f t="shared" si="3"/>
        <v>1</v>
      </c>
      <c r="AB44" s="1263">
        <f t="shared" si="4"/>
        <v>1</v>
      </c>
      <c r="AC44" s="1263">
        <f t="shared" si="5"/>
        <v>1</v>
      </c>
    </row>
    <row r="45" spans="1:29" s="407" customFormat="1" ht="15.75" hidden="1" thickBot="1">
      <c r="A45" s="405"/>
      <c r="B45" s="1066"/>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20"/>
      <c r="Q45" s="1262">
        <f t="shared" si="14"/>
        <v>0</v>
      </c>
      <c r="R45" s="668" t="s">
        <v>14</v>
      </c>
      <c r="S45" s="669">
        <f t="shared" si="10"/>
        <v>100</v>
      </c>
      <c r="T45" s="668" t="s">
        <v>14</v>
      </c>
      <c r="U45" s="669">
        <f t="shared" si="11"/>
        <v>100</v>
      </c>
      <c r="V45" s="668" t="s">
        <v>14</v>
      </c>
      <c r="W45" s="669">
        <f t="shared" si="12"/>
        <v>100</v>
      </c>
      <c r="X45" s="670"/>
      <c r="Y45" s="3420"/>
      <c r="Z45" s="671">
        <f t="shared" si="13"/>
        <v>0</v>
      </c>
      <c r="AA45" s="1263">
        <f t="shared" si="3"/>
        <v>1</v>
      </c>
      <c r="AB45" s="1263">
        <f t="shared" si="4"/>
        <v>1</v>
      </c>
      <c r="AC45" s="1263">
        <f t="shared" si="5"/>
        <v>1</v>
      </c>
    </row>
    <row r="46" spans="1:29" ht="15">
      <c r="A46" s="415" t="s">
        <v>1844</v>
      </c>
      <c r="B46" s="1829" t="s">
        <v>1878</v>
      </c>
      <c r="C46" s="601" t="s">
        <v>0</v>
      </c>
      <c r="D46" s="417"/>
      <c r="E46" s="418">
        <v>21421</v>
      </c>
      <c r="F46" s="419"/>
      <c r="G46" s="420">
        <v>28065</v>
      </c>
      <c r="H46" s="421"/>
      <c r="I46" s="418">
        <v>23078</v>
      </c>
      <c r="J46" s="421"/>
      <c r="K46" s="673"/>
      <c r="L46" s="2493"/>
      <c r="M46" s="2486"/>
      <c r="N46" s="2486"/>
      <c r="O46" s="2486"/>
      <c r="P46" s="3422" t="str">
        <f>A46</f>
        <v>成交单价</v>
      </c>
      <c r="Q46" s="3422"/>
      <c r="R46" s="3410">
        <f>E46</f>
        <v>21421</v>
      </c>
      <c r="S46" s="3410"/>
      <c r="T46" s="3410">
        <f>G46</f>
        <v>28065</v>
      </c>
      <c r="U46" s="3410"/>
      <c r="V46" s="3410">
        <f>I46</f>
        <v>23078</v>
      </c>
      <c r="W46" s="3410"/>
      <c r="X46" s="384"/>
      <c r="Y46" s="672"/>
      <c r="Z46" s="384"/>
      <c r="AA46" s="384"/>
      <c r="AB46" s="384"/>
      <c r="AC46" s="384"/>
    </row>
    <row r="47" spans="1:29" ht="15.75" thickBot="1">
      <c r="A47" s="422" t="s">
        <v>1793</v>
      </c>
      <c r="B47" s="602"/>
      <c r="C47" s="425">
        <f>R48</f>
        <v>21401</v>
      </c>
      <c r="D47" s="2140" t="s">
        <v>2136</v>
      </c>
      <c r="E47" s="425">
        <f>R47</f>
        <v>18157</v>
      </c>
      <c r="F47" s="2141"/>
      <c r="G47" s="424">
        <f>T47</f>
        <v>23874</v>
      </c>
      <c r="H47" s="2141"/>
      <c r="I47" s="425">
        <f>V47</f>
        <v>22171</v>
      </c>
      <c r="J47" s="2141"/>
      <c r="K47" s="2143">
        <f>F47+H47+J47</f>
        <v>0</v>
      </c>
      <c r="L47" s="2493"/>
      <c r="M47" s="2486"/>
      <c r="N47" s="2486"/>
      <c r="O47" s="2486"/>
      <c r="P47" s="3422" t="str">
        <f>A47</f>
        <v>比较价值（元/平方米）</v>
      </c>
      <c r="Q47" s="3422"/>
      <c r="R47" s="3438">
        <f>ROUND(PRODUCT(R46,AA7:AA45),0)</f>
        <v>18157</v>
      </c>
      <c r="S47" s="3438"/>
      <c r="T47" s="3438">
        <f>ROUND(PRODUCT(T46,AB7:AB45),0)</f>
        <v>23874</v>
      </c>
      <c r="U47" s="3438"/>
      <c r="V47" s="3438">
        <f>ROUND(PRODUCT(V46,AC7:AC45),0)</f>
        <v>22171</v>
      </c>
      <c r="W47" s="3438"/>
      <c r="X47" s="384"/>
      <c r="Y47" s="384"/>
      <c r="Z47" s="384"/>
      <c r="AA47" s="384"/>
      <c r="AB47" s="384"/>
      <c r="AC47" s="384"/>
    </row>
    <row r="48" spans="1:29" ht="15.75" thickBot="1">
      <c r="A48" s="426" t="s">
        <v>1879</v>
      </c>
      <c r="B48" s="427"/>
      <c r="C48" s="428">
        <f>R48</f>
        <v>21401</v>
      </c>
      <c r="D48" s="428"/>
      <c r="E48" s="428"/>
      <c r="F48" s="428"/>
      <c r="G48" s="428"/>
      <c r="H48" s="428"/>
      <c r="I48" s="428"/>
      <c r="J48" s="428"/>
      <c r="K48" s="674"/>
      <c r="L48" s="2493"/>
      <c r="M48" s="2486"/>
      <c r="N48" s="2486"/>
      <c r="O48" s="2486"/>
      <c r="P48" s="3439" t="str">
        <f>A48</f>
        <v>估价对象XX用房的比较价值（楼面单价，元/平方米）</v>
      </c>
      <c r="Q48" s="3440"/>
      <c r="R48" s="3441">
        <f>ROUND(IF(D47="简单平均",AVERAGE(R47:W47),R47*F47+T47*H47+V47*J47),0)</f>
        <v>21401</v>
      </c>
      <c r="S48" s="3441"/>
      <c r="T48" s="3441"/>
      <c r="U48" s="3441"/>
      <c r="V48" s="3441"/>
      <c r="W48" s="3441"/>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f>IF(E46&lt;E47,E47/E46-1,E46/E47-1)</f>
        <v>0.17976537974334961</v>
      </c>
      <c r="F51" s="434" t="str">
        <f>IF(OR(E51&gt;=0.3,E51&lt;=-0.3),"超过30%","")</f>
        <v/>
      </c>
      <c r="G51" s="433">
        <f>IF(G46&lt;G47,G47/G46-1,G46/G47-1)</f>
        <v>0.175546619753707</v>
      </c>
      <c r="H51" s="434" t="str">
        <f>IF(OR(G51&gt;=0.3,G51&lt;=-0.3),"超过30%","")</f>
        <v/>
      </c>
      <c r="I51" s="433">
        <f>IF(I46&lt;I47,I47/I46-1,I46/I47-1)</f>
        <v>4.090929592711201E-2</v>
      </c>
      <c r="J51" s="434"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f>IF(E47&lt;G47,G47/E47-1,E47/G47-1)</f>
        <v>0.31486479043894922</v>
      </c>
      <c r="F52" s="434" t="str">
        <f>IF(OR(E52&gt;=0.2,E52&lt;=-0.2),"超过20%","")</f>
        <v>超过20%</v>
      </c>
      <c r="G52" s="433">
        <f>IF(G47&lt;I47,I47/G47-1,G47/I47-1)</f>
        <v>7.6812051779351354E-2</v>
      </c>
      <c r="H52" s="434" t="str">
        <f>IF(OR(G52&gt;=0.2,G52&lt;=-0.2),"超过20%","")</f>
        <v/>
      </c>
      <c r="I52" s="433">
        <f>IF(I47&lt;E47,E47/I47-1,I47/E47-1)</f>
        <v>0.2210717629564356</v>
      </c>
      <c r="J52" s="434" t="str">
        <f>IF(OR(I52&gt;=0.2,I52&lt;=-0.2),"超过20%","")</f>
        <v>超过20%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f>IF(E46&lt;G46,G46/E46-1,E46/G46-1)</f>
        <v>0.31016292423322911</v>
      </c>
      <c r="F53" s="434" t="str">
        <f>IF(OR(E53&gt;=0.3,E53&lt;=-0.3),"超过30%","")</f>
        <v>超过30%</v>
      </c>
      <c r="G53" s="433">
        <f>IF(G46&lt;I46,I46/G46-1,G46/I46-1)</f>
        <v>0.21609324898171423</v>
      </c>
      <c r="H53" s="434" t="str">
        <f>IF(OR(G53&gt;=0.3,G53&lt;=-0.3),"超过30%","")</f>
        <v/>
      </c>
      <c r="I53" s="433">
        <f>IF(I46&lt;E46,E46/I46-1,I46/E46-1)</f>
        <v>7.7353998412772462E-2</v>
      </c>
      <c r="J53" s="434"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30" t="s">
        <v>1882</v>
      </c>
      <c r="D55" s="1831" t="s">
        <v>1883</v>
      </c>
      <c r="E55" s="605" t="s">
        <v>1884</v>
      </c>
      <c r="F55" s="836" t="s">
        <v>1885</v>
      </c>
      <c r="G55" s="3397" t="s">
        <v>1886</v>
      </c>
      <c r="H55" s="3442"/>
      <c r="I55" s="126" t="s">
        <v>1887</v>
      </c>
      <c r="J55" s="1832">
        <f>项目基本情况!F35</f>
        <v>0</v>
      </c>
      <c r="K55" s="1833"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f>C48</f>
        <v>21401</v>
      </c>
      <c r="C56" s="609">
        <v>1</v>
      </c>
      <c r="D56" s="889">
        <v>1</v>
      </c>
      <c r="E56" s="609">
        <f>'数据-汇总表'!E8+'数据-汇总表'!E9</f>
        <v>98928.560000000012</v>
      </c>
      <c r="F56" s="832">
        <f t="shared" ref="F56:F64" si="15">ROUND(B56*E56/10000,0)</f>
        <v>211717</v>
      </c>
      <c r="G56" s="3393"/>
      <c r="H56" s="3422"/>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09">
        <f>ROUND($C$48*C57*D57,0)</f>
        <v>3210</v>
      </c>
      <c r="C57" s="162">
        <f t="shared" ref="C57:C64" si="16">IF($C$55="北京市系数",I57,J57)</f>
        <v>0.6</v>
      </c>
      <c r="D57" s="890">
        <v>0.25</v>
      </c>
      <c r="E57" s="613"/>
      <c r="F57" s="832">
        <f t="shared" si="15"/>
        <v>0</v>
      </c>
      <c r="G57" s="2749" t="s">
        <v>1891</v>
      </c>
      <c r="H57" s="833" t="str">
        <f>项目基本情况!B37</f>
        <v>三级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09">
        <f t="shared" ref="B58:B64" si="17">ROUND($C$48*C58*D58,0)</f>
        <v>1605</v>
      </c>
      <c r="C58" s="162">
        <f t="shared" si="16"/>
        <v>0.3</v>
      </c>
      <c r="D58" s="890">
        <v>0.25</v>
      </c>
      <c r="E58" s="613"/>
      <c r="F58" s="832">
        <f t="shared" si="15"/>
        <v>0</v>
      </c>
      <c r="G58" s="2750"/>
      <c r="H58" s="833" t="str">
        <f>项目基本情况!B37</f>
        <v>三级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09">
        <f t="shared" si="17"/>
        <v>1338</v>
      </c>
      <c r="C59" s="162">
        <f t="shared" si="16"/>
        <v>0.25</v>
      </c>
      <c r="D59" s="890">
        <v>0.25</v>
      </c>
      <c r="E59" s="613"/>
      <c r="F59" s="832">
        <f t="shared" si="15"/>
        <v>0</v>
      </c>
      <c r="G59" s="2750"/>
      <c r="H59" s="833" t="str">
        <f>项目基本情况!B37</f>
        <v>三级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09">
        <f t="shared" si="17"/>
        <v>1338</v>
      </c>
      <c r="C60" s="162">
        <f t="shared" si="16"/>
        <v>0.25</v>
      </c>
      <c r="D60" s="890">
        <v>0.25</v>
      </c>
      <c r="E60" s="208">
        <f>'数据-汇总表'!E11</f>
        <v>0</v>
      </c>
      <c r="F60" s="832">
        <f t="shared" si="15"/>
        <v>0</v>
      </c>
      <c r="G60" s="1834" t="s">
        <v>1895</v>
      </c>
      <c r="H60" s="833" t="str">
        <f>项目基本情况!C37</f>
        <v>三级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09">
        <f t="shared" si="17"/>
        <v>1338</v>
      </c>
      <c r="C61" s="162">
        <f t="shared" si="16"/>
        <v>0.25</v>
      </c>
      <c r="D61" s="890">
        <v>0.25</v>
      </c>
      <c r="E61" s="208">
        <f>'数据-汇总表'!E12</f>
        <v>0</v>
      </c>
      <c r="F61" s="832">
        <f t="shared" si="15"/>
        <v>0</v>
      </c>
      <c r="G61" s="838" t="s">
        <v>1897</v>
      </c>
      <c r="H61" s="833" t="str">
        <f>IF(G61="商业",项目基本情况!B37,IF(G61="办公",项目基本情况!C37,IF(G61="住宅",项目基本情况!D37,项目基本情况!E37)))</f>
        <v>三级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09">
        <f t="shared" si="17"/>
        <v>0</v>
      </c>
      <c r="C62" s="162">
        <f t="shared" si="16"/>
        <v>0</v>
      </c>
      <c r="D62" s="890">
        <v>0.25</v>
      </c>
      <c r="E62" s="208">
        <f>'数据-汇总表'!E13</f>
        <v>0</v>
      </c>
      <c r="F62" s="832">
        <f t="shared" si="15"/>
        <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09">
        <f t="shared" si="17"/>
        <v>803</v>
      </c>
      <c r="C63" s="162">
        <f t="shared" si="16"/>
        <v>0.15</v>
      </c>
      <c r="D63" s="890">
        <v>0.25</v>
      </c>
      <c r="E63" s="208">
        <f>'数据-汇总表'!E14</f>
        <v>0</v>
      </c>
      <c r="F63" s="832">
        <f t="shared" si="15"/>
        <v>0</v>
      </c>
      <c r="G63" s="1834" t="s">
        <v>1891</v>
      </c>
      <c r="H63" s="833" t="str">
        <f>项目基本情况!B37</f>
        <v>三级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1901</v>
      </c>
      <c r="B64" s="209">
        <f t="shared" si="17"/>
        <v>803</v>
      </c>
      <c r="C64" s="162">
        <f t="shared" si="16"/>
        <v>0.15</v>
      </c>
      <c r="D64" s="890">
        <v>0.25</v>
      </c>
      <c r="E64" s="208">
        <f>'数据-汇总表'!E15</f>
        <v>0</v>
      </c>
      <c r="F64" s="832">
        <f t="shared" si="15"/>
        <v>0</v>
      </c>
      <c r="G64" s="1835" t="s">
        <v>1895</v>
      </c>
      <c r="H64" s="843" t="str">
        <f>项目基本情况!C37</f>
        <v>三级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1902</v>
      </c>
      <c r="B65" s="615" t="s">
        <v>22</v>
      </c>
      <c r="C65" s="615" t="s">
        <v>23</v>
      </c>
      <c r="D65" s="615" t="s">
        <v>392</v>
      </c>
      <c r="E65" s="615">
        <f>IF(B46="楼面地价",SUM(E56:E64),'数据-汇总表'!D3)</f>
        <v>98928.560000000012</v>
      </c>
      <c r="F65" s="616">
        <f>IF(B46="楼面地价",SUM(F56:F64),ROUND(C48*E65/10000,0))</f>
        <v>211717</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1" customFormat="1" ht="30" customHeight="1">
      <c r="A70" s="1836" t="s">
        <v>1904</v>
      </c>
      <c r="B70" s="279" t="str">
        <f>"北京市平均增长率"&amp;TEXT(SUMIF('基准地价修正-商业'!N25:N29,A70,'基准地价修正-商业'!P25:P29),"0.00%")</f>
        <v>北京市平均增长率0.00%</v>
      </c>
      <c r="C70" s="529">
        <v>100</v>
      </c>
      <c r="D70" s="6">
        <v>100</v>
      </c>
      <c r="E70" s="6">
        <v>100</v>
      </c>
      <c r="F70" s="6">
        <v>100</v>
      </c>
      <c r="G70" s="6">
        <v>99.5</v>
      </c>
      <c r="H70" s="6">
        <v>99</v>
      </c>
      <c r="I70" s="6">
        <v>98.5</v>
      </c>
      <c r="J70" s="6">
        <v>98</v>
      </c>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1（含）-2</v>
      </c>
      <c r="D78" s="477" t="str">
        <f t="shared" ref="D78:L78" si="20">D79&amp;"（含）"&amp;"-"&amp;E79</f>
        <v>2（含）-3</v>
      </c>
      <c r="E78" s="477" t="str">
        <f t="shared" si="20"/>
        <v>3（含）-4</v>
      </c>
      <c r="F78" s="477" t="str">
        <f t="shared" si="20"/>
        <v>4（含）-5</v>
      </c>
      <c r="G78" s="477" t="str">
        <f t="shared" si="20"/>
        <v>5（含）-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v>1</v>
      </c>
      <c r="D79" s="479">
        <v>2</v>
      </c>
      <c r="E79" s="479">
        <v>3</v>
      </c>
      <c r="F79" s="479">
        <v>4</v>
      </c>
      <c r="G79" s="479">
        <v>5</v>
      </c>
      <c r="H79" s="479"/>
      <c r="I79" s="479"/>
      <c r="J79" s="479"/>
      <c r="K79" s="479"/>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f>B12</f>
        <v>0</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0</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0</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1905</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96</v>
      </c>
      <c r="E90" s="474">
        <f>D90-$K17</f>
        <v>92</v>
      </c>
      <c r="F90" s="474">
        <f>E90-$K17</f>
        <v>88</v>
      </c>
      <c r="G90" s="474">
        <f>F90-$K17</f>
        <v>84</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96</v>
      </c>
      <c r="E92" s="474">
        <f>D92-$K19</f>
        <v>92</v>
      </c>
      <c r="F92" s="474">
        <f>E92-$K19</f>
        <v>88</v>
      </c>
      <c r="G92" s="474">
        <f>F92-$K19</f>
        <v>84</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96</v>
      </c>
      <c r="E94" s="474">
        <f>D94-$K21</f>
        <v>92</v>
      </c>
      <c r="F94" s="474">
        <f>E94-$K21</f>
        <v>88</v>
      </c>
      <c r="G94" s="474">
        <f>F94-$K21</f>
        <v>84</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15.75" thickTop="1">
      <c r="A95" s="369"/>
      <c r="B95" s="468" t="s">
        <v>1906</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96</v>
      </c>
      <c r="E100" s="474">
        <f>D100-$K27</f>
        <v>92</v>
      </c>
      <c r="F100" s="474">
        <f>E100-$K27</f>
        <v>88</v>
      </c>
      <c r="G100" s="474">
        <f>F100-$K27</f>
        <v>84</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1872</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0</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0</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0</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27.75" customHeight="1">
      <c r="A115" s="378" t="s">
        <v>1694</v>
      </c>
      <c r="B115" s="459" t="s">
        <v>1912</v>
      </c>
      <c r="C115" s="460" t="str">
        <f>C116&amp;"(含)"&amp;"-"&amp;D116</f>
        <v>0(含)-10000</v>
      </c>
      <c r="D115" s="460" t="str">
        <f t="shared" ref="D115:M115" si="25">D116&amp;"(含)"&amp;"-"&amp;E116</f>
        <v>10000(含)-20000</v>
      </c>
      <c r="E115" s="460" t="str">
        <f t="shared" si="25"/>
        <v>20000(含)-50000</v>
      </c>
      <c r="F115" s="460" t="str">
        <f t="shared" si="25"/>
        <v>50000(含)-100000</v>
      </c>
      <c r="G115" s="460" t="str">
        <f t="shared" si="25"/>
        <v>100000(含)-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v>0</v>
      </c>
      <c r="D116" s="6">
        <v>10000</v>
      </c>
      <c r="E116" s="6">
        <v>20000</v>
      </c>
      <c r="F116" s="6">
        <v>50000</v>
      </c>
      <c r="G116" s="6">
        <v>100000</v>
      </c>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v>100</v>
      </c>
      <c r="D117" s="520">
        <v>101</v>
      </c>
      <c r="E117" s="520">
        <v>102</v>
      </c>
      <c r="F117" s="520">
        <v>101</v>
      </c>
      <c r="G117" s="520">
        <v>100</v>
      </c>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1913</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1914</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1915</v>
      </c>
      <c r="C122" s="3161" t="s">
        <v>3673</v>
      </c>
      <c r="D122" s="3161" t="s">
        <v>3674</v>
      </c>
      <c r="E122" s="3161" t="s">
        <v>3675</v>
      </c>
      <c r="F122" s="3161" t="s">
        <v>3623</v>
      </c>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1916</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0</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0</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0</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C859-0978-4B5B-9959-40917874D0F1}">
  <sheetPr>
    <tabColor rgb="FF92D050"/>
  </sheetPr>
  <dimension ref="A1:AK122"/>
  <sheetViews>
    <sheetView view="pageBreakPreview" zoomScaleNormal="80" zoomScaleSheetLayoutView="100" workbookViewId="0">
      <selection activeCell="G24" sqref="G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66245.090000000011</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f>C30</f>
        <v>127601</v>
      </c>
      <c r="C2" s="1845" t="s">
        <v>1934</v>
      </c>
      <c r="D2" s="161" t="s">
        <v>1935</v>
      </c>
      <c r="E2" s="3119" t="s">
        <v>21</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Ⅲ—23</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32484</v>
      </c>
      <c r="U2" s="1129">
        <f>面积!B6</f>
        <v>12527.07</v>
      </c>
      <c r="V2" s="3062">
        <f>ROUND(T2*U2/10000,0)</f>
        <v>40693</v>
      </c>
      <c r="W2" s="1132"/>
      <c r="X2" s="1132"/>
      <c r="Y2" s="1132"/>
      <c r="Z2" s="1132"/>
      <c r="AA2" s="1132"/>
      <c r="AB2" s="1132"/>
      <c r="AC2" s="1133"/>
      <c r="AD2" s="1134"/>
      <c r="AE2" s="1134"/>
      <c r="AF2" s="1134"/>
      <c r="AG2" s="1134"/>
      <c r="AH2" s="1134"/>
      <c r="AI2" s="1134"/>
      <c r="AJ2" s="1135"/>
    </row>
    <row r="3" spans="1:36" ht="15.75">
      <c r="A3" s="194" t="s">
        <v>1939</v>
      </c>
      <c r="B3" s="195">
        <f>ROUND(B2*10000/D1,0)</f>
        <v>19262</v>
      </c>
      <c r="C3" s="1845" t="s">
        <v>1940</v>
      </c>
      <c r="D3" s="161" t="s">
        <v>1941</v>
      </c>
      <c r="E3" s="3117" t="s">
        <v>3687</v>
      </c>
      <c r="F3" s="1847" t="s">
        <v>3688</v>
      </c>
      <c r="G3" s="707">
        <f>IF(F3="宗地容积率",'数据-汇总表'!I4,IF(F3="估价对象容积率",'数据-汇总表'!I6,'数据-汇总表'!I7))</f>
        <v>5.08</v>
      </c>
      <c r="H3" s="161" t="s">
        <v>1942</v>
      </c>
      <c r="I3" s="728"/>
      <c r="J3" s="1841" t="s">
        <v>1943</v>
      </c>
      <c r="K3" s="1055"/>
      <c r="L3" s="1846" t="s">
        <v>1944</v>
      </c>
      <c r="M3" s="810">
        <f>SUMPRODUCT((区片价!B30:B54=I2)*(区片价!C3:G3=E2)*(区片价!C30:G54))</f>
        <v>22350</v>
      </c>
      <c r="N3" s="812">
        <f>SUMPRODUCT((因素修正幅度!B30:B54=I2)*(因素修正幅度!C3:G3=E2)*(因素修正幅度!C30:G54))</f>
        <v>9.6000000000000002E-2</v>
      </c>
      <c r="O3" s="1055"/>
      <c r="P3" s="1055"/>
      <c r="Q3" s="1055"/>
      <c r="R3" s="1128">
        <v>2</v>
      </c>
      <c r="S3" s="3062">
        <f>ROUND(SUMPRODUCT((B106:B110=R3)*(C105:N105=G2)*(C106:N110)),4)</f>
        <v>1.1838</v>
      </c>
      <c r="T3" s="3062">
        <f t="shared" si="0"/>
        <v>25604</v>
      </c>
      <c r="U3" s="1129">
        <f>面积!B7</f>
        <v>14301.15</v>
      </c>
      <c r="V3" s="3062">
        <f t="shared" ref="V3:V16" si="1">ROUND(T3*U3/10000,0)</f>
        <v>36617</v>
      </c>
      <c r="W3" s="1132"/>
      <c r="X3" s="1132"/>
      <c r="Y3" s="1132"/>
      <c r="Z3" s="1132"/>
      <c r="AA3" s="1132"/>
      <c r="AB3" s="1132"/>
      <c r="AC3" s="1133"/>
      <c r="AD3" s="1134"/>
      <c r="AE3" s="1134"/>
      <c r="AF3" s="1134"/>
      <c r="AG3" s="1134"/>
      <c r="AH3" s="1134"/>
      <c r="AI3" s="1134"/>
      <c r="AJ3" s="1135"/>
    </row>
    <row r="4" spans="1:36" ht="15.75">
      <c r="A4" s="3445"/>
      <c r="B4" s="3446"/>
      <c r="C4" s="3446"/>
      <c r="D4" s="3447"/>
      <c r="E4" s="3447"/>
      <c r="F4" s="3447"/>
      <c r="G4" s="3447"/>
      <c r="H4" s="3447"/>
      <c r="I4" s="3447"/>
      <c r="J4" s="3448"/>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21639</v>
      </c>
      <c r="U4" s="1129">
        <f>面积!B8</f>
        <v>5855.25</v>
      </c>
      <c r="V4" s="3062">
        <f t="shared" si="1"/>
        <v>12670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23468</v>
      </c>
      <c r="D5" s="1251">
        <f>ROUND(C6*C17+C20,0)</f>
        <v>22350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19085</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22350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18341</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f>G3</f>
        <v>5.08</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49" t="s">
        <v>1959</v>
      </c>
      <c r="X8" s="3450"/>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51"/>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5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52" t="s">
        <v>3245</v>
      </c>
      <c r="B20" s="158" t="s">
        <v>1993</v>
      </c>
      <c r="C20" s="3030">
        <f>ROUND(IF(F21="与级别开发程度一致",0,(G21-E21)/C21),0)</f>
        <v>0</v>
      </c>
      <c r="D20" s="3045" t="s">
        <v>1997</v>
      </c>
      <c r="E20" s="3046"/>
      <c r="F20" s="3454" t="s">
        <v>1994</v>
      </c>
      <c r="G20" s="3455"/>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53"/>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0.87009999999999998</v>
      </c>
      <c r="D24" s="1901" t="s">
        <v>2006</v>
      </c>
      <c r="E24" s="1247">
        <f>存贷款利率!E27/100</f>
        <v>4.3499999999999997E-2</v>
      </c>
      <c r="F24" s="1901" t="s">
        <v>1998</v>
      </c>
      <c r="G24" s="723">
        <f>SUMIF(M30:Q30,E2,M33:Q33)</f>
        <v>5.5E-2</v>
      </c>
      <c r="H24" s="1901" t="s">
        <v>2007</v>
      </c>
      <c r="I24" s="724">
        <f>SUMIF('数据-取费表'!C6:C15,E2,'数据-取费表'!F6:F15)/COUNTIF('数据-取费表'!C6:C15,E2)</f>
        <v>31.04</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3325</v>
      </c>
      <c r="C25" s="460">
        <f>IF(B25="容积率修正",IF(G3&lt;10,D26,J26),C27)</f>
        <v>0.89059999999999995</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f>IF(E26=G26,F26,IF(G3&lt;10,ROUND(F26+(H26-F26)*(G3-E26)/(G26-E26),4),"——"))</f>
        <v>0.89059999999999995</v>
      </c>
      <c r="E26" s="707">
        <f>ROUNDDOWN(G3,1)</f>
        <v>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07">
        <f>ROUNDUP(G3,1)</f>
        <v>5.0999999999999996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1911" t="s">
        <v>3248</v>
      </c>
      <c r="J26" s="373" t="str">
        <f>IF(G3&gt;=10,D115,"——")</f>
        <v>——</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1.0508999999999999</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127601</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f>ROUND(C5*C22*C23*C24*C25*C28,0)</f>
        <v>19262</v>
      </c>
      <c r="D33" s="1939">
        <f>SUM(面积!B9:B20)</f>
        <v>66245.090000000011</v>
      </c>
      <c r="E33" s="726">
        <f>ROUND(C33*D33/10000,0)</f>
        <v>127601</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f>ROUND(IF(E2="工业",C33*M42,IF(B25="楼层修正",SUM(V2:V16)*M41*10000/D34,C33*M41)),0)</f>
        <v>4816</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43"/>
      <c r="B37" s="1954" t="s">
        <v>2035</v>
      </c>
      <c r="C37" s="166">
        <f>ROUND(D5*C22*C23*C24*C28*F37,0)</f>
        <v>12359</v>
      </c>
      <c r="D37" s="1939"/>
      <c r="E37" s="162">
        <f>ROUND(C37*D37/10000,0)</f>
        <v>0</v>
      </c>
      <c r="F37" s="162">
        <f>SUMIF(修正!A57:A68,G2,修正!B57:B68)</f>
        <v>0.6</v>
      </c>
      <c r="G37" s="162">
        <f>ROUND(IF(E2="工业",C37*$M$42,C37*$M$41),0)</f>
        <v>3090</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44"/>
      <c r="B38" s="1883" t="s">
        <v>2036</v>
      </c>
      <c r="C38" s="166">
        <f>ROUND(D5*C22*C23*C24*C28*F38,0)</f>
        <v>6179</v>
      </c>
      <c r="D38" s="1939"/>
      <c r="E38" s="162">
        <f t="shared" ref="E38:E42" si="4">ROUND(C38*D38/10000,0)</f>
        <v>0</v>
      </c>
      <c r="F38" s="162">
        <f>SUMIF(修正!A57:A68,G2,修正!C57:C68)</f>
        <v>0.3</v>
      </c>
      <c r="G38" s="162">
        <f>ROUND(IF(E2="工业",C38*$M$42,C38*$M$41),0)</f>
        <v>1545</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44"/>
      <c r="B39" s="1883" t="s">
        <v>3249</v>
      </c>
      <c r="C39" s="166">
        <f>ROUND(D5*C22*C23*C24*C28*F39,0)</f>
        <v>5150</v>
      </c>
      <c r="D39" s="1939"/>
      <c r="E39" s="162">
        <f t="shared" si="4"/>
        <v>0</v>
      </c>
      <c r="F39" s="162">
        <f>SUMIF(修正!A57:A68,G2,修正!D57:D68)</f>
        <v>0.25</v>
      </c>
      <c r="G39" s="162">
        <f>ROUND(IF(E2="工业",C39*$M$42,C39*$M$41),0)</f>
        <v>1288</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5150</v>
      </c>
      <c r="D40" s="1939"/>
      <c r="E40" s="162">
        <f t="shared" si="4"/>
        <v>0</v>
      </c>
      <c r="F40" s="166">
        <f>SUMIF(修正!A57:A68,G2,修正!E57:E68)</f>
        <v>0.25</v>
      </c>
      <c r="G40" s="162">
        <f>ROUND(IF(E2="工业",C40*$M$42,C40*$M$41),0)</f>
        <v>1288</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7">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t="str">
        <f t="shared" ref="G51:G58" si="12">H51</f>
        <v>——</v>
      </c>
      <c r="H51" s="1002" t="str">
        <f t="shared" si="8"/>
        <v>——</v>
      </c>
      <c r="I51" s="3067">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c r="D52" s="1001">
        <f t="shared" si="7"/>
        <v>0</v>
      </c>
      <c r="E52" s="702"/>
      <c r="F52" s="1674"/>
      <c r="G52" s="999" t="str">
        <f t="shared" si="12"/>
        <v>——</v>
      </c>
      <c r="H52" s="1002" t="str">
        <f t="shared" si="8"/>
        <v>——</v>
      </c>
      <c r="I52" s="3067">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t="str">
        <f t="shared" si="12"/>
        <v>——</v>
      </c>
      <c r="H53" s="1002" t="str">
        <f t="shared" si="8"/>
        <v>——</v>
      </c>
      <c r="I53" s="3067">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t="str">
        <f t="shared" si="12"/>
        <v>——</v>
      </c>
      <c r="H54" s="1002" t="str">
        <f t="shared" si="8"/>
        <v>——</v>
      </c>
      <c r="I54" s="3067">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t="str">
        <f t="shared" si="12"/>
        <v>——</v>
      </c>
      <c r="H55" s="1002" t="str">
        <f t="shared" si="8"/>
        <v>——</v>
      </c>
      <c r="I55" s="3067">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t="str">
        <f t="shared" si="12"/>
        <v>——</v>
      </c>
      <c r="H56" s="1002" t="str">
        <f t="shared" si="8"/>
        <v>——</v>
      </c>
      <c r="I56" s="3067">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t="str">
        <f t="shared" si="12"/>
        <v>——</v>
      </c>
      <c r="H57" s="1002" t="str">
        <f t="shared" si="8"/>
        <v>——</v>
      </c>
      <c r="I57" s="3067">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t="str">
        <f t="shared" si="12"/>
        <v>——</v>
      </c>
      <c r="H58" s="1002" t="str">
        <f t="shared" si="8"/>
        <v>——</v>
      </c>
      <c r="I58" s="3068">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2061</v>
      </c>
      <c r="B59" s="1967">
        <f>1+E61</f>
        <v>1.0508999999999999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t="s">
        <v>3667</v>
      </c>
      <c r="D61" s="1001">
        <f t="shared" ref="D61:D69" si="13">SUMIF($J$60:$N$60,C61,J61:N61)</f>
        <v>1.2E-2</v>
      </c>
      <c r="E61" s="701">
        <f>ROUND(SUM(D61:D69),4)</f>
        <v>5.0900000000000001E-2</v>
      </c>
      <c r="F61" s="1674">
        <f>IF(E2="办公",SUMIF(L1:L12,G2,N1:N12),"——")</f>
        <v>9.6000000000000002E-2</v>
      </c>
      <c r="G61" s="999">
        <f>H61</f>
        <v>1.2E-2</v>
      </c>
      <c r="H61" s="1002">
        <f t="shared" ref="H61:H69" si="14">IFERROR(ROUNDDOWN($F$61*I61/2,4),"——")</f>
        <v>1.2E-2</v>
      </c>
      <c r="I61" s="3067">
        <v>0.25</v>
      </c>
      <c r="J61" s="1000">
        <f t="shared" ref="J61:J69" si="15">K61+$G61</f>
        <v>2.4E-2</v>
      </c>
      <c r="K61" s="1000">
        <f t="shared" ref="K61:K69" si="16">$L61+$G61</f>
        <v>1.2E-2</v>
      </c>
      <c r="L61" s="1000">
        <v>0</v>
      </c>
      <c r="M61" s="1000">
        <f t="shared" ref="M61:N69" si="17">L61-$G61</f>
        <v>-1.2E-2</v>
      </c>
      <c r="N61" s="1000">
        <f t="shared" si="17"/>
        <v>-2.4E-2</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t="s">
        <v>3667</v>
      </c>
      <c r="D62" s="1001">
        <f t="shared" si="13"/>
        <v>1.24E-2</v>
      </c>
      <c r="E62" s="702"/>
      <c r="F62" s="1674"/>
      <c r="G62" s="999">
        <f t="shared" ref="G62:G69" si="18">H62</f>
        <v>1.24E-2</v>
      </c>
      <c r="H62" s="1002">
        <f t="shared" si="14"/>
        <v>1.24E-2</v>
      </c>
      <c r="I62" s="3067">
        <v>0.26</v>
      </c>
      <c r="J62" s="1000">
        <f t="shared" si="15"/>
        <v>2.4799999999999999E-2</v>
      </c>
      <c r="K62" s="1000">
        <f t="shared" si="16"/>
        <v>1.24E-2</v>
      </c>
      <c r="L62" s="1000">
        <v>0</v>
      </c>
      <c r="M62" s="1000">
        <f t="shared" si="17"/>
        <v>-1.24E-2</v>
      </c>
      <c r="N62" s="1000">
        <f t="shared" si="17"/>
        <v>-2.4799999999999999E-2</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t="s">
        <v>3667</v>
      </c>
      <c r="D63" s="1001">
        <f t="shared" si="13"/>
        <v>5.1999999999999998E-3</v>
      </c>
      <c r="E63" s="702"/>
      <c r="F63" s="1674"/>
      <c r="G63" s="999">
        <f t="shared" si="18"/>
        <v>5.1999999999999998E-3</v>
      </c>
      <c r="H63" s="1002">
        <f t="shared" si="14"/>
        <v>5.1999999999999998E-3</v>
      </c>
      <c r="I63" s="3067">
        <v>0.11</v>
      </c>
      <c r="J63" s="1000">
        <f t="shared" si="15"/>
        <v>1.04E-2</v>
      </c>
      <c r="K63" s="1000">
        <f t="shared" si="16"/>
        <v>5.1999999999999998E-3</v>
      </c>
      <c r="L63" s="1000">
        <v>0</v>
      </c>
      <c r="M63" s="1000">
        <f t="shared" si="17"/>
        <v>-5.1999999999999998E-3</v>
      </c>
      <c r="N63" s="1000">
        <f t="shared" si="17"/>
        <v>-1.04E-2</v>
      </c>
      <c r="AA63" s="1056"/>
      <c r="AB63" s="1056"/>
      <c r="AC63" s="1056"/>
      <c r="AD63" s="1056"/>
      <c r="AE63" s="1056"/>
      <c r="AF63" s="1056"/>
      <c r="AG63" s="1056"/>
      <c r="AH63" s="1056"/>
      <c r="AI63" s="1056"/>
      <c r="AJ63" s="1056"/>
      <c r="AK63" s="1056"/>
    </row>
    <row r="64" spans="1:37" s="1055" customFormat="1" ht="36.75">
      <c r="A64" s="1969" t="s">
        <v>2053</v>
      </c>
      <c r="B64" s="1973" t="s">
        <v>2054</v>
      </c>
      <c r="C64" s="1886" t="s">
        <v>3667</v>
      </c>
      <c r="D64" s="1001">
        <f t="shared" si="13"/>
        <v>2.3999999999999998E-3</v>
      </c>
      <c r="E64" s="702"/>
      <c r="F64" s="1674"/>
      <c r="G64" s="999">
        <f t="shared" si="18"/>
        <v>2.3999999999999998E-3</v>
      </c>
      <c r="H64" s="1002">
        <f t="shared" si="14"/>
        <v>2.3999999999999998E-3</v>
      </c>
      <c r="I64" s="3067">
        <v>0.05</v>
      </c>
      <c r="J64" s="1000">
        <f t="shared" si="15"/>
        <v>4.7999999999999996E-3</v>
      </c>
      <c r="K64" s="1000">
        <f t="shared" si="16"/>
        <v>2.3999999999999998E-3</v>
      </c>
      <c r="L64" s="1000">
        <v>0</v>
      </c>
      <c r="M64" s="1000">
        <f t="shared" si="17"/>
        <v>-2.3999999999999998E-3</v>
      </c>
      <c r="N64" s="1000">
        <f t="shared" si="17"/>
        <v>-4.7999999999999996E-3</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t="s">
        <v>3667</v>
      </c>
      <c r="D65" s="1001">
        <f t="shared" si="13"/>
        <v>2.3999999999999998E-3</v>
      </c>
      <c r="E65" s="702"/>
      <c r="F65" s="1674"/>
      <c r="G65" s="999">
        <f t="shared" si="18"/>
        <v>2.3999999999999998E-3</v>
      </c>
      <c r="H65" s="1002">
        <f t="shared" si="14"/>
        <v>2.3999999999999998E-3</v>
      </c>
      <c r="I65" s="3067">
        <v>0.05</v>
      </c>
      <c r="J65" s="1000">
        <f t="shared" si="15"/>
        <v>4.7999999999999996E-3</v>
      </c>
      <c r="K65" s="1000">
        <f t="shared" si="16"/>
        <v>2.3999999999999998E-3</v>
      </c>
      <c r="L65" s="1000">
        <v>0</v>
      </c>
      <c r="M65" s="1000">
        <f t="shared" si="17"/>
        <v>-2.3999999999999998E-3</v>
      </c>
      <c r="N65" s="1000">
        <f t="shared" si="17"/>
        <v>-4.7999999999999996E-3</v>
      </c>
      <c r="AA65" s="1056"/>
      <c r="AB65" s="1056"/>
      <c r="AC65" s="1056"/>
      <c r="AD65" s="1056"/>
      <c r="AE65" s="1056"/>
      <c r="AF65" s="1056"/>
      <c r="AG65" s="1056"/>
      <c r="AH65" s="1056"/>
      <c r="AI65" s="1056"/>
      <c r="AJ65" s="1056"/>
      <c r="AK65" s="1056"/>
    </row>
    <row r="66" spans="1:37" s="1055" customFormat="1" ht="24">
      <c r="A66" s="1969" t="s">
        <v>2056</v>
      </c>
      <c r="B66" s="1974" t="s">
        <v>2057</v>
      </c>
      <c r="C66" s="1886" t="s">
        <v>3667</v>
      </c>
      <c r="D66" s="1001">
        <f t="shared" si="13"/>
        <v>2.8E-3</v>
      </c>
      <c r="E66" s="702"/>
      <c r="F66" s="1674"/>
      <c r="G66" s="999">
        <f t="shared" si="18"/>
        <v>2.8E-3</v>
      </c>
      <c r="H66" s="1002">
        <f t="shared" si="14"/>
        <v>2.8E-3</v>
      </c>
      <c r="I66" s="3067">
        <v>0.06</v>
      </c>
      <c r="J66" s="1000">
        <f t="shared" si="15"/>
        <v>5.5999999999999999E-3</v>
      </c>
      <c r="K66" s="1000">
        <f t="shared" si="16"/>
        <v>2.8E-3</v>
      </c>
      <c r="L66" s="1000">
        <v>0</v>
      </c>
      <c r="M66" s="1000">
        <f t="shared" si="17"/>
        <v>-2.8E-3</v>
      </c>
      <c r="N66" s="1000">
        <f t="shared" si="17"/>
        <v>-5.5999999999999999E-3</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t="s">
        <v>3667</v>
      </c>
      <c r="D67" s="1001">
        <f t="shared" si="13"/>
        <v>2.8E-3</v>
      </c>
      <c r="E67" s="702"/>
      <c r="F67" s="1674"/>
      <c r="G67" s="999">
        <f t="shared" si="18"/>
        <v>2.8E-3</v>
      </c>
      <c r="H67" s="1002">
        <f t="shared" si="14"/>
        <v>2.8E-3</v>
      </c>
      <c r="I67" s="3067">
        <v>0.06</v>
      </c>
      <c r="J67" s="1000">
        <f t="shared" si="15"/>
        <v>5.5999999999999999E-3</v>
      </c>
      <c r="K67" s="1000">
        <f t="shared" si="16"/>
        <v>2.8E-3</v>
      </c>
      <c r="L67" s="1000">
        <v>0</v>
      </c>
      <c r="M67" s="1000">
        <f t="shared" si="17"/>
        <v>-2.8E-3</v>
      </c>
      <c r="N67" s="1000">
        <f t="shared" si="17"/>
        <v>-5.5999999999999999E-3</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t="s">
        <v>3667</v>
      </c>
      <c r="D68" s="1001">
        <f t="shared" si="13"/>
        <v>4.3E-3</v>
      </c>
      <c r="E68" s="702"/>
      <c r="F68" s="1674"/>
      <c r="G68" s="999">
        <f t="shared" si="18"/>
        <v>4.3E-3</v>
      </c>
      <c r="H68" s="1002">
        <f t="shared" si="14"/>
        <v>4.3E-3</v>
      </c>
      <c r="I68" s="3067">
        <v>0.09</v>
      </c>
      <c r="J68" s="1000">
        <f t="shared" si="15"/>
        <v>8.6E-3</v>
      </c>
      <c r="K68" s="1000">
        <f t="shared" si="16"/>
        <v>4.3E-3</v>
      </c>
      <c r="L68" s="1000">
        <v>0</v>
      </c>
      <c r="M68" s="1000">
        <f t="shared" si="17"/>
        <v>-4.3E-3</v>
      </c>
      <c r="N68" s="1000">
        <f t="shared" si="17"/>
        <v>-8.6E-3</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t="s">
        <v>3668</v>
      </c>
      <c r="D69" s="1001">
        <f t="shared" si="13"/>
        <v>6.6E-3</v>
      </c>
      <c r="E69" s="703"/>
      <c r="F69" s="1674"/>
      <c r="G69" s="999">
        <f t="shared" si="18"/>
        <v>3.3E-3</v>
      </c>
      <c r="H69" s="1002">
        <f t="shared" si="14"/>
        <v>3.3E-3</v>
      </c>
      <c r="I69" s="3068">
        <v>7.0000000000000007E-2</v>
      </c>
      <c r="J69" s="1000">
        <f t="shared" si="15"/>
        <v>6.6E-3</v>
      </c>
      <c r="K69" s="1000">
        <f t="shared" si="16"/>
        <v>3.3E-3</v>
      </c>
      <c r="L69" s="1000">
        <v>0</v>
      </c>
      <c r="M69" s="1000">
        <f t="shared" si="17"/>
        <v>-3.3E-3</v>
      </c>
      <c r="N69" s="1000">
        <f t="shared" si="17"/>
        <v>-6.6E-3</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9">SUMIF($J$71:$N$71,C72,J72:N72)</f>
        <v>0</v>
      </c>
      <c r="E72" s="701">
        <f>ROUND(SUM(D72:D80),4)</f>
        <v>0</v>
      </c>
      <c r="F72" s="1674" t="str">
        <f>IF(E2="住宅",SUMIF(L1:L12,G2,N1:N12),"——")</f>
        <v>——</v>
      </c>
      <c r="G72" s="999"/>
      <c r="H72" s="1002" t="str">
        <f t="shared" ref="H72:H80" si="20">IFERROR(ROUNDDOWN($F$72*I72/2,4),"——")</f>
        <v>——</v>
      </c>
      <c r="I72" s="3067">
        <v>0.2</v>
      </c>
      <c r="J72" s="1000">
        <f t="shared" ref="J72:J80" si="21">K72+$G72</f>
        <v>0</v>
      </c>
      <c r="K72" s="1000">
        <f t="shared" ref="K72:K80" si="22">$L72+$G72</f>
        <v>0</v>
      </c>
      <c r="L72" s="1000">
        <v>0</v>
      </c>
      <c r="M72" s="1000">
        <f t="shared" ref="M72:N80" si="23">L72-$G72</f>
        <v>0</v>
      </c>
      <c r="N72" s="1000">
        <f t="shared" si="23"/>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9"/>
        <v>0</v>
      </c>
      <c r="E73" s="704"/>
      <c r="F73" s="1674"/>
      <c r="G73" s="999"/>
      <c r="H73" s="1002" t="str">
        <f t="shared" si="20"/>
        <v>——</v>
      </c>
      <c r="I73" s="3067">
        <v>0.26</v>
      </c>
      <c r="J73" s="1000">
        <f t="shared" si="21"/>
        <v>0</v>
      </c>
      <c r="K73" s="1000">
        <f t="shared" si="22"/>
        <v>0</v>
      </c>
      <c r="L73" s="1000">
        <v>0</v>
      </c>
      <c r="M73" s="1000">
        <f t="shared" si="23"/>
        <v>0</v>
      </c>
      <c r="N73" s="1000">
        <f t="shared" si="23"/>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9"/>
        <v>0</v>
      </c>
      <c r="E74" s="704"/>
      <c r="F74" s="1674"/>
      <c r="G74" s="999"/>
      <c r="H74" s="1002" t="str">
        <f t="shared" si="20"/>
        <v>——</v>
      </c>
      <c r="I74" s="3067">
        <v>0.1</v>
      </c>
      <c r="J74" s="1000">
        <f t="shared" si="21"/>
        <v>0</v>
      </c>
      <c r="K74" s="1000">
        <f t="shared" si="22"/>
        <v>0</v>
      </c>
      <c r="L74" s="1000">
        <v>0</v>
      </c>
      <c r="M74" s="1000">
        <f t="shared" si="23"/>
        <v>0</v>
      </c>
      <c r="N74" s="1000">
        <f t="shared" si="23"/>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9"/>
        <v>0</v>
      </c>
      <c r="E75" s="704"/>
      <c r="F75" s="1674"/>
      <c r="G75" s="999"/>
      <c r="H75" s="1002" t="str">
        <f t="shared" si="20"/>
        <v>——</v>
      </c>
      <c r="I75" s="3067">
        <v>0.05</v>
      </c>
      <c r="J75" s="1000">
        <f t="shared" si="21"/>
        <v>0</v>
      </c>
      <c r="K75" s="1000">
        <f t="shared" si="22"/>
        <v>0</v>
      </c>
      <c r="L75" s="1000">
        <v>0</v>
      </c>
      <c r="M75" s="1000">
        <f t="shared" si="23"/>
        <v>0</v>
      </c>
      <c r="N75" s="1000">
        <f t="shared" si="23"/>
        <v>0</v>
      </c>
      <c r="O75" s="1055"/>
      <c r="P75" s="1055"/>
      <c r="Q75" s="1843"/>
      <c r="Z75" s="1844"/>
      <c r="AA75" s="1894"/>
      <c r="AG75" s="1057"/>
      <c r="AK75" s="1894"/>
    </row>
    <row r="76" spans="1:37" ht="24">
      <c r="A76" s="1969" t="s">
        <v>2058</v>
      </c>
      <c r="B76" s="1239">
        <f>估价对象房地状况!C21</f>
        <v>0</v>
      </c>
      <c r="C76" s="1886"/>
      <c r="D76" s="1001">
        <f t="shared" si="19"/>
        <v>0</v>
      </c>
      <c r="E76" s="704"/>
      <c r="F76" s="1674"/>
      <c r="G76" s="999"/>
      <c r="H76" s="1002" t="str">
        <f t="shared" si="20"/>
        <v>——</v>
      </c>
      <c r="I76" s="3067">
        <v>0.08</v>
      </c>
      <c r="J76" s="1000">
        <f t="shared" si="21"/>
        <v>0</v>
      </c>
      <c r="K76" s="1000">
        <f t="shared" si="22"/>
        <v>0</v>
      </c>
      <c r="L76" s="1000">
        <v>0</v>
      </c>
      <c r="M76" s="1000">
        <f t="shared" si="23"/>
        <v>0</v>
      </c>
      <c r="N76" s="1000">
        <f t="shared" si="23"/>
        <v>0</v>
      </c>
      <c r="O76" s="1055"/>
      <c r="P76" s="1055"/>
      <c r="Z76" s="1844"/>
      <c r="AA76" s="1894"/>
      <c r="AG76" s="1057"/>
      <c r="AK76" s="1894"/>
    </row>
    <row r="77" spans="1:37" ht="24">
      <c r="A77" s="1969" t="s">
        <v>2059</v>
      </c>
      <c r="B77" s="1239">
        <f>估价对象房地状况!C22</f>
        <v>0</v>
      </c>
      <c r="C77" s="1886"/>
      <c r="D77" s="1001">
        <f t="shared" si="19"/>
        <v>0</v>
      </c>
      <c r="E77" s="704"/>
      <c r="F77" s="1674"/>
      <c r="G77" s="999"/>
      <c r="H77" s="1002" t="str">
        <f t="shared" si="20"/>
        <v>——</v>
      </c>
      <c r="I77" s="3067">
        <v>0.09</v>
      </c>
      <c r="J77" s="1000">
        <f t="shared" si="21"/>
        <v>0</v>
      </c>
      <c r="K77" s="1000">
        <f t="shared" si="22"/>
        <v>0</v>
      </c>
      <c r="L77" s="1000">
        <v>0</v>
      </c>
      <c r="M77" s="1000">
        <f t="shared" si="23"/>
        <v>0</v>
      </c>
      <c r="N77" s="1000">
        <f t="shared" si="23"/>
        <v>0</v>
      </c>
      <c r="O77" s="1055"/>
      <c r="P77" s="1055"/>
      <c r="Z77" s="1844"/>
      <c r="AA77" s="1894"/>
      <c r="AG77" s="1057"/>
      <c r="AK77" s="1894"/>
    </row>
    <row r="78" spans="1:37" ht="24">
      <c r="A78" s="1969" t="s">
        <v>2056</v>
      </c>
      <c r="B78" s="1974" t="s">
        <v>2057</v>
      </c>
      <c r="C78" s="1886"/>
      <c r="D78" s="1001">
        <f t="shared" si="19"/>
        <v>0</v>
      </c>
      <c r="E78" s="704"/>
      <c r="F78" s="1674"/>
      <c r="G78" s="999"/>
      <c r="H78" s="1002" t="str">
        <f t="shared" si="20"/>
        <v>——</v>
      </c>
      <c r="I78" s="3067">
        <v>0.05</v>
      </c>
      <c r="J78" s="1000">
        <f t="shared" si="21"/>
        <v>0</v>
      </c>
      <c r="K78" s="1000">
        <f t="shared" si="22"/>
        <v>0</v>
      </c>
      <c r="L78" s="1000">
        <v>0</v>
      </c>
      <c r="M78" s="1000">
        <f t="shared" si="23"/>
        <v>0</v>
      </c>
      <c r="N78" s="1000">
        <f t="shared" si="23"/>
        <v>0</v>
      </c>
      <c r="O78" s="1843"/>
      <c r="P78" s="1843"/>
      <c r="Z78" s="1844"/>
      <c r="AA78" s="1894"/>
      <c r="AG78" s="1057"/>
      <c r="AK78" s="1894"/>
    </row>
    <row r="79" spans="1:37" ht="24">
      <c r="A79" s="1969" t="s">
        <v>2060</v>
      </c>
      <c r="B79" s="1972">
        <f>估价对象房地状况!C20</f>
        <v>0</v>
      </c>
      <c r="C79" s="1886"/>
      <c r="D79" s="1001">
        <f t="shared" si="19"/>
        <v>0</v>
      </c>
      <c r="E79" s="704"/>
      <c r="F79" s="1674"/>
      <c r="G79" s="999"/>
      <c r="H79" s="1002" t="str">
        <f t="shared" si="20"/>
        <v>——</v>
      </c>
      <c r="I79" s="3067">
        <v>0.12</v>
      </c>
      <c r="J79" s="1000">
        <f t="shared" si="21"/>
        <v>0</v>
      </c>
      <c r="K79" s="1000">
        <f t="shared" si="22"/>
        <v>0</v>
      </c>
      <c r="L79" s="1000">
        <v>0</v>
      </c>
      <c r="M79" s="1000">
        <f t="shared" si="23"/>
        <v>0</v>
      </c>
      <c r="N79" s="1000">
        <f t="shared" si="23"/>
        <v>0</v>
      </c>
      <c r="Z79" s="1844"/>
      <c r="AA79" s="1894"/>
      <c r="AG79" s="1057"/>
      <c r="AK79" s="1894"/>
    </row>
    <row r="80" spans="1:37" ht="24.75" thickBot="1">
      <c r="A80" s="1976" t="s">
        <v>2067</v>
      </c>
      <c r="B80" s="1980"/>
      <c r="C80" s="1886"/>
      <c r="D80" s="1001">
        <f t="shared" si="19"/>
        <v>0</v>
      </c>
      <c r="E80" s="705"/>
      <c r="F80" s="1674"/>
      <c r="G80" s="999"/>
      <c r="H80" s="1002" t="str">
        <f t="shared" si="20"/>
        <v>——</v>
      </c>
      <c r="I80" s="3068">
        <v>0.05</v>
      </c>
      <c r="J80" s="1000">
        <f t="shared" si="21"/>
        <v>0</v>
      </c>
      <c r="K80" s="1000">
        <f t="shared" si="22"/>
        <v>0</v>
      </c>
      <c r="L80" s="1000">
        <v>0</v>
      </c>
      <c r="M80" s="1000">
        <f t="shared" si="23"/>
        <v>0</v>
      </c>
      <c r="N80" s="1000">
        <f t="shared" si="23"/>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4">SUMIF($J$82:$N$82,C83,J83:N83)</f>
        <v>0</v>
      </c>
      <c r="E83" s="701">
        <f>ROUND(SUM(D83:D90),4)</f>
        <v>0</v>
      </c>
      <c r="F83" s="1674" t="str">
        <f>IF(E2="工业",SUMIF(L1:L12,G2,N1:N12),"——")</f>
        <v>——</v>
      </c>
      <c r="G83" s="999"/>
      <c r="H83" s="1002" t="str">
        <f t="shared" ref="H83:H90" si="25">IFERROR(ROUNDDOWN($F$83*I83/2,4),"——")</f>
        <v>——</v>
      </c>
      <c r="I83" s="3067">
        <v>0.26</v>
      </c>
      <c r="J83" s="1000">
        <f t="shared" ref="J83:J90" si="26">K83+$G83</f>
        <v>0</v>
      </c>
      <c r="K83" s="1000">
        <f t="shared" ref="K83:K90" si="27">$L83+$G83</f>
        <v>0</v>
      </c>
      <c r="L83" s="1000">
        <v>0</v>
      </c>
      <c r="M83" s="1000">
        <f t="shared" ref="M83:N90" si="28">L83-$G83</f>
        <v>0</v>
      </c>
      <c r="N83" s="1000">
        <f t="shared" si="28"/>
        <v>0</v>
      </c>
      <c r="Z83" s="1844"/>
      <c r="AA83" s="1894"/>
      <c r="AG83" s="1057"/>
      <c r="AK83" s="1894"/>
    </row>
    <row r="84" spans="1:37" ht="14.25">
      <c r="A84" s="1969" t="s">
        <v>2052</v>
      </c>
      <c r="B84" s="1261">
        <f>估价对象房地状况!G16</f>
        <v>0</v>
      </c>
      <c r="C84" s="1886"/>
      <c r="D84" s="1001">
        <f t="shared" si="24"/>
        <v>0</v>
      </c>
      <c r="E84" s="704"/>
      <c r="F84" s="1674"/>
      <c r="G84" s="999"/>
      <c r="H84" s="1002" t="str">
        <f t="shared" si="25"/>
        <v>——</v>
      </c>
      <c r="I84" s="3067">
        <v>0.3</v>
      </c>
      <c r="J84" s="1000">
        <f t="shared" si="26"/>
        <v>0</v>
      </c>
      <c r="K84" s="1000">
        <f t="shared" si="27"/>
        <v>0</v>
      </c>
      <c r="L84" s="1000">
        <v>0</v>
      </c>
      <c r="M84" s="1000">
        <f t="shared" si="28"/>
        <v>0</v>
      </c>
      <c r="N84" s="1000">
        <f t="shared" si="28"/>
        <v>0</v>
      </c>
      <c r="Z84" s="1844"/>
      <c r="AA84" s="1894"/>
      <c r="AG84" s="1057"/>
      <c r="AK84" s="1894"/>
    </row>
    <row r="85" spans="1:37" ht="36">
      <c r="A85" s="3069" t="s">
        <v>3259</v>
      </c>
      <c r="B85" s="1261">
        <f>估价对象房地状况!G17</f>
        <v>0</v>
      </c>
      <c r="C85" s="1886"/>
      <c r="D85" s="1001">
        <f t="shared" si="24"/>
        <v>0</v>
      </c>
      <c r="E85" s="704"/>
      <c r="F85" s="1674"/>
      <c r="G85" s="999"/>
      <c r="H85" s="1002" t="str">
        <f t="shared" si="25"/>
        <v>——</v>
      </c>
      <c r="I85" s="3067">
        <v>0.1</v>
      </c>
      <c r="J85" s="1000">
        <f t="shared" si="26"/>
        <v>0</v>
      </c>
      <c r="K85" s="1000">
        <f t="shared" si="27"/>
        <v>0</v>
      </c>
      <c r="L85" s="1000">
        <v>0</v>
      </c>
      <c r="M85" s="1000">
        <f t="shared" si="28"/>
        <v>0</v>
      </c>
      <c r="N85" s="1000">
        <f t="shared" si="28"/>
        <v>0</v>
      </c>
      <c r="Z85" s="1844"/>
      <c r="AA85" s="1894"/>
      <c r="AG85" s="1057"/>
      <c r="AK85" s="1894"/>
    </row>
    <row r="86" spans="1:37" ht="14.25">
      <c r="A86" s="1969" t="s">
        <v>2066</v>
      </c>
      <c r="B86" s="1261">
        <f>估价对象房地状况!G22</f>
        <v>0</v>
      </c>
      <c r="C86" s="1886"/>
      <c r="D86" s="1001">
        <f t="shared" si="24"/>
        <v>0</v>
      </c>
      <c r="E86" s="704"/>
      <c r="F86" s="1674"/>
      <c r="G86" s="999"/>
      <c r="H86" s="1002" t="str">
        <f t="shared" si="25"/>
        <v>——</v>
      </c>
      <c r="I86" s="3067">
        <v>0.05</v>
      </c>
      <c r="J86" s="1000">
        <f t="shared" si="26"/>
        <v>0</v>
      </c>
      <c r="K86" s="1000">
        <f t="shared" si="27"/>
        <v>0</v>
      </c>
      <c r="L86" s="1000">
        <v>0</v>
      </c>
      <c r="M86" s="1000">
        <f t="shared" si="28"/>
        <v>0</v>
      </c>
      <c r="N86" s="1000">
        <f t="shared" si="28"/>
        <v>0</v>
      </c>
      <c r="Z86" s="1844"/>
      <c r="AA86" s="1894"/>
      <c r="AG86" s="1057"/>
      <c r="AK86" s="1894"/>
    </row>
    <row r="87" spans="1:37" ht="24">
      <c r="A87" s="1969" t="s">
        <v>2058</v>
      </c>
      <c r="B87" s="1239">
        <f>估价对象房地状况!G19</f>
        <v>0</v>
      </c>
      <c r="C87" s="1886"/>
      <c r="D87" s="1001">
        <f t="shared" si="24"/>
        <v>0</v>
      </c>
      <c r="E87" s="704"/>
      <c r="F87" s="1674"/>
      <c r="G87" s="999"/>
      <c r="H87" s="1002" t="str">
        <f t="shared" si="25"/>
        <v>——</v>
      </c>
      <c r="I87" s="3067">
        <v>0.06</v>
      </c>
      <c r="J87" s="1000">
        <f t="shared" si="26"/>
        <v>0</v>
      </c>
      <c r="K87" s="1000">
        <f t="shared" si="27"/>
        <v>0</v>
      </c>
      <c r="L87" s="1000">
        <v>0</v>
      </c>
      <c r="M87" s="1000">
        <f t="shared" si="28"/>
        <v>0</v>
      </c>
      <c r="N87" s="1000">
        <f t="shared" si="28"/>
        <v>0</v>
      </c>
    </row>
    <row r="88" spans="1:37" ht="24">
      <c r="A88" s="1969" t="s">
        <v>2059</v>
      </c>
      <c r="B88" s="1239">
        <f>估价对象房地状况!G20</f>
        <v>0</v>
      </c>
      <c r="C88" s="1886"/>
      <c r="D88" s="1001">
        <f t="shared" si="24"/>
        <v>0</v>
      </c>
      <c r="E88" s="704"/>
      <c r="F88" s="1674"/>
      <c r="G88" s="999"/>
      <c r="H88" s="1002" t="str">
        <f t="shared" si="25"/>
        <v>——</v>
      </c>
      <c r="I88" s="3067">
        <v>0.12</v>
      </c>
      <c r="J88" s="1000">
        <f t="shared" si="26"/>
        <v>0</v>
      </c>
      <c r="K88" s="1000">
        <f t="shared" si="27"/>
        <v>0</v>
      </c>
      <c r="L88" s="1000">
        <v>0</v>
      </c>
      <c r="M88" s="1000">
        <f t="shared" si="28"/>
        <v>0</v>
      </c>
      <c r="N88" s="1000">
        <f t="shared" si="28"/>
        <v>0</v>
      </c>
    </row>
    <row r="89" spans="1:37" ht="24">
      <c r="A89" s="1969" t="s">
        <v>2056</v>
      </c>
      <c r="B89" s="1974" t="s">
        <v>2070</v>
      </c>
      <c r="C89" s="1886"/>
      <c r="D89" s="1001">
        <f t="shared" si="24"/>
        <v>0</v>
      </c>
      <c r="E89" s="704"/>
      <c r="F89" s="1674"/>
      <c r="G89" s="999"/>
      <c r="H89" s="1002" t="str">
        <f t="shared" si="25"/>
        <v>——</v>
      </c>
      <c r="I89" s="3067">
        <v>0.06</v>
      </c>
      <c r="J89" s="1000">
        <f t="shared" si="26"/>
        <v>0</v>
      </c>
      <c r="K89" s="1000">
        <f t="shared" si="27"/>
        <v>0</v>
      </c>
      <c r="L89" s="1000">
        <v>0</v>
      </c>
      <c r="M89" s="1000">
        <f t="shared" si="28"/>
        <v>0</v>
      </c>
      <c r="N89" s="1000">
        <f t="shared" si="28"/>
        <v>0</v>
      </c>
    </row>
    <row r="90" spans="1:37" ht="15" thickBot="1">
      <c r="A90" s="1976" t="s">
        <v>2071</v>
      </c>
      <c r="B90" s="1981">
        <f>估价对象房地状况!G18</f>
        <v>0</v>
      </c>
      <c r="C90" s="1886"/>
      <c r="D90" s="1001">
        <f t="shared" si="24"/>
        <v>0</v>
      </c>
      <c r="E90" s="705"/>
      <c r="F90" s="1674"/>
      <c r="G90" s="999"/>
      <c r="H90" s="1002" t="str">
        <f t="shared" si="25"/>
        <v>——</v>
      </c>
      <c r="I90" s="3068">
        <v>0.05</v>
      </c>
      <c r="J90" s="1000">
        <f t="shared" si="26"/>
        <v>0</v>
      </c>
      <c r="K90" s="1000">
        <f t="shared" si="27"/>
        <v>0</v>
      </c>
      <c r="L90" s="1000">
        <v>0</v>
      </c>
      <c r="M90" s="1000">
        <f t="shared" si="28"/>
        <v>0</v>
      </c>
      <c r="N90" s="1000">
        <f t="shared" si="28"/>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2043</v>
      </c>
      <c r="B92" s="2309"/>
      <c r="C92" s="2309" t="s">
        <v>2045</v>
      </c>
      <c r="D92" s="2309" t="s">
        <v>2046</v>
      </c>
      <c r="E92" s="3051" t="s">
        <v>2047</v>
      </c>
      <c r="F92" s="3081" t="s">
        <v>3273</v>
      </c>
      <c r="G92" s="2309" t="s">
        <v>1988</v>
      </c>
      <c r="H92" s="3088" t="s">
        <v>3277</v>
      </c>
      <c r="I92" s="2309" t="s">
        <v>2050</v>
      </c>
      <c r="J92" s="2149" t="s">
        <v>1721</v>
      </c>
      <c r="K92" s="2149" t="s">
        <v>1722</v>
      </c>
      <c r="L92" s="2149" t="s">
        <v>1723</v>
      </c>
      <c r="M92" s="2149" t="s">
        <v>1724</v>
      </c>
      <c r="N92" s="2149" t="s">
        <v>1725</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9">K93+$G93</f>
        <v>0</v>
      </c>
      <c r="K93" s="1911">
        <f t="shared" ref="K93:K101" si="30">$L93+$G93</f>
        <v>0</v>
      </c>
      <c r="L93" s="1911">
        <v>0</v>
      </c>
      <c r="M93" s="1911">
        <f t="shared" ref="M93:N101" si="31">L93-$G93</f>
        <v>0</v>
      </c>
      <c r="N93" s="1911">
        <f t="shared" si="31"/>
        <v>0</v>
      </c>
    </row>
    <row r="94" spans="1:37" ht="14.25">
      <c r="A94" s="3079" t="s">
        <v>2052</v>
      </c>
      <c r="B94" s="3070">
        <f>估价对象房地状况!C18</f>
        <v>0</v>
      </c>
      <c r="C94" s="1886"/>
      <c r="D94" s="2309">
        <f t="shared" ref="D94:D101" si="32">SUMIF($J$60:$N$60,C94,J94:N94)</f>
        <v>0</v>
      </c>
      <c r="E94" s="3083"/>
      <c r="F94" s="1674"/>
      <c r="G94" s="3073"/>
      <c r="H94" s="3118" t="str">
        <f>IFERROR(ROUNDDOWN($F$93*I94/2,4),"——")</f>
        <v>——</v>
      </c>
      <c r="I94" s="3067">
        <v>0.26</v>
      </c>
      <c r="J94" s="1911">
        <f t="shared" si="29"/>
        <v>0</v>
      </c>
      <c r="K94" s="1911">
        <f t="shared" si="30"/>
        <v>0</v>
      </c>
      <c r="L94" s="1911">
        <v>0</v>
      </c>
      <c r="M94" s="1911">
        <f t="shared" si="31"/>
        <v>0</v>
      </c>
      <c r="N94" s="1911">
        <f t="shared" si="31"/>
        <v>0</v>
      </c>
    </row>
    <row r="95" spans="1:37" ht="36">
      <c r="A95" s="3069" t="s">
        <v>3259</v>
      </c>
      <c r="B95" s="3070">
        <f>估价对象房地状况!C19</f>
        <v>0</v>
      </c>
      <c r="C95" s="1886"/>
      <c r="D95" s="2309">
        <f t="shared" si="32"/>
        <v>0</v>
      </c>
      <c r="E95" s="3083"/>
      <c r="F95" s="1674"/>
      <c r="G95" s="3073"/>
      <c r="H95" s="3118" t="str">
        <f t="shared" ref="H95:H101" si="33">IFERROR(ROUNDDOWN($F$93*I95/2,4),"——")</f>
        <v>——</v>
      </c>
      <c r="I95" s="3067">
        <v>0.11</v>
      </c>
      <c r="J95" s="1911">
        <f t="shared" si="29"/>
        <v>0</v>
      </c>
      <c r="K95" s="1911">
        <f t="shared" si="30"/>
        <v>0</v>
      </c>
      <c r="L95" s="1911">
        <v>0</v>
      </c>
      <c r="M95" s="1911">
        <f t="shared" si="31"/>
        <v>0</v>
      </c>
      <c r="N95" s="1911">
        <f t="shared" si="31"/>
        <v>0</v>
      </c>
    </row>
    <row r="96" spans="1:37" ht="36.75">
      <c r="A96" s="3079" t="s">
        <v>2053</v>
      </c>
      <c r="B96" s="3085" t="s">
        <v>3275</v>
      </c>
      <c r="C96" s="1886"/>
      <c r="D96" s="2309">
        <f t="shared" si="32"/>
        <v>0</v>
      </c>
      <c r="E96" s="3083"/>
      <c r="F96" s="1674"/>
      <c r="G96" s="3073"/>
      <c r="H96" s="3118" t="str">
        <f t="shared" si="33"/>
        <v>——</v>
      </c>
      <c r="I96" s="3067">
        <v>0.05</v>
      </c>
      <c r="J96" s="1911">
        <f t="shared" si="29"/>
        <v>0</v>
      </c>
      <c r="K96" s="1911">
        <f t="shared" si="30"/>
        <v>0</v>
      </c>
      <c r="L96" s="1911">
        <v>0</v>
      </c>
      <c r="M96" s="1911">
        <f t="shared" si="31"/>
        <v>0</v>
      </c>
      <c r="N96" s="1911">
        <f t="shared" si="31"/>
        <v>0</v>
      </c>
    </row>
    <row r="97" spans="1:14" ht="24">
      <c r="A97" s="3079" t="s">
        <v>2055</v>
      </c>
      <c r="B97" s="3070">
        <f>估价对象房地状况!C24</f>
        <v>0</v>
      </c>
      <c r="C97" s="1886"/>
      <c r="D97" s="2309">
        <f t="shared" si="32"/>
        <v>0</v>
      </c>
      <c r="E97" s="3083"/>
      <c r="F97" s="1674"/>
      <c r="G97" s="3073"/>
      <c r="H97" s="3118" t="str">
        <f t="shared" si="33"/>
        <v>——</v>
      </c>
      <c r="I97" s="3067">
        <v>0.05</v>
      </c>
      <c r="J97" s="1911">
        <f t="shared" si="29"/>
        <v>0</v>
      </c>
      <c r="K97" s="1911">
        <f t="shared" si="30"/>
        <v>0</v>
      </c>
      <c r="L97" s="1911">
        <v>0</v>
      </c>
      <c r="M97" s="1911">
        <f t="shared" si="31"/>
        <v>0</v>
      </c>
      <c r="N97" s="1911">
        <f t="shared" si="31"/>
        <v>0</v>
      </c>
    </row>
    <row r="98" spans="1:14" ht="24">
      <c r="A98" s="3079" t="s">
        <v>2056</v>
      </c>
      <c r="B98" s="3086" t="s">
        <v>3276</v>
      </c>
      <c r="C98" s="1886"/>
      <c r="D98" s="2309">
        <f t="shared" si="32"/>
        <v>0</v>
      </c>
      <c r="E98" s="3083"/>
      <c r="F98" s="1674"/>
      <c r="G98" s="3073"/>
      <c r="H98" s="3118" t="str">
        <f t="shared" si="33"/>
        <v>——</v>
      </c>
      <c r="I98" s="3067">
        <v>0.06</v>
      </c>
      <c r="J98" s="1911">
        <f t="shared" si="29"/>
        <v>0</v>
      </c>
      <c r="K98" s="1911">
        <f t="shared" si="30"/>
        <v>0</v>
      </c>
      <c r="L98" s="1911">
        <v>0</v>
      </c>
      <c r="M98" s="1911">
        <f t="shared" si="31"/>
        <v>0</v>
      </c>
      <c r="N98" s="1911">
        <f t="shared" si="31"/>
        <v>0</v>
      </c>
    </row>
    <row r="99" spans="1:14" ht="24">
      <c r="A99" s="3079" t="s">
        <v>2058</v>
      </c>
      <c r="B99" s="3070">
        <f>估价对象房地状况!C21</f>
        <v>0</v>
      </c>
      <c r="C99" s="1886"/>
      <c r="D99" s="2309">
        <f t="shared" si="32"/>
        <v>0</v>
      </c>
      <c r="E99" s="3083"/>
      <c r="F99" s="1674"/>
      <c r="G99" s="3073"/>
      <c r="H99" s="3118" t="str">
        <f t="shared" si="33"/>
        <v>——</v>
      </c>
      <c r="I99" s="3067">
        <v>0.06</v>
      </c>
      <c r="J99" s="1911">
        <f t="shared" si="29"/>
        <v>0</v>
      </c>
      <c r="K99" s="1911">
        <f t="shared" si="30"/>
        <v>0</v>
      </c>
      <c r="L99" s="1911">
        <v>0</v>
      </c>
      <c r="M99" s="1911">
        <f t="shared" si="31"/>
        <v>0</v>
      </c>
      <c r="N99" s="1911">
        <f t="shared" si="31"/>
        <v>0</v>
      </c>
    </row>
    <row r="100" spans="1:14" ht="24">
      <c r="A100" s="3079" t="s">
        <v>2059</v>
      </c>
      <c r="B100" s="3070">
        <f>估价对象房地状况!C22</f>
        <v>0</v>
      </c>
      <c r="C100" s="1886"/>
      <c r="D100" s="2309">
        <f t="shared" si="32"/>
        <v>0</v>
      </c>
      <c r="E100" s="3083"/>
      <c r="F100" s="1674"/>
      <c r="G100" s="3073"/>
      <c r="H100" s="3118" t="str">
        <f t="shared" si="33"/>
        <v>——</v>
      </c>
      <c r="I100" s="3067">
        <v>0.09</v>
      </c>
      <c r="J100" s="1911">
        <f t="shared" si="29"/>
        <v>0</v>
      </c>
      <c r="K100" s="1911">
        <f t="shared" si="30"/>
        <v>0</v>
      </c>
      <c r="L100" s="1911">
        <v>0</v>
      </c>
      <c r="M100" s="1911">
        <f t="shared" si="31"/>
        <v>0</v>
      </c>
      <c r="N100" s="1911">
        <f t="shared" si="31"/>
        <v>0</v>
      </c>
    </row>
    <row r="101" spans="1:14" ht="24.75" thickBot="1">
      <c r="A101" s="3080" t="s">
        <v>2060</v>
      </c>
      <c r="B101" s="3087">
        <f>估价对象房地状况!C20</f>
        <v>0</v>
      </c>
      <c r="C101" s="1886"/>
      <c r="D101" s="2309">
        <f t="shared" si="32"/>
        <v>0</v>
      </c>
      <c r="E101" s="3084"/>
      <c r="F101" s="1674"/>
      <c r="G101" s="3073"/>
      <c r="H101" s="3118" t="str">
        <f t="shared" si="33"/>
        <v>——</v>
      </c>
      <c r="I101" s="3068">
        <v>7.0000000000000007E-2</v>
      </c>
      <c r="J101" s="1911">
        <f t="shared" si="29"/>
        <v>0</v>
      </c>
      <c r="K101" s="1911">
        <f t="shared" si="30"/>
        <v>0</v>
      </c>
      <c r="L101" s="1911">
        <v>0</v>
      </c>
      <c r="M101" s="1911">
        <f t="shared" si="31"/>
        <v>0</v>
      </c>
      <c r="N101" s="1911">
        <f t="shared" si="31"/>
        <v>0</v>
      </c>
    </row>
    <row r="103" spans="1:14">
      <c r="A103" s="3456" t="s">
        <v>3284</v>
      </c>
      <c r="B103" s="3456"/>
      <c r="C103" s="3456"/>
      <c r="D103" s="3456"/>
      <c r="E103" s="3456"/>
      <c r="F103" s="3456"/>
      <c r="G103" s="3456"/>
      <c r="H103" s="3456"/>
      <c r="I103" s="3456"/>
      <c r="J103" s="3456"/>
      <c r="K103" s="1666"/>
      <c r="L103" s="1666"/>
      <c r="M103" s="1666"/>
      <c r="N103" s="1666"/>
    </row>
    <row r="104" spans="1:14">
      <c r="A104" s="3457" t="s">
        <v>3285</v>
      </c>
      <c r="B104" s="3457" t="s">
        <v>3286</v>
      </c>
      <c r="C104" s="3089" t="s">
        <v>3287</v>
      </c>
      <c r="D104" s="3090"/>
      <c r="E104" s="3090"/>
      <c r="F104" s="3090"/>
      <c r="G104" s="3090"/>
      <c r="H104" s="3090"/>
      <c r="I104" s="3090"/>
      <c r="J104" s="3091"/>
      <c r="K104" s="3092"/>
      <c r="L104" s="3092"/>
      <c r="M104" s="3092"/>
      <c r="N104" s="3092"/>
    </row>
    <row r="105" spans="1:14">
      <c r="A105" s="3457"/>
      <c r="B105" s="3457"/>
      <c r="C105" s="3093" t="s">
        <v>1960</v>
      </c>
      <c r="D105" s="3093" t="s">
        <v>1961</v>
      </c>
      <c r="E105" s="3093" t="s">
        <v>1962</v>
      </c>
      <c r="F105" s="3093" t="s">
        <v>1963</v>
      </c>
      <c r="G105" s="3093" t="s">
        <v>1964</v>
      </c>
      <c r="H105" s="3093" t="s">
        <v>1965</v>
      </c>
      <c r="I105" s="3093" t="s">
        <v>1966</v>
      </c>
      <c r="J105" s="3093" t="s">
        <v>1967</v>
      </c>
      <c r="K105" s="3093" t="s">
        <v>1968</v>
      </c>
      <c r="L105" s="3093" t="s">
        <v>1969</v>
      </c>
      <c r="M105" s="3093" t="s">
        <v>1970</v>
      </c>
      <c r="N105" s="3093" t="s">
        <v>1971</v>
      </c>
    </row>
    <row r="106" spans="1:14">
      <c r="A106" s="3458"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9"/>
      <c r="B111" s="3093" t="s">
        <v>3258</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60"/>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61" t="s">
        <v>3301</v>
      </c>
      <c r="B113" s="3461"/>
      <c r="C113" s="3461"/>
      <c r="D113" s="3461"/>
      <c r="E113" s="3461"/>
      <c r="F113" s="3461"/>
      <c r="G113" s="3461"/>
      <c r="H113" s="3461"/>
      <c r="I113" s="3461"/>
      <c r="J113" s="346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f>G3</f>
        <v>5.08</v>
      </c>
      <c r="C116" s="3098" t="s">
        <v>3303</v>
      </c>
      <c r="D116" s="3099">
        <f>SUMPRODUCT((A118:A122=F116)*(B117:M117=H116)*B118:M122)</f>
        <v>0.86939999999999995</v>
      </c>
      <c r="E116" s="161" t="s">
        <v>1935</v>
      </c>
      <c r="F116" s="3100" t="str">
        <f>E2</f>
        <v>办公</v>
      </c>
      <c r="G116" s="161" t="s">
        <v>1936</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1989</v>
      </c>
      <c r="B118" s="3088">
        <f>ROUND(0.9968-0.011*B116,4)</f>
        <v>0.94089999999999996</v>
      </c>
      <c r="C118" s="3088">
        <f>B118</f>
        <v>0.94089999999999996</v>
      </c>
      <c r="D118" s="3088">
        <f>ROUND(0.949-0.014*B116,4)</f>
        <v>0.87790000000000001</v>
      </c>
      <c r="E118" s="3088">
        <f>D118</f>
        <v>0.87790000000000001</v>
      </c>
      <c r="F118" s="3088">
        <f>E118</f>
        <v>0.87790000000000001</v>
      </c>
      <c r="G118" s="3088">
        <f>F118</f>
        <v>0.87790000000000001</v>
      </c>
      <c r="H118" s="3088">
        <f>G118</f>
        <v>0.87790000000000001</v>
      </c>
      <c r="I118" s="3088">
        <f>ROUND(0.8486-0.018*B116,4)</f>
        <v>0.75719999999999998</v>
      </c>
      <c r="J118" s="3088">
        <f t="shared" ref="J118:M122" si="37">I118</f>
        <v>0.75719999999999998</v>
      </c>
      <c r="K118" s="3088">
        <f t="shared" si="37"/>
        <v>0.75719999999999998</v>
      </c>
      <c r="L118" s="3088">
        <f t="shared" si="37"/>
        <v>0.75719999999999998</v>
      </c>
      <c r="M118" s="3108">
        <f t="shared" si="37"/>
        <v>0.75719999999999998</v>
      </c>
      <c r="N118" s="3096"/>
    </row>
    <row r="119" spans="1:14">
      <c r="A119" s="3056" t="s">
        <v>1990</v>
      </c>
      <c r="B119" s="3088">
        <f>ROUND(0.993-0.0112*B116,4)</f>
        <v>0.93610000000000004</v>
      </c>
      <c r="C119" s="3088">
        <f>B119</f>
        <v>0.93610000000000004</v>
      </c>
      <c r="D119" s="3088">
        <f>ROUND(0.9415-0.0142*B116,4)</f>
        <v>0.86939999999999995</v>
      </c>
      <c r="E119" s="3088">
        <f t="shared" ref="E119:H120" si="38">D119</f>
        <v>0.86939999999999995</v>
      </c>
      <c r="F119" s="3088">
        <f t="shared" si="38"/>
        <v>0.86939999999999995</v>
      </c>
      <c r="G119" s="3088">
        <f t="shared" si="38"/>
        <v>0.86939999999999995</v>
      </c>
      <c r="H119" s="3088">
        <f t="shared" si="38"/>
        <v>0.86939999999999995</v>
      </c>
      <c r="I119" s="3088">
        <f>ROUND(0.838-0.0182*B116,4)</f>
        <v>0.74550000000000005</v>
      </c>
      <c r="J119" s="3088">
        <f t="shared" si="37"/>
        <v>0.74550000000000005</v>
      </c>
      <c r="K119" s="3088">
        <f t="shared" si="37"/>
        <v>0.74550000000000005</v>
      </c>
      <c r="L119" s="3088">
        <f t="shared" si="37"/>
        <v>0.74550000000000005</v>
      </c>
      <c r="M119" s="3108">
        <f t="shared" si="37"/>
        <v>0.74550000000000005</v>
      </c>
      <c r="N119" s="3096"/>
    </row>
    <row r="120" spans="1:14">
      <c r="A120" s="3056" t="s">
        <v>1991</v>
      </c>
      <c r="B120" s="3088">
        <f>ROUND(0.9448-0.0115*B116,4)</f>
        <v>0.88639999999999997</v>
      </c>
      <c r="C120" s="3088">
        <f>B120</f>
        <v>0.88639999999999997</v>
      </c>
      <c r="D120" s="3088">
        <f>ROUND(0.937-0.0145*B116,4)</f>
        <v>0.86329999999999996</v>
      </c>
      <c r="E120" s="3088">
        <f t="shared" si="38"/>
        <v>0.86329999999999996</v>
      </c>
      <c r="F120" s="3088">
        <f t="shared" si="38"/>
        <v>0.86329999999999996</v>
      </c>
      <c r="G120" s="3088">
        <f t="shared" si="38"/>
        <v>0.86329999999999996</v>
      </c>
      <c r="H120" s="3088">
        <f t="shared" si="38"/>
        <v>0.86329999999999996</v>
      </c>
      <c r="I120" s="3088">
        <f>ROUND(0.7965-0.0185*B116,4)</f>
        <v>0.70250000000000001</v>
      </c>
      <c r="J120" s="3088">
        <f t="shared" si="37"/>
        <v>0.70250000000000001</v>
      </c>
      <c r="K120" s="3088">
        <f t="shared" si="37"/>
        <v>0.70250000000000001</v>
      </c>
      <c r="L120" s="3088">
        <f t="shared" si="37"/>
        <v>0.70250000000000001</v>
      </c>
      <c r="M120" s="3108">
        <f t="shared" si="37"/>
        <v>0.70250000000000001</v>
      </c>
      <c r="N120" s="3096"/>
    </row>
    <row r="121" spans="1:14" ht="13.5" thickBot="1">
      <c r="A121" s="3109" t="s">
        <v>1992</v>
      </c>
      <c r="B121" s="3110">
        <f>ROUND(0.7836-0.012*B116,4)</f>
        <v>0.72260000000000002</v>
      </c>
      <c r="C121" s="3110">
        <f>B121</f>
        <v>0.72260000000000002</v>
      </c>
      <c r="D121" s="3110">
        <f>ROUND(0.753-0.015*B116,4)</f>
        <v>0.67679999999999996</v>
      </c>
      <c r="E121" s="3110">
        <f>D121</f>
        <v>0.67679999999999996</v>
      </c>
      <c r="F121" s="3110">
        <f>E121</f>
        <v>0.67679999999999996</v>
      </c>
      <c r="G121" s="3110">
        <f>ROUND(0.6612-0.018*B116,4)</f>
        <v>0.56979999999999997</v>
      </c>
      <c r="H121" s="3110">
        <f>G121</f>
        <v>0.56979999999999997</v>
      </c>
      <c r="I121" s="3110">
        <f>ROUND(0.5905-0.019*B116,4)</f>
        <v>0.49399999999999999</v>
      </c>
      <c r="J121" s="3110">
        <f t="shared" si="37"/>
        <v>0.49399999999999999</v>
      </c>
      <c r="K121" s="3110">
        <f t="shared" si="37"/>
        <v>0.49399999999999999</v>
      </c>
      <c r="L121" s="3110">
        <f t="shared" si="37"/>
        <v>0.49399999999999999</v>
      </c>
      <c r="M121" s="3111">
        <f t="shared" si="37"/>
        <v>0.49399999999999999</v>
      </c>
      <c r="N121" s="3096"/>
    </row>
    <row r="122" spans="1:14">
      <c r="A122" s="3112" t="s">
        <v>2603</v>
      </c>
      <c r="B122" s="3088">
        <f>ROUND(0.9404-0.0106*B116,4)</f>
        <v>0.88660000000000005</v>
      </c>
      <c r="C122" s="3088">
        <f>B122</f>
        <v>0.88660000000000005</v>
      </c>
      <c r="D122" s="3088">
        <f>ROUND(0.8955-0.0135*B116,4)</f>
        <v>0.82689999999999997</v>
      </c>
      <c r="E122" s="3088">
        <f t="shared" ref="E122:H122" si="39">D122</f>
        <v>0.82689999999999997</v>
      </c>
      <c r="F122" s="3088">
        <f t="shared" si="39"/>
        <v>0.82689999999999997</v>
      </c>
      <c r="G122" s="3088">
        <f t="shared" si="39"/>
        <v>0.82689999999999997</v>
      </c>
      <c r="H122" s="3088">
        <f t="shared" si="39"/>
        <v>0.82689999999999997</v>
      </c>
      <c r="I122" s="3088">
        <f>ROUND(0.7632-0.0166*B116,4)</f>
        <v>0.67889999999999995</v>
      </c>
      <c r="J122" s="3088">
        <f t="shared" si="37"/>
        <v>0.67889999999999995</v>
      </c>
      <c r="K122" s="3088">
        <f t="shared" si="37"/>
        <v>0.67889999999999995</v>
      </c>
      <c r="L122" s="3088">
        <f t="shared" si="37"/>
        <v>0.67889999999999995</v>
      </c>
      <c r="M122" s="3108">
        <f t="shared" si="37"/>
        <v>0.67889999999999995</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xr:uid="{921BD43A-5012-4666-B9E7-D6BD61F5C954}">
      <formula1>"不用分区数据,中心城区,中心城区以外"</formula1>
    </dataValidation>
    <dataValidation type="list" allowBlank="1" showInputMessage="1" showErrorMessage="1" sqref="H20:O20" xr:uid="{8E113363-CE79-42C3-91F1-CC6B694082D6}">
      <formula1>七通一平</formula1>
    </dataValidation>
    <dataValidation type="list" allowBlank="1" showInputMessage="1" showErrorMessage="1" sqref="H23" xr:uid="{37057321-EDFD-4255-BDFC-84212743EB43}">
      <formula1>"地价指数,季度增幅（自定义）,按公示增长率计算"</formula1>
    </dataValidation>
    <dataValidation type="list" allowBlank="1" showInputMessage="1" showErrorMessage="1" sqref="C61:C69 C72:C80 C50:C58 C83:C91 C93:C101" xr:uid="{05B1FD8E-2F9C-47A2-A7F0-7CFEB580B8EE}">
      <formula1>五等判定</formula1>
    </dataValidation>
    <dataValidation type="list" allowBlank="1" showInputMessage="1" showErrorMessage="1" sqref="E3" xr:uid="{48DADB71-745B-4A87-A1D7-1299388558E0}">
      <formula1>二级分类</formula1>
    </dataValidation>
    <dataValidation type="list" allowBlank="1" showInputMessage="1" showErrorMessage="1" sqref="C8" xr:uid="{DEC5A765-29DD-4284-9A7F-EDBD415FD650}">
      <formula1>商业街名称</formula1>
    </dataValidation>
    <dataValidation type="list" allowBlank="1" showInputMessage="1" showErrorMessage="1" sqref="F3" xr:uid="{9371CB3E-779C-4811-AE15-C23D9A5B02E9}">
      <formula1>"宗地容积率,估价对象容积率,自定义容积率"</formula1>
    </dataValidation>
    <dataValidation type="list" allowBlank="1" showInputMessage="1" showErrorMessage="1" sqref="E2" xr:uid="{CD9D8896-B7B8-4674-A1C1-A9129594CDE4}">
      <formula1>"商业,办公,住宅,工业,公共服务"</formula1>
    </dataValidation>
    <dataValidation type="list" allowBlank="1" showInputMessage="1" showErrorMessage="1" sqref="F21" xr:uid="{7F18E012-5D01-4E01-8DC3-E6F3C85C9557}">
      <formula1>"与级别开发程度一致,与级别开发程度不一致"</formula1>
    </dataValidation>
    <dataValidation type="list" allowBlank="1" showInputMessage="1" showErrorMessage="1" sqref="B25" xr:uid="{CAD8A50A-C79C-42D1-8863-FC2A94AEB09D}">
      <formula1>"容积率修正,楼层修正"</formula1>
    </dataValidation>
    <dataValidation type="list" allowBlank="1" showInputMessage="1" showErrorMessage="1" sqref="C15:D15" xr:uid="{DB6C6DC2-9503-4110-A3A4-2B23C42A6CA1}">
      <formula1>"有,无"</formula1>
    </dataValidation>
    <dataValidation type="list" allowBlank="1" showInputMessage="1" showErrorMessage="1" sqref="E15" xr:uid="{3BB0BB4C-7323-4122-9630-73CD2DF00497}">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L1" zoomScaleNormal="80" zoomScaleSheetLayoutView="100" workbookViewId="0">
      <selection activeCell="W6" sqref="W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f>C30</f>
        <v>78514</v>
      </c>
      <c r="C2" s="1845" t="s">
        <v>1934</v>
      </c>
      <c r="D2" s="161" t="s">
        <v>1935</v>
      </c>
      <c r="E2" s="311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Ⅲ—25</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28345</v>
      </c>
      <c r="U2" s="1129">
        <f>面积!B6</f>
        <v>12527.07</v>
      </c>
      <c r="V2" s="3062">
        <f>ROUND(T2*U2/10000,0)</f>
        <v>35508</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f>IF(F3="宗地容积率",'数据-汇总表'!I4,IF(F3="估价对象容积率",'数据-汇总表'!I6,'数据-汇总表'!I7))</f>
        <v>5.08</v>
      </c>
      <c r="H3" s="161" t="s">
        <v>1942</v>
      </c>
      <c r="I3" s="728"/>
      <c r="J3" s="1841" t="s">
        <v>1943</v>
      </c>
      <c r="K3" s="1055"/>
      <c r="L3" s="1846" t="s">
        <v>1944</v>
      </c>
      <c r="M3" s="810">
        <f>SUMPRODUCT((区片价!B30:B54=I2)*(区片价!C3:G3=E2)*(区片价!C30:G54))</f>
        <v>22460</v>
      </c>
      <c r="N3" s="812">
        <f>SUMPRODUCT((因素修正幅度!B30:B54=I2)*(因素修正幅度!C3:G3=E2)*(因素修正幅度!C30:G54))</f>
        <v>9.6000000000000002E-2</v>
      </c>
      <c r="O3" s="1055"/>
      <c r="P3" s="1055"/>
      <c r="Q3" s="1055"/>
      <c r="R3" s="1128">
        <v>2</v>
      </c>
      <c r="S3" s="3062">
        <f>ROUND(SUMPRODUCT((B106:B110=R3)*(C105:N105=G2)*(C106:N110)),4)</f>
        <v>1.1838</v>
      </c>
      <c r="T3" s="3062">
        <f t="shared" si="0"/>
        <v>22341</v>
      </c>
      <c r="U3" s="1129">
        <f>面积!B7</f>
        <v>14301.15</v>
      </c>
      <c r="V3" s="3062">
        <f t="shared" ref="V3:V16" si="1">ROUND(T3*U3/10000,0)</f>
        <v>31950</v>
      </c>
      <c r="W3" s="1132"/>
      <c r="X3" s="1132"/>
      <c r="Y3" s="1132"/>
      <c r="Z3" s="1132"/>
      <c r="AA3" s="1132"/>
      <c r="AB3" s="1132"/>
      <c r="AC3" s="1133"/>
      <c r="AD3" s="1134"/>
      <c r="AE3" s="1134"/>
      <c r="AF3" s="1134"/>
      <c r="AG3" s="1134"/>
      <c r="AH3" s="1134"/>
      <c r="AI3" s="1134"/>
      <c r="AJ3" s="1135"/>
    </row>
    <row r="4" spans="1:36" ht="15.75">
      <c r="A4" s="3445"/>
      <c r="B4" s="3446"/>
      <c r="C4" s="3446"/>
      <c r="D4" s="3447"/>
      <c r="E4" s="3447"/>
      <c r="F4" s="3447"/>
      <c r="G4" s="3447"/>
      <c r="H4" s="3447"/>
      <c r="I4" s="3447"/>
      <c r="J4" s="3448"/>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18882</v>
      </c>
      <c r="U4" s="1129">
        <f>面积!B8</f>
        <v>5855.25</v>
      </c>
      <c r="V4" s="3062">
        <f t="shared" si="1"/>
        <v>11056</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22460</v>
      </c>
      <c r="D5" s="1251">
        <f>ROUND(C6*C17+C20,0)</f>
        <v>22460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16653</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22460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16004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f>G3</f>
        <v>5.08</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49" t="s">
        <v>1959</v>
      </c>
      <c r="X8" s="3450"/>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51"/>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5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52" t="s">
        <v>3245</v>
      </c>
      <c r="B20" s="158" t="s">
        <v>1993</v>
      </c>
      <c r="C20" s="3030">
        <f>ROUND(IF(F21="与级别开发程度一致",0,(G21-E21)/C21),0)</f>
        <v>0</v>
      </c>
      <c r="D20" s="3045" t="s">
        <v>1997</v>
      </c>
      <c r="E20" s="3046"/>
      <c r="F20" s="3454" t="s">
        <v>1994</v>
      </c>
      <c r="G20" s="3455"/>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53"/>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0.76580000000000004</v>
      </c>
      <c r="D24" s="1901" t="s">
        <v>2006</v>
      </c>
      <c r="E24" s="1247">
        <f>存贷款利率!E27/100</f>
        <v>4.3499999999999997E-2</v>
      </c>
      <c r="F24" s="1901" t="s">
        <v>1998</v>
      </c>
      <c r="G24" s="723">
        <f>SUMIF(M30:Q30,E2,M33:Q33)</f>
        <v>5.5E-2</v>
      </c>
      <c r="H24" s="1901" t="s">
        <v>2007</v>
      </c>
      <c r="I24" s="724">
        <f>SUMIF('数据-取费表'!C6:C15,E2,'数据-取费表'!F6:F15)/COUNTIF('数据-取费表'!C6:C15,E2)</f>
        <v>21.04</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3690</v>
      </c>
      <c r="C25" s="460">
        <f>IF(B25="容积率修正",IF(G3&lt;10,D26,J26),C27)</f>
        <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f>IF(E26=G26,F26,IF(G3&lt;10,ROUND(F26+(H26-F26)*(G3-E26)/(G26-E26),4),"——"))</f>
        <v>0.90649999999999997</v>
      </c>
      <c r="E26" s="707">
        <f>ROUNDDOWN(G3,1)</f>
        <v>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07">
        <f>ROUNDUP(G3,1)</f>
        <v>5.0999999999999996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1911" t="s">
        <v>3248</v>
      </c>
      <c r="J26" s="373" t="str">
        <f>IF(G3&gt;=10,D115,"——")</f>
        <v>——</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1.0502</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78514</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f>ROUND(C5*C22*C23*C24*C25*C28,0)</f>
        <v>0</v>
      </c>
      <c r="D33" s="1939"/>
      <c r="E33" s="726">
        <f>ROUND(C33*D33/10000,0)</f>
        <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43"/>
      <c r="B37" s="1954" t="s">
        <v>2035</v>
      </c>
      <c r="C37" s="166">
        <f>ROUND(D5*C22*C23*C24*C28*F37,0)</f>
        <v>11324</v>
      </c>
      <c r="D37" s="1939"/>
      <c r="E37" s="162">
        <f>ROUND(C37*D37/10000,0)</f>
        <v>0</v>
      </c>
      <c r="F37" s="162">
        <f>SUMIF(修正!A57:A68,G2,修正!B57:B68)</f>
        <v>0.6</v>
      </c>
      <c r="G37" s="162">
        <f>ROUND(IF(E2="工业",C37*$M$42,C37*$M$41),0)</f>
        <v>2831</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44"/>
      <c r="B38" s="1883" t="s">
        <v>2036</v>
      </c>
      <c r="C38" s="166">
        <f>ROUND(D5*C22*C23*C24*C28*F38,0)</f>
        <v>5662</v>
      </c>
      <c r="D38" s="1939"/>
      <c r="E38" s="162">
        <f t="shared" ref="E38:E42" si="4">ROUND(C38*D38/10000,0)</f>
        <v>0</v>
      </c>
      <c r="F38" s="162">
        <f>SUMIF(修正!A57:A68,G2,修正!C57:C68)</f>
        <v>0.3</v>
      </c>
      <c r="G38" s="162">
        <f>ROUND(IF(E2="工业",C38*$M$42,C38*$M$41),0)</f>
        <v>1416</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44"/>
      <c r="B39" s="1883" t="s">
        <v>3249</v>
      </c>
      <c r="C39" s="166">
        <f>ROUND(D5*C22*C23*C24*C28*F39,0)</f>
        <v>4718</v>
      </c>
      <c r="D39" s="1939"/>
      <c r="E39" s="162">
        <f t="shared" si="4"/>
        <v>0</v>
      </c>
      <c r="F39" s="162">
        <f>SUMIF(修正!A57:A68,G2,修正!D57:D68)</f>
        <v>0.25</v>
      </c>
      <c r="G39" s="162">
        <f>ROUND(IF(E2="工业",C39*$M$42,C39*$M$41),0)</f>
        <v>1180</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4718</v>
      </c>
      <c r="D40" s="1939"/>
      <c r="E40" s="162">
        <f t="shared" si="4"/>
        <v>0</v>
      </c>
      <c r="F40" s="166">
        <f>SUMIF(修正!A57:A68,G2,修正!E57:E68)</f>
        <v>0.25</v>
      </c>
      <c r="G40" s="162">
        <f>ROUND(IF(E2="工业",C40*$M$42,C40*$M$41),0)</f>
        <v>1180</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1.0502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t="s">
        <v>3667</v>
      </c>
      <c r="D50" s="1001">
        <f t="shared" ref="D50:D58" si="7">SUMIF($J$49:$N$49,C50,J50:N50)</f>
        <v>1.44E-2</v>
      </c>
      <c r="E50" s="701">
        <f>ROUND(SUM(D50:D58),4)</f>
        <v>5.0200000000000002E-2</v>
      </c>
      <c r="F50" s="1674">
        <f>IF(E2="商业",SUMIF(L1:L12,G2,N1:N12),"——")</f>
        <v>9.6000000000000002E-2</v>
      </c>
      <c r="G50" s="999">
        <f>H50</f>
        <v>1.44E-2</v>
      </c>
      <c r="H50" s="1002">
        <f t="shared" ref="H50:H58" si="8">IFERROR(ROUNDDOWN($F$50*I50/2,4),"——")</f>
        <v>1.44E-2</v>
      </c>
      <c r="I50" s="3067">
        <v>0.3</v>
      </c>
      <c r="J50" s="1000">
        <f t="shared" ref="J50:J58" si="9">K50+$G50</f>
        <v>2.8799999999999999E-2</v>
      </c>
      <c r="K50" s="1000">
        <f t="shared" ref="K50:K58" si="10">$L50+$G50</f>
        <v>1.44E-2</v>
      </c>
      <c r="L50" s="1000">
        <v>0</v>
      </c>
      <c r="M50" s="1000">
        <f t="shared" ref="M50:N58" si="11">L50-$G50</f>
        <v>-1.44E-2</v>
      </c>
      <c r="N50" s="1000">
        <f t="shared" si="11"/>
        <v>-2.8799999999999999E-2</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t="s">
        <v>3667</v>
      </c>
      <c r="D51" s="1001">
        <f t="shared" si="7"/>
        <v>1.0500000000000001E-2</v>
      </c>
      <c r="E51" s="702"/>
      <c r="F51" s="1674"/>
      <c r="G51" s="999">
        <f t="shared" ref="G51:G58" si="12">H51</f>
        <v>1.0500000000000001E-2</v>
      </c>
      <c r="H51" s="1002">
        <f t="shared" si="8"/>
        <v>1.0500000000000001E-2</v>
      </c>
      <c r="I51" s="3067">
        <v>0.22</v>
      </c>
      <c r="J51" s="1000">
        <f t="shared" si="9"/>
        <v>2.1000000000000001E-2</v>
      </c>
      <c r="K51" s="1000">
        <f t="shared" si="10"/>
        <v>1.0500000000000001E-2</v>
      </c>
      <c r="L51" s="1000">
        <v>0</v>
      </c>
      <c r="M51" s="1000">
        <f t="shared" si="11"/>
        <v>-1.0500000000000001E-2</v>
      </c>
      <c r="N51" s="1000">
        <f t="shared" si="11"/>
        <v>-2.1000000000000001E-2</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t="s">
        <v>3667</v>
      </c>
      <c r="D52" s="1001">
        <f t="shared" si="7"/>
        <v>5.7000000000000002E-3</v>
      </c>
      <c r="E52" s="702"/>
      <c r="F52" s="1674"/>
      <c r="G52" s="999">
        <f t="shared" si="12"/>
        <v>5.7000000000000002E-3</v>
      </c>
      <c r="H52" s="1002">
        <f t="shared" si="8"/>
        <v>5.7000000000000002E-3</v>
      </c>
      <c r="I52" s="3067">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9" t="s">
        <v>2053</v>
      </c>
      <c r="B53" s="1973" t="s">
        <v>2054</v>
      </c>
      <c r="C53" s="1886" t="s">
        <v>3667</v>
      </c>
      <c r="D53" s="1001">
        <f t="shared" si="7"/>
        <v>2.3999999999999998E-3</v>
      </c>
      <c r="E53" s="702"/>
      <c r="F53" s="1674"/>
      <c r="G53" s="999">
        <f t="shared" si="12"/>
        <v>2.3999999999999998E-3</v>
      </c>
      <c r="H53" s="1002">
        <f t="shared" si="8"/>
        <v>2.3999999999999998E-3</v>
      </c>
      <c r="I53" s="3067">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3667</v>
      </c>
      <c r="D54" s="1001">
        <f t="shared" si="7"/>
        <v>3.8E-3</v>
      </c>
      <c r="E54" s="702"/>
      <c r="F54" s="1674"/>
      <c r="G54" s="999">
        <f t="shared" si="12"/>
        <v>3.8E-3</v>
      </c>
      <c r="H54" s="1002">
        <f t="shared" si="8"/>
        <v>3.8E-3</v>
      </c>
      <c r="I54" s="3067">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9" t="s">
        <v>2056</v>
      </c>
      <c r="B55" s="1974" t="s">
        <v>2057</v>
      </c>
      <c r="C55" s="1886" t="s">
        <v>3667</v>
      </c>
      <c r="D55" s="1001">
        <f t="shared" si="7"/>
        <v>2.3999999999999998E-3</v>
      </c>
      <c r="E55" s="702"/>
      <c r="F55" s="1674"/>
      <c r="G55" s="999">
        <f t="shared" si="12"/>
        <v>2.3999999999999998E-3</v>
      </c>
      <c r="H55" s="1002">
        <f t="shared" si="8"/>
        <v>2.3999999999999998E-3</v>
      </c>
      <c r="I55" s="3067">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t="s">
        <v>3667</v>
      </c>
      <c r="D56" s="1001">
        <f t="shared" si="7"/>
        <v>2.3999999999999998E-3</v>
      </c>
      <c r="E56" s="702"/>
      <c r="F56" s="1674"/>
      <c r="G56" s="999">
        <f t="shared" si="12"/>
        <v>2.3999999999999998E-3</v>
      </c>
      <c r="H56" s="1002">
        <f t="shared" si="8"/>
        <v>2.3999999999999998E-3</v>
      </c>
      <c r="I56" s="3067">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t="s">
        <v>3667</v>
      </c>
      <c r="D57" s="1001">
        <f t="shared" si="7"/>
        <v>3.8E-3</v>
      </c>
      <c r="E57" s="702"/>
      <c r="F57" s="1674"/>
      <c r="G57" s="999">
        <f t="shared" si="12"/>
        <v>3.8E-3</v>
      </c>
      <c r="H57" s="1002">
        <f t="shared" si="8"/>
        <v>3.8E-3</v>
      </c>
      <c r="I57" s="3067">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t="s">
        <v>3668</v>
      </c>
      <c r="D58" s="1001">
        <f t="shared" si="7"/>
        <v>4.7999999999999996E-3</v>
      </c>
      <c r="E58" s="703"/>
      <c r="F58" s="1674"/>
      <c r="G58" s="999">
        <f t="shared" si="12"/>
        <v>2.3999999999999998E-3</v>
      </c>
      <c r="H58" s="1002">
        <f t="shared" si="8"/>
        <v>2.3999999999999998E-3</v>
      </c>
      <c r="I58" s="3068">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7">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3"/>
        <v>0</v>
      </c>
      <c r="E62" s="702"/>
      <c r="F62" s="1674"/>
      <c r="G62" s="999"/>
      <c r="H62" s="1002" t="str">
        <f t="shared" si="14"/>
        <v>——</v>
      </c>
      <c r="I62" s="3067">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c r="D63" s="1001">
        <f t="shared" si="13"/>
        <v>0</v>
      </c>
      <c r="E63" s="702"/>
      <c r="F63" s="1674"/>
      <c r="G63" s="999"/>
      <c r="H63" s="1002" t="str">
        <f t="shared" si="14"/>
        <v>——</v>
      </c>
      <c r="I63" s="3067">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3"/>
        <v>0</v>
      </c>
      <c r="E64" s="702"/>
      <c r="F64" s="1674"/>
      <c r="G64" s="999"/>
      <c r="H64" s="1002" t="str">
        <f t="shared" si="14"/>
        <v>——</v>
      </c>
      <c r="I64" s="3067">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3"/>
        <v>0</v>
      </c>
      <c r="E65" s="702"/>
      <c r="F65" s="1674"/>
      <c r="G65" s="999"/>
      <c r="H65" s="1002" t="str">
        <f t="shared" si="14"/>
        <v>——</v>
      </c>
      <c r="I65" s="3067">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3"/>
        <v>0</v>
      </c>
      <c r="E66" s="702"/>
      <c r="F66" s="1674"/>
      <c r="G66" s="999"/>
      <c r="H66" s="1002" t="str">
        <f t="shared" si="14"/>
        <v>——</v>
      </c>
      <c r="I66" s="3067">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3"/>
        <v>0</v>
      </c>
      <c r="E67" s="702"/>
      <c r="F67" s="1674"/>
      <c r="G67" s="999"/>
      <c r="H67" s="1002" t="str">
        <f t="shared" si="14"/>
        <v>——</v>
      </c>
      <c r="I67" s="3067">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3"/>
        <v>0</v>
      </c>
      <c r="E68" s="702"/>
      <c r="F68" s="1674"/>
      <c r="G68" s="999"/>
      <c r="H68" s="1002" t="str">
        <f t="shared" si="14"/>
        <v>——</v>
      </c>
      <c r="I68" s="3067">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3"/>
        <v>0</v>
      </c>
      <c r="E69" s="703"/>
      <c r="F69" s="1674"/>
      <c r="G69" s="999"/>
      <c r="H69" s="1002" t="str">
        <f t="shared" si="14"/>
        <v>——</v>
      </c>
      <c r="I69" s="3068">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2058</v>
      </c>
      <c r="B76" s="1239">
        <f>估价对象房地状况!C21</f>
        <v>0</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2059</v>
      </c>
      <c r="B77" s="1239">
        <f>估价对象房地状况!C22</f>
        <v>0</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2056</v>
      </c>
      <c r="B78" s="1974" t="s">
        <v>2057</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2060</v>
      </c>
      <c r="B79" s="1972">
        <f>估价对象房地状况!C20</f>
        <v>0</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2067</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2052</v>
      </c>
      <c r="B84" s="1261">
        <f>估价对象房地状况!G16</f>
        <v>0</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3260</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2066</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4">
      <c r="A87" s="1969" t="s">
        <v>2058</v>
      </c>
      <c r="B87" s="1239">
        <f>估价对象房地状况!G19</f>
        <v>0</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4">
      <c r="A88" s="1969" t="s">
        <v>2059</v>
      </c>
      <c r="B88" s="1239">
        <f>估价对象房地状况!G20</f>
        <v>0</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2056</v>
      </c>
      <c r="B89" s="1974" t="s">
        <v>2070</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15" thickBot="1">
      <c r="A90" s="1976" t="s">
        <v>2071</v>
      </c>
      <c r="B90" s="1981">
        <f>估价对象房地状况!G18</f>
        <v>0</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3261</v>
      </c>
      <c r="B92" s="2309"/>
      <c r="C92" s="2309" t="s">
        <v>3270</v>
      </c>
      <c r="D92" s="2309" t="s">
        <v>3271</v>
      </c>
      <c r="E92" s="3051" t="s">
        <v>3272</v>
      </c>
      <c r="F92" s="3081" t="s">
        <v>3273</v>
      </c>
      <c r="G92" s="2309" t="s">
        <v>3274</v>
      </c>
      <c r="H92" s="3088" t="s">
        <v>3277</v>
      </c>
      <c r="I92" s="2309" t="s">
        <v>3278</v>
      </c>
      <c r="J92" s="2149" t="s">
        <v>3279</v>
      </c>
      <c r="K92" s="2149" t="s">
        <v>3280</v>
      </c>
      <c r="L92" s="2149" t="s">
        <v>3281</v>
      </c>
      <c r="M92" s="2149" t="s">
        <v>3282</v>
      </c>
      <c r="N92" s="2149" t="s">
        <v>3283</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14.25">
      <c r="A94" s="3079" t="s">
        <v>3263</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3259</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3264</v>
      </c>
      <c r="B96" s="3085" t="s">
        <v>3275</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3265</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3266</v>
      </c>
      <c r="B98" s="3086" t="s">
        <v>3276</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4">
      <c r="A99" s="3079" t="s">
        <v>3267</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4">
      <c r="A100" s="3079" t="s">
        <v>3268</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4.75" thickBot="1">
      <c r="A101" s="3080" t="s">
        <v>3269</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456" t="s">
        <v>3284</v>
      </c>
      <c r="B103" s="3456"/>
      <c r="C103" s="3456"/>
      <c r="D103" s="3456"/>
      <c r="E103" s="3456"/>
      <c r="F103" s="3456"/>
      <c r="G103" s="3456"/>
      <c r="H103" s="3456"/>
      <c r="I103" s="3456"/>
      <c r="J103" s="3456"/>
      <c r="K103" s="1666"/>
      <c r="L103" s="1666"/>
      <c r="M103" s="1666"/>
      <c r="N103" s="1666"/>
    </row>
    <row r="104" spans="1:14">
      <c r="A104" s="3457" t="s">
        <v>3285</v>
      </c>
      <c r="B104" s="3457" t="s">
        <v>3286</v>
      </c>
      <c r="C104" s="3089" t="s">
        <v>3287</v>
      </c>
      <c r="D104" s="3090"/>
      <c r="E104" s="3090"/>
      <c r="F104" s="3090"/>
      <c r="G104" s="3090"/>
      <c r="H104" s="3090"/>
      <c r="I104" s="3090"/>
      <c r="J104" s="3091"/>
      <c r="K104" s="3092"/>
      <c r="L104" s="3092"/>
      <c r="M104" s="3092"/>
      <c r="N104" s="3092"/>
    </row>
    <row r="105" spans="1:14">
      <c r="A105" s="3457"/>
      <c r="B105" s="3457"/>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58"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9"/>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60"/>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61" t="s">
        <v>3301</v>
      </c>
      <c r="B113" s="3461"/>
      <c r="C113" s="3461"/>
      <c r="D113" s="3461"/>
      <c r="E113" s="3461"/>
      <c r="F113" s="3461"/>
      <c r="G113" s="3461"/>
      <c r="H113" s="3461"/>
      <c r="I113" s="3461"/>
      <c r="J113" s="346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f>G3</f>
        <v>5.08</v>
      </c>
      <c r="C116" s="3098" t="s">
        <v>3303</v>
      </c>
      <c r="D116" s="3099">
        <f>SUMPRODUCT((A118:A122=F116)*(B117:M117=H116)*B118:M122)</f>
        <v>0.87790000000000001</v>
      </c>
      <c r="E116" s="161" t="s">
        <v>3304</v>
      </c>
      <c r="F116" s="3100" t="str">
        <f>E2</f>
        <v>商业</v>
      </c>
      <c r="G116" s="161" t="s">
        <v>3305</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f>ROUND(0.9968-0.011*B116,4)</f>
        <v>0.94089999999999996</v>
      </c>
      <c r="C118" s="3088">
        <f>B118</f>
        <v>0.94089999999999996</v>
      </c>
      <c r="D118" s="3088">
        <f>ROUND(0.949-0.014*B116,4)</f>
        <v>0.87790000000000001</v>
      </c>
      <c r="E118" s="3088">
        <f>D118</f>
        <v>0.87790000000000001</v>
      </c>
      <c r="F118" s="3088">
        <f>E118</f>
        <v>0.87790000000000001</v>
      </c>
      <c r="G118" s="3088">
        <f>F118</f>
        <v>0.87790000000000001</v>
      </c>
      <c r="H118" s="3088">
        <f>G118</f>
        <v>0.87790000000000001</v>
      </c>
      <c r="I118" s="3088">
        <f>ROUND(0.8486-0.018*B116,4)</f>
        <v>0.75719999999999998</v>
      </c>
      <c r="J118" s="3088">
        <f t="shared" ref="J118:M122" si="36">I118</f>
        <v>0.75719999999999998</v>
      </c>
      <c r="K118" s="3088">
        <f t="shared" si="36"/>
        <v>0.75719999999999998</v>
      </c>
      <c r="L118" s="3088">
        <f t="shared" si="36"/>
        <v>0.75719999999999998</v>
      </c>
      <c r="M118" s="3108">
        <f t="shared" si="36"/>
        <v>0.75719999999999998</v>
      </c>
      <c r="N118" s="3096"/>
    </row>
    <row r="119" spans="1:14">
      <c r="A119" s="3056" t="s">
        <v>3319</v>
      </c>
      <c r="B119" s="3088">
        <f>ROUND(0.993-0.0112*B116,4)</f>
        <v>0.93610000000000004</v>
      </c>
      <c r="C119" s="3088">
        <f>B119</f>
        <v>0.93610000000000004</v>
      </c>
      <c r="D119" s="3088">
        <f>ROUND(0.9415-0.0142*B116,4)</f>
        <v>0.86939999999999995</v>
      </c>
      <c r="E119" s="3088">
        <f t="shared" ref="E119:H120" si="37">D119</f>
        <v>0.86939999999999995</v>
      </c>
      <c r="F119" s="3088">
        <f t="shared" si="37"/>
        <v>0.86939999999999995</v>
      </c>
      <c r="G119" s="3088">
        <f t="shared" si="37"/>
        <v>0.86939999999999995</v>
      </c>
      <c r="H119" s="3088">
        <f t="shared" si="37"/>
        <v>0.86939999999999995</v>
      </c>
      <c r="I119" s="3088">
        <f>ROUND(0.838-0.0182*B116,4)</f>
        <v>0.74550000000000005</v>
      </c>
      <c r="J119" s="3088">
        <f t="shared" si="36"/>
        <v>0.74550000000000005</v>
      </c>
      <c r="K119" s="3088">
        <f t="shared" si="36"/>
        <v>0.74550000000000005</v>
      </c>
      <c r="L119" s="3088">
        <f t="shared" si="36"/>
        <v>0.74550000000000005</v>
      </c>
      <c r="M119" s="3108">
        <f t="shared" si="36"/>
        <v>0.74550000000000005</v>
      </c>
      <c r="N119" s="3096"/>
    </row>
    <row r="120" spans="1:14">
      <c r="A120" s="3056" t="s">
        <v>3320</v>
      </c>
      <c r="B120" s="3088">
        <f>ROUND(0.9448-0.0115*B116,4)</f>
        <v>0.88639999999999997</v>
      </c>
      <c r="C120" s="3088">
        <f>B120</f>
        <v>0.88639999999999997</v>
      </c>
      <c r="D120" s="3088">
        <f>ROUND(0.937-0.0145*B116,4)</f>
        <v>0.86329999999999996</v>
      </c>
      <c r="E120" s="3088">
        <f t="shared" si="37"/>
        <v>0.86329999999999996</v>
      </c>
      <c r="F120" s="3088">
        <f t="shared" si="37"/>
        <v>0.86329999999999996</v>
      </c>
      <c r="G120" s="3088">
        <f t="shared" si="37"/>
        <v>0.86329999999999996</v>
      </c>
      <c r="H120" s="3088">
        <f t="shared" si="37"/>
        <v>0.86329999999999996</v>
      </c>
      <c r="I120" s="3088">
        <f>ROUND(0.7965-0.0185*B116,4)</f>
        <v>0.70250000000000001</v>
      </c>
      <c r="J120" s="3088">
        <f t="shared" si="36"/>
        <v>0.70250000000000001</v>
      </c>
      <c r="K120" s="3088">
        <f t="shared" si="36"/>
        <v>0.70250000000000001</v>
      </c>
      <c r="L120" s="3088">
        <f t="shared" si="36"/>
        <v>0.70250000000000001</v>
      </c>
      <c r="M120" s="3108">
        <f t="shared" si="36"/>
        <v>0.70250000000000001</v>
      </c>
      <c r="N120" s="3096"/>
    </row>
    <row r="121" spans="1:14" ht="13.5" thickBot="1">
      <c r="A121" s="3109" t="s">
        <v>3321</v>
      </c>
      <c r="B121" s="3110">
        <f>ROUND(0.7836-0.012*B116,4)</f>
        <v>0.72260000000000002</v>
      </c>
      <c r="C121" s="3110">
        <f>B121</f>
        <v>0.72260000000000002</v>
      </c>
      <c r="D121" s="3110">
        <f>ROUND(0.753-0.015*B116,4)</f>
        <v>0.67679999999999996</v>
      </c>
      <c r="E121" s="3110">
        <f>D121</f>
        <v>0.67679999999999996</v>
      </c>
      <c r="F121" s="3110">
        <f>E121</f>
        <v>0.67679999999999996</v>
      </c>
      <c r="G121" s="3110">
        <f>ROUND(0.6612-0.018*B116,4)</f>
        <v>0.56979999999999997</v>
      </c>
      <c r="H121" s="3110">
        <f>G121</f>
        <v>0.56979999999999997</v>
      </c>
      <c r="I121" s="3110">
        <f>ROUND(0.5905-0.019*B116,4)</f>
        <v>0.49399999999999999</v>
      </c>
      <c r="J121" s="3110">
        <f t="shared" si="36"/>
        <v>0.49399999999999999</v>
      </c>
      <c r="K121" s="3110">
        <f t="shared" si="36"/>
        <v>0.49399999999999999</v>
      </c>
      <c r="L121" s="3110">
        <f t="shared" si="36"/>
        <v>0.49399999999999999</v>
      </c>
      <c r="M121" s="3111">
        <f t="shared" si="36"/>
        <v>0.49399999999999999</v>
      </c>
      <c r="N121" s="3096"/>
    </row>
    <row r="122" spans="1:14">
      <c r="A122" s="3112" t="s">
        <v>2603</v>
      </c>
      <c r="B122" s="3088">
        <f>ROUND(0.9404-0.0106*B116,4)</f>
        <v>0.88660000000000005</v>
      </c>
      <c r="C122" s="3088">
        <f>B122</f>
        <v>0.88660000000000005</v>
      </c>
      <c r="D122" s="3088">
        <f>ROUND(0.8955-0.0135*B116,4)</f>
        <v>0.82689999999999997</v>
      </c>
      <c r="E122" s="3088">
        <f t="shared" ref="E122:H122" si="38">D122</f>
        <v>0.82689999999999997</v>
      </c>
      <c r="F122" s="3088">
        <f t="shared" si="38"/>
        <v>0.82689999999999997</v>
      </c>
      <c r="G122" s="3088">
        <f t="shared" si="38"/>
        <v>0.82689999999999997</v>
      </c>
      <c r="H122" s="3088">
        <f t="shared" si="38"/>
        <v>0.82689999999999997</v>
      </c>
      <c r="I122" s="3088">
        <f>ROUND(0.7632-0.0166*B116,4)</f>
        <v>0.67889999999999995</v>
      </c>
      <c r="J122" s="3088">
        <f t="shared" si="36"/>
        <v>0.67889999999999995</v>
      </c>
      <c r="K122" s="3088">
        <f t="shared" si="36"/>
        <v>0.67889999999999995</v>
      </c>
      <c r="L122" s="3088">
        <f t="shared" si="36"/>
        <v>0.67889999999999995</v>
      </c>
      <c r="M122" s="3108">
        <f t="shared" si="36"/>
        <v>0.67889999999999995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3"/>
      <c r="G1" s="2543"/>
      <c r="H1" s="2543"/>
      <c r="I1" s="2543"/>
      <c r="J1" s="2543"/>
      <c r="K1" s="2543"/>
      <c r="L1" s="2543"/>
      <c r="M1" s="2543"/>
      <c r="N1" s="2543"/>
      <c r="O1" s="2543"/>
      <c r="P1" s="2543"/>
    </row>
    <row r="2" spans="1:16" ht="15.75">
      <c r="A2" s="1983" t="s">
        <v>2072</v>
      </c>
      <c r="B2" s="2387">
        <f ca="1">SUMIF(B6:B13,"&lt;&gt;#ref!",B6:B13)</f>
        <v>206115</v>
      </c>
      <c r="C2" s="1983" t="s">
        <v>2073</v>
      </c>
      <c r="D2" s="1983" t="s">
        <v>2074</v>
      </c>
      <c r="E2" s="2397">
        <f ca="1">SUMIF(E6:E13,"&lt;&gt;#ref!",E6:E13)</f>
        <v>66245.090000000011</v>
      </c>
      <c r="F2" s="2543"/>
      <c r="G2" s="2543"/>
      <c r="H2" s="2543"/>
      <c r="I2" s="2543"/>
      <c r="J2" s="2543"/>
      <c r="K2" s="2543"/>
      <c r="L2" s="2543"/>
      <c r="M2" s="2543"/>
      <c r="N2" s="2543"/>
      <c r="O2" s="2543"/>
      <c r="P2" s="2543"/>
    </row>
    <row r="3" spans="1:16" ht="15.75">
      <c r="A3" s="1983" t="s">
        <v>2075</v>
      </c>
      <c r="B3" s="2387">
        <f ca="1">ROUND(B2*10000/E2,0)</f>
        <v>31114</v>
      </c>
      <c r="C3" s="1983"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2076</v>
      </c>
      <c r="B5" s="2395" t="s">
        <v>2077</v>
      </c>
      <c r="C5" s="1984"/>
      <c r="D5" s="2543"/>
      <c r="E5" s="2396" t="s">
        <v>2078</v>
      </c>
      <c r="F5" s="2543"/>
      <c r="G5" s="2543"/>
      <c r="H5" s="2543"/>
      <c r="I5" s="2543"/>
      <c r="J5" s="2543"/>
      <c r="K5" s="2543"/>
      <c r="L5" s="2543"/>
      <c r="M5" s="2543"/>
      <c r="N5" s="2543"/>
      <c r="O5" s="2543"/>
      <c r="P5" s="2543"/>
    </row>
    <row r="6" spans="1:16" ht="15.75">
      <c r="A6" s="2394" t="s">
        <v>3692</v>
      </c>
      <c r="B6" s="2387">
        <f ca="1">SUMIF(INDIRECT("'"&amp;A6&amp;"'"&amp;"!A:A"),"总价",INDIRECT("'"&amp;A6&amp;"'"&amp;"!B:B"))</f>
        <v>78514</v>
      </c>
      <c r="C6" s="1983" t="s">
        <v>2073</v>
      </c>
      <c r="D6" s="2543"/>
      <c r="E6" s="2397">
        <f ca="1">SUMIF(INDIRECT("'"&amp;A6&amp;"'"&amp;"!C:C"),"建筑面积",INDIRECT("'"&amp;A6&amp;"'"&amp;"!D:D"))</f>
        <v>0</v>
      </c>
      <c r="F6" s="2543"/>
      <c r="G6" s="2543"/>
      <c r="H6" s="2543"/>
      <c r="I6" s="2543"/>
      <c r="J6" s="2543"/>
      <c r="K6" s="2543"/>
      <c r="L6" s="2543"/>
      <c r="M6" s="2543"/>
      <c r="N6" s="2543"/>
      <c r="O6" s="2543"/>
      <c r="P6" s="2543"/>
    </row>
    <row r="7" spans="1:16" ht="15.75">
      <c r="A7" s="2394" t="s">
        <v>3693</v>
      </c>
      <c r="B7" s="2387">
        <f ca="1">SUMIF(INDIRECT("'"&amp;A7&amp;"'"&amp;"!A:A"),"总价",INDIRECT("'"&amp;A7&amp;"'"&amp;"!B:B"))</f>
        <v>127601</v>
      </c>
      <c r="C7" s="1983" t="s">
        <v>2073</v>
      </c>
      <c r="D7" s="2543"/>
      <c r="E7" s="2397">
        <f t="shared" ref="E7:E13" ca="1" si="0">SUMIF(INDIRECT("'"&amp;A7&amp;"'"&amp;"!C:C"),"建筑面积",INDIRECT("'"&amp;A7&amp;"'"&amp;"!D:D"))</f>
        <v>66245.090000000011</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2073</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2073</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2073</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2073</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2073</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83" zoomScaleNormal="70" zoomScaleSheetLayoutView="83" workbookViewId="0">
      <selection activeCell="K44" sqref="K44"/>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21.04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65652</v>
      </c>
      <c r="C2" s="1288" t="s">
        <v>805</v>
      </c>
      <c r="D2" s="1288"/>
      <c r="E2" s="1294"/>
      <c r="F2" s="1295"/>
      <c r="G2" s="2477"/>
      <c r="H2" s="2467"/>
      <c r="I2" s="2467"/>
      <c r="J2" s="2467"/>
      <c r="K2" s="2468"/>
      <c r="L2" s="2467"/>
      <c r="M2" s="2467"/>
    </row>
    <row r="3" spans="1:37" ht="18" customHeight="1" thickBot="1">
      <c r="A3" s="1296" t="s">
        <v>806</v>
      </c>
      <c r="B3" s="1297">
        <f ca="1">IF(ISERROR(B2*10000/F43),0,ROUND(B2*10000/F43,0))</f>
        <v>24471</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5750</v>
      </c>
      <c r="D5" s="1272" t="s">
        <v>693</v>
      </c>
      <c r="E5" s="1007"/>
      <c r="F5" s="1008"/>
      <c r="G5" s="1291"/>
      <c r="H5" s="290">
        <v>1</v>
      </c>
      <c r="I5" s="291" t="s">
        <v>692</v>
      </c>
      <c r="J5" s="1006">
        <f ca="1">J6+J10+J12</f>
        <v>0</v>
      </c>
      <c r="K5" s="1272" t="s">
        <v>693</v>
      </c>
      <c r="L5" s="1007"/>
      <c r="M5" s="1008"/>
    </row>
    <row r="6" spans="1:37" ht="18" customHeight="1">
      <c r="A6" s="1005" t="s">
        <v>398</v>
      </c>
      <c r="B6" s="3464" t="s">
        <v>694</v>
      </c>
      <c r="C6" s="1010">
        <f ca="1">ROUND(F6*F8*F7*(1-F9)/10000,0)</f>
        <v>5743</v>
      </c>
      <c r="D6" s="146" t="s">
        <v>2107</v>
      </c>
      <c r="E6" s="293" t="s">
        <v>696</v>
      </c>
      <c r="F6" s="294">
        <f ca="1">INDIRECT("'数据-取费表'!u"&amp;$G$1)</f>
        <v>6.9</v>
      </c>
      <c r="G6" s="1291"/>
      <c r="H6" s="1005" t="s">
        <v>398</v>
      </c>
      <c r="I6" s="3464" t="s">
        <v>694</v>
      </c>
      <c r="J6" s="292">
        <f ca="1">ROUND(M6*M8*M7*(1-M9)/10000,0)</f>
        <v>0</v>
      </c>
      <c r="K6" s="146" t="s">
        <v>2106</v>
      </c>
      <c r="L6" s="293" t="s">
        <v>696</v>
      </c>
      <c r="M6" s="294">
        <f ca="1">INDIRECT("'数据-取费表'!z"&amp;$G$1)</f>
        <v>0</v>
      </c>
    </row>
    <row r="7" spans="1:37" ht="18" customHeight="1">
      <c r="A7" s="1009"/>
      <c r="B7" s="3465"/>
      <c r="C7" s="1011"/>
      <c r="D7" s="298"/>
      <c r="E7" s="1012" t="s">
        <v>697</v>
      </c>
      <c r="F7" s="294">
        <f ca="1">IF(INDIRECT("'数据-取费表'!ah"&amp;$G$1)="",INDIRECT("'数据-取费表'!k"&amp;$G$1),INDIRECT("'数据-取费表'!ah"&amp;$G$1))</f>
        <v>26828.22</v>
      </c>
      <c r="G7" s="1291"/>
      <c r="H7" s="295"/>
      <c r="I7" s="3465"/>
      <c r="J7" s="297"/>
      <c r="K7" s="298"/>
      <c r="L7" s="293" t="s">
        <v>697</v>
      </c>
      <c r="M7" s="294">
        <f ca="1">F7</f>
        <v>26828.22</v>
      </c>
    </row>
    <row r="8" spans="1:37" ht="18" customHeight="1">
      <c r="A8" s="295"/>
      <c r="B8" s="3465"/>
      <c r="C8" s="297"/>
      <c r="D8" s="298"/>
      <c r="E8" s="293" t="s">
        <v>698</v>
      </c>
      <c r="F8" s="294">
        <f ca="1">INDIRECT("'数据-取费表'!ai"&amp;$G$1)</f>
        <v>365</v>
      </c>
      <c r="G8" s="1291"/>
      <c r="H8" s="295"/>
      <c r="I8" s="3465"/>
      <c r="J8" s="297"/>
      <c r="K8" s="298"/>
      <c r="L8" s="293" t="s">
        <v>698</v>
      </c>
      <c r="M8" s="294">
        <f ca="1">INDIRECT("'数据-取费表'!ai"&amp;$G$1)</f>
        <v>365</v>
      </c>
    </row>
    <row r="9" spans="1:37" ht="18" customHeight="1">
      <c r="A9" s="295"/>
      <c r="B9" s="3466"/>
      <c r="C9" s="297"/>
      <c r="D9" s="298"/>
      <c r="E9" s="293" t="s">
        <v>699</v>
      </c>
      <c r="F9" s="303">
        <f ca="1">INDIRECT("'数据-取费表'!w"&amp;$G$1)</f>
        <v>0.15</v>
      </c>
      <c r="G9" s="1291"/>
      <c r="H9" s="295"/>
      <c r="I9" s="3466"/>
      <c r="J9" s="297"/>
      <c r="K9" s="298"/>
      <c r="L9" s="304" t="s">
        <v>699</v>
      </c>
      <c r="M9" s="305">
        <f ca="1">INDIRECT("'数据-取费表'!ab"&amp;$G$1)</f>
        <v>0</v>
      </c>
    </row>
    <row r="10" spans="1:37" ht="18" customHeight="1">
      <c r="A10" s="1005" t="s">
        <v>402</v>
      </c>
      <c r="B10" s="1273" t="s">
        <v>700</v>
      </c>
      <c r="C10" s="307">
        <f ca="1">ROUND(IF(F10="押一",C6/12*F11,IF(F10="押二",C6/12*2*F11,IF(F10="押三",C6/12*3*F11,C11*F11))),0)</f>
        <v>7</v>
      </c>
      <c r="D10" s="149" t="s">
        <v>2115</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22138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17438</v>
      </c>
      <c r="D14" s="1256" t="s">
        <v>708</v>
      </c>
      <c r="E14" s="1254"/>
      <c r="F14" s="310"/>
      <c r="G14" s="1291"/>
      <c r="H14" s="927" t="s">
        <v>398</v>
      </c>
      <c r="I14" s="293" t="s">
        <v>709</v>
      </c>
      <c r="J14" s="20">
        <f ca="1">C29</f>
        <v>26672</v>
      </c>
      <c r="K14" s="11"/>
      <c r="L14" s="758"/>
      <c r="M14" s="759"/>
    </row>
    <row r="15" spans="1:37" s="1303" customFormat="1" ht="18" customHeight="1" thickBot="1">
      <c r="A15" s="927" t="s">
        <v>399</v>
      </c>
      <c r="B15" s="293" t="s">
        <v>710</v>
      </c>
      <c r="C15" s="20">
        <f ca="1">ROUND(C14*F15,0)</f>
        <v>872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143</v>
      </c>
      <c r="K16" s="1023" t="s">
        <v>715</v>
      </c>
      <c r="L16" s="1024"/>
      <c r="M16" s="1008"/>
    </row>
    <row r="17" spans="1:37" s="1303" customFormat="1" ht="18" customHeight="1">
      <c r="A17" s="927" t="s">
        <v>681</v>
      </c>
      <c r="B17" s="293" t="s">
        <v>716</v>
      </c>
      <c r="C17" s="20">
        <f ca="1">ROUND(F17*(F43+INDIRECT("'数据-取费表'!S"&amp;$G$1))/10000,0)</f>
        <v>537</v>
      </c>
      <c r="D17" s="293" t="s">
        <v>717</v>
      </c>
      <c r="E17" s="293" t="s">
        <v>718</v>
      </c>
      <c r="F17" s="22">
        <f>'数据-取费表'!B35</f>
        <v>200</v>
      </c>
      <c r="G17" s="1302"/>
      <c r="H17" s="927" t="s">
        <v>398</v>
      </c>
      <c r="I17" s="293" t="s">
        <v>719</v>
      </c>
      <c r="J17" s="2139">
        <f ca="1">ROUND(IF(AND(项目基本情况!B11="自然人",项目基本情况!B10="北京市"),J6*M17/(1+'数据-取费表'!C42),J18+J19+J20),2)</f>
        <v>9.5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349</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19196</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384</v>
      </c>
      <c r="D20" s="314" t="s">
        <v>729</v>
      </c>
      <c r="E20" s="293" t="s">
        <v>712</v>
      </c>
      <c r="F20" s="313">
        <f>'数据-取费表'!B37</f>
        <v>0.02</v>
      </c>
      <c r="G20" s="1302"/>
      <c r="H20" s="927" t="s">
        <v>680</v>
      </c>
      <c r="I20" s="146" t="s">
        <v>730</v>
      </c>
      <c r="J20" s="21">
        <f ca="1">ROUND(M20*M21/10000,2)</f>
        <v>9.5</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5280.19</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133.36000000000001</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762</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-143</v>
      </c>
      <c r="K25" s="1031" t="s">
        <v>753</v>
      </c>
      <c r="L25" s="1032"/>
      <c r="M25" s="1033"/>
    </row>
    <row r="26" spans="1:37">
      <c r="A26" s="927" t="s">
        <v>397</v>
      </c>
      <c r="B26" s="293" t="s">
        <v>754</v>
      </c>
      <c r="C26" s="20">
        <f ca="1">ROUND((C19+C20)*F26,0)</f>
        <v>3916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26672</v>
      </c>
      <c r="D29" s="1028"/>
      <c r="E29" s="1026"/>
      <c r="F29" s="1029"/>
      <c r="G29" s="1302"/>
      <c r="H29" s="324" t="s">
        <v>396</v>
      </c>
      <c r="I29" s="325" t="s">
        <v>768</v>
      </c>
      <c r="J29" s="326">
        <f ca="1">ROUND(J26/(1+F40)^F41,0)</f>
        <v>0</v>
      </c>
      <c r="K29" s="327" t="s">
        <v>769</v>
      </c>
      <c r="L29" s="328"/>
      <c r="M29" s="329">
        <f ca="1">INDIRECT("'数据-取费表'!k"&amp;$G$1)</f>
        <v>26828.22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1185</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972.13</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306.29000000000002</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656.34</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9.5</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5280.19</v>
      </c>
      <c r="G35" s="1291"/>
      <c r="H35" s="2469"/>
      <c r="I35" s="1304"/>
      <c r="J35" s="1305"/>
      <c r="K35" s="2473"/>
      <c r="L35" s="2472"/>
      <c r="M35" s="2472"/>
    </row>
    <row r="36" spans="1:18" ht="18" customHeight="1">
      <c r="A36" s="1038" t="s">
        <v>402</v>
      </c>
      <c r="B36" s="293" t="s">
        <v>738</v>
      </c>
      <c r="C36" s="20">
        <f ca="1">ROUND(C29*F36,2)</f>
        <v>133.36000000000001</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22.14</v>
      </c>
      <c r="D37" s="1255" t="s">
        <v>743</v>
      </c>
      <c r="E37" s="293" t="s">
        <v>744</v>
      </c>
      <c r="F37" s="320">
        <f ca="1">INDIRECT("'数据-取费表'!Al"&amp;$G$1)</f>
        <v>1E-3</v>
      </c>
      <c r="G37" s="1291"/>
      <c r="H37" s="2472"/>
      <c r="I37" s="1304"/>
      <c r="J37" s="1305"/>
      <c r="K37" s="2330"/>
      <c r="L37" s="2472"/>
      <c r="M37" s="2472"/>
    </row>
    <row r="38" spans="1:18" ht="18" customHeight="1" thickBot="1">
      <c r="A38" s="1025" t="s">
        <v>684</v>
      </c>
      <c r="B38" s="1026" t="s">
        <v>728</v>
      </c>
      <c r="C38" s="1027">
        <f ca="1">ROUND(C5*F38,2)</f>
        <v>57.5</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1">
        <f ca="1">C5-C30</f>
        <v>4565</v>
      </c>
      <c r="D39" s="1031" t="s">
        <v>773</v>
      </c>
      <c r="E39" s="1032"/>
      <c r="F39" s="1033"/>
      <c r="G39" s="1291"/>
      <c r="H39" s="2472"/>
      <c r="I39" s="1304"/>
      <c r="J39" s="1305"/>
      <c r="K39" s="2470"/>
      <c r="L39" s="2472"/>
      <c r="M39" s="2472"/>
    </row>
    <row r="40" spans="1:18" ht="18" customHeight="1">
      <c r="A40" s="290" t="s">
        <v>395</v>
      </c>
      <c r="B40" s="291" t="s">
        <v>774</v>
      </c>
      <c r="C40" s="292">
        <f ca="1">ROUND(C39*(1-((1+F42)/(1+F40))^F41)/(F40-F42),0)</f>
        <v>63322</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23603</v>
      </c>
      <c r="D43" s="327" t="s">
        <v>777</v>
      </c>
      <c r="E43" s="328" t="s">
        <v>778</v>
      </c>
      <c r="F43" s="329">
        <f ca="1">INDIRECT("'数据-取费表'!k"&amp;$G$1)</f>
        <v>26828.22</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-65277</v>
      </c>
      <c r="D46" s="1312" t="str">
        <f>C2</f>
        <v>万元</v>
      </c>
      <c r="E46" s="1306"/>
      <c r="F46" s="1306"/>
      <c r="I46" s="1313" t="s">
        <v>810</v>
      </c>
      <c r="J46" s="1314"/>
      <c r="K46" s="1315"/>
      <c r="L46" s="1316">
        <f ca="1">IF(M47="住宅",0,IF(L48&gt;J51,L60,J60))</f>
        <v>2330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40</v>
      </c>
      <c r="M47" s="1287" t="str">
        <f>IF(ISNUMBER(FIND("住宅",C1)),"住宅","非住宅")</f>
        <v>非住宅</v>
      </c>
      <c r="O47" s="1324" t="s">
        <v>403</v>
      </c>
      <c r="P47" s="1325" t="s">
        <v>817</v>
      </c>
      <c r="Q47" s="1326">
        <f ca="1">C40+J29</f>
        <v>63322</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21.04</v>
      </c>
      <c r="O48" s="1324" t="s">
        <v>404</v>
      </c>
      <c r="P48" s="1325" t="s">
        <v>821</v>
      </c>
      <c r="Q48" s="1326">
        <f ca="1">J60</f>
        <v>2330</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2009</v>
      </c>
      <c r="K49" s="1329" t="s">
        <v>824</v>
      </c>
      <c r="L49" s="1332"/>
      <c r="O49" s="1333" t="s">
        <v>405</v>
      </c>
      <c r="P49" s="1325" t="s">
        <v>825</v>
      </c>
      <c r="Q49" s="1326">
        <f ca="1">C29</f>
        <v>26672</v>
      </c>
      <c r="R49" s="1326" t="s">
        <v>818</v>
      </c>
    </row>
    <row r="50" spans="1:18" s="1291" customFormat="1" ht="13.5" thickBot="1">
      <c r="A50" s="921"/>
      <c r="B50" s="924"/>
      <c r="C50" s="1054"/>
      <c r="D50" s="898"/>
      <c r="E50" s="992" t="s">
        <v>697</v>
      </c>
      <c r="F50" s="993">
        <f ca="1">F7</f>
        <v>26828.22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49897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21.04</v>
      </c>
      <c r="K53" s="3462" t="s">
        <v>837</v>
      </c>
      <c r="L53" s="3463"/>
      <c r="O53" s="1324" t="s">
        <v>409</v>
      </c>
      <c r="P53" s="1325" t="s">
        <v>838</v>
      </c>
      <c r="Q53" s="1326">
        <f ca="1">Q47+Q48</f>
        <v>65652</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25.5" thickTop="1" thickBot="1">
      <c r="A56" s="902">
        <v>2</v>
      </c>
      <c r="B56" s="903" t="s">
        <v>704</v>
      </c>
      <c r="C56" s="223">
        <f ca="1">C13</f>
        <v>22138</v>
      </c>
      <c r="D56" s="1351"/>
      <c r="E56" s="1352"/>
      <c r="F56" s="1344"/>
      <c r="I56" s="1353" t="s">
        <v>842</v>
      </c>
      <c r="J56" s="1354" t="s">
        <v>3609</v>
      </c>
      <c r="K56" s="1327" t="s">
        <v>843</v>
      </c>
      <c r="L56" s="1330" t="str">
        <f ca="1">IF(L48&lt;J51,"——",L48-J53)</f>
        <v>——</v>
      </c>
      <c r="O56" s="1324" t="s">
        <v>403</v>
      </c>
      <c r="P56" s="1325" t="s">
        <v>817</v>
      </c>
      <c r="Q56" s="1326">
        <f ca="1">C40+J29</f>
        <v>63322</v>
      </c>
      <c r="R56" s="1326" t="s">
        <v>818</v>
      </c>
    </row>
    <row r="57" spans="1:18" s="1291" customFormat="1" ht="24.75" thickBot="1">
      <c r="A57" s="1355"/>
      <c r="B57" s="895" t="s">
        <v>767</v>
      </c>
      <c r="C57" s="229">
        <f ca="1">C29</f>
        <v>26672</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166</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10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10669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2330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9.5</v>
      </c>
      <c r="D62" s="910" t="s">
        <v>786</v>
      </c>
      <c r="E62" s="895" t="s">
        <v>787</v>
      </c>
      <c r="F62" s="316">
        <f t="shared" si="0"/>
        <v>18</v>
      </c>
      <c r="I62" s="1366" t="s">
        <v>858</v>
      </c>
      <c r="J62" s="609" t="s">
        <v>859</v>
      </c>
      <c r="K62" s="609" t="s">
        <v>860</v>
      </c>
      <c r="L62" s="609" t="s">
        <v>861</v>
      </c>
      <c r="M62" s="1367" t="s">
        <v>862</v>
      </c>
      <c r="O62" s="1324" t="s">
        <v>409</v>
      </c>
      <c r="P62" s="1325" t="s">
        <v>863</v>
      </c>
      <c r="Q62" s="1326">
        <f ca="1">Q56+Q57</f>
        <v>63322</v>
      </c>
      <c r="R62" s="1326" t="s">
        <v>410</v>
      </c>
    </row>
    <row r="63" spans="1:18" s="1291" customFormat="1" ht="13.5" thickBot="1">
      <c r="A63" s="317"/>
      <c r="B63" s="901"/>
      <c r="C63" s="25"/>
      <c r="D63" s="911"/>
      <c r="E63" s="895" t="s">
        <v>788</v>
      </c>
      <c r="F63" s="294">
        <f t="shared" ca="1" si="0"/>
        <v>5280.19</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133.36000000000001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22.14</v>
      </c>
      <c r="D65" s="909" t="s">
        <v>743</v>
      </c>
      <c r="E65" s="895" t="s">
        <v>744</v>
      </c>
      <c r="F65" s="320">
        <f t="shared" ca="1" si="0"/>
        <v>1E-3</v>
      </c>
      <c r="I65" s="1366" t="s">
        <v>867</v>
      </c>
      <c r="J65" s="609">
        <v>40</v>
      </c>
      <c r="K65" s="609">
        <v>30</v>
      </c>
      <c r="L65" s="609">
        <v>50</v>
      </c>
      <c r="M65" s="1368">
        <v>0.02</v>
      </c>
      <c r="O65" s="1324" t="s">
        <v>403</v>
      </c>
      <c r="P65" s="1325" t="s">
        <v>868</v>
      </c>
      <c r="Q65" s="1326">
        <f ca="1">C40+J29</f>
        <v>63322</v>
      </c>
      <c r="R65" s="1326" t="s">
        <v>818</v>
      </c>
    </row>
    <row r="66" spans="1:18" s="1291" customFormat="1" ht="16.5" thickBot="1">
      <c r="A66" s="927" t="s">
        <v>793</v>
      </c>
      <c r="B66" s="895" t="s">
        <v>728</v>
      </c>
      <c r="C66" s="20">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-166</v>
      </c>
      <c r="D67" s="908" t="s">
        <v>753</v>
      </c>
      <c r="E67" s="913"/>
      <c r="F67" s="914"/>
      <c r="O67" s="1333" t="s">
        <v>405</v>
      </c>
      <c r="P67" s="1325" t="s">
        <v>850</v>
      </c>
      <c r="Q67" s="1369">
        <f ca="1">L51</f>
        <v>49897</v>
      </c>
      <c r="R67" s="1326" t="s">
        <v>870</v>
      </c>
    </row>
    <row r="68" spans="1:18" s="1291" customFormat="1" ht="16.5" thickBot="1">
      <c r="A68" s="892" t="s">
        <v>395</v>
      </c>
      <c r="B68" s="893" t="s">
        <v>774</v>
      </c>
      <c r="C68" s="292">
        <f ca="1">ROUND(C67*(1-((1+F70)/(1+F68))^F69)/(F68-F70),0)</f>
        <v>-1955</v>
      </c>
      <c r="D68" s="910" t="s">
        <v>758</v>
      </c>
      <c r="E68" s="895" t="s">
        <v>759</v>
      </c>
      <c r="F68" s="303">
        <f ca="1">F40</f>
        <v>0.06</v>
      </c>
      <c r="O68" s="1333" t="s">
        <v>406</v>
      </c>
      <c r="P68" s="1370" t="s">
        <v>871</v>
      </c>
      <c r="Q68" s="1326">
        <f ca="1">ROUND(Q69-Q70*Q71,0)</f>
        <v>3015</v>
      </c>
      <c r="R68" s="1326" t="s">
        <v>414</v>
      </c>
    </row>
    <row r="69" spans="1:18" s="1291" customFormat="1" ht="13.5" thickBot="1">
      <c r="A69" s="896"/>
      <c r="B69" s="897"/>
      <c r="C69" s="297"/>
      <c r="D69" s="915" t="s">
        <v>762</v>
      </c>
      <c r="E69" s="895" t="s">
        <v>763</v>
      </c>
      <c r="F69" s="323">
        <f ca="1">F41</f>
        <v>21.04</v>
      </c>
      <c r="O69" s="1333" t="s">
        <v>411</v>
      </c>
      <c r="P69" s="1370" t="s">
        <v>872</v>
      </c>
      <c r="Q69" s="1326">
        <f ca="1">C39</f>
        <v>4565</v>
      </c>
      <c r="R69" s="1326" t="s">
        <v>818</v>
      </c>
    </row>
    <row r="70" spans="1:18" s="1291" customFormat="1" ht="13.5" thickBot="1">
      <c r="A70" s="899"/>
      <c r="B70" s="900"/>
      <c r="C70" s="301"/>
      <c r="D70" s="911"/>
      <c r="E70" s="895" t="s">
        <v>766</v>
      </c>
      <c r="F70" s="990"/>
      <c r="O70" s="1333" t="s">
        <v>412</v>
      </c>
      <c r="P70" s="1370" t="s">
        <v>873</v>
      </c>
      <c r="Q70" s="1326">
        <f ca="1">C13</f>
        <v>22138</v>
      </c>
      <c r="R70" s="1326" t="s">
        <v>818</v>
      </c>
    </row>
    <row r="71" spans="1:18" s="1291" customFormat="1" ht="13.5" thickBot="1">
      <c r="A71" s="916" t="s">
        <v>396</v>
      </c>
      <c r="B71" s="917" t="s">
        <v>776</v>
      </c>
      <c r="C71" s="326">
        <f ca="1">ROUND(C68*10000/F71,0)</f>
        <v>-729</v>
      </c>
      <c r="D71" s="918" t="s">
        <v>777</v>
      </c>
      <c r="E71" s="919" t="s">
        <v>778</v>
      </c>
      <c r="F71" s="329">
        <f ca="1">F43</f>
        <v>26828.22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1550</v>
      </c>
      <c r="D75" s="1291"/>
      <c r="E75" s="1291"/>
      <c r="F75" s="1291"/>
      <c r="K75" s="1308"/>
      <c r="L75" s="1291"/>
      <c r="O75" s="1324" t="s">
        <v>409</v>
      </c>
      <c r="P75" s="1325" t="s">
        <v>838</v>
      </c>
      <c r="Q75" s="1326">
        <f ca="1">Q65+Q66</f>
        <v>63322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0.65999999999999992</v>
      </c>
    </row>
    <row r="80" spans="1:18">
      <c r="B80" s="330" t="s">
        <v>800</v>
      </c>
      <c r="C80" s="265">
        <f ca="1">ROUND(C75/C39,3)</f>
        <v>0.34</v>
      </c>
    </row>
    <row r="81" spans="2:3">
      <c r="B81" s="261" t="s">
        <v>801</v>
      </c>
      <c r="C81" s="229"/>
    </row>
    <row r="82" spans="2:3">
      <c r="B82" s="264" t="s">
        <v>802</v>
      </c>
      <c r="C82" s="266">
        <f ca="1">1-C83</f>
        <v>0.65</v>
      </c>
    </row>
    <row r="83" spans="2:3">
      <c r="B83" s="264" t="s">
        <v>803</v>
      </c>
      <c r="C83" s="265">
        <f ca="1">ROUND(C13/C40,3)</f>
        <v>0.35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64" t="s">
        <v>694</v>
      </c>
      <c r="C6" s="1010">
        <f ca="1">ROUND(F6*F8*F7*(1-F9),0)</f>
        <v>0</v>
      </c>
      <c r="D6" s="146" t="s">
        <v>2104</v>
      </c>
      <c r="E6" s="293" t="s">
        <v>696</v>
      </c>
      <c r="F6" s="294">
        <f ca="1">INDIRECT("'数据-取费表'!u"&amp;$G$1)</f>
        <v>0</v>
      </c>
      <c r="G6" s="1291"/>
      <c r="H6" s="1005" t="s">
        <v>398</v>
      </c>
      <c r="I6" s="3464" t="s">
        <v>694</v>
      </c>
      <c r="J6" s="292">
        <f ca="1">ROUND(M6*M8*M7*(1-M9),0)</f>
        <v>0</v>
      </c>
      <c r="K6" s="1283" t="s">
        <v>2105</v>
      </c>
      <c r="L6" s="293" t="s">
        <v>696</v>
      </c>
      <c r="M6" s="294">
        <f ca="1">INDIRECT("'数据-取费表'!z"&amp;$G$1)</f>
        <v>0</v>
      </c>
    </row>
    <row r="7" spans="1:37" ht="18" customHeight="1">
      <c r="A7" s="1009"/>
      <c r="B7" s="3465"/>
      <c r="C7" s="1011"/>
      <c r="D7" s="298"/>
      <c r="E7" s="1012" t="s">
        <v>697</v>
      </c>
      <c r="F7" s="294">
        <f ca="1">IF(INDIRECT("'数据-取费表'!ah"&amp;$G$1)="",INDIRECT("'数据-取费表'!k"&amp;$G$1),INDIRECT("'数据-取费表'!ah"&amp;$G$1))</f>
        <v>0</v>
      </c>
      <c r="G7" s="1291"/>
      <c r="H7" s="295"/>
      <c r="I7" s="3465"/>
      <c r="J7" s="297"/>
      <c r="K7" s="298"/>
      <c r="L7" s="293" t="s">
        <v>697</v>
      </c>
      <c r="M7" s="294">
        <f ca="1">F7</f>
        <v>0</v>
      </c>
    </row>
    <row r="8" spans="1:37" ht="18" customHeight="1">
      <c r="A8" s="295"/>
      <c r="B8" s="3465"/>
      <c r="C8" s="297"/>
      <c r="D8" s="298"/>
      <c r="E8" s="293" t="s">
        <v>698</v>
      </c>
      <c r="F8" s="294">
        <f ca="1">INDIRECT("'数据-取费表'!ai"&amp;$G$1)</f>
        <v>0</v>
      </c>
      <c r="G8" s="1291"/>
      <c r="H8" s="295"/>
      <c r="I8" s="3465"/>
      <c r="J8" s="297"/>
      <c r="K8" s="298"/>
      <c r="L8" s="293" t="s">
        <v>698</v>
      </c>
      <c r="M8" s="294">
        <f ca="1">INDIRECT("'数据-取费表'!ai"&amp;$G$1)</f>
        <v>0</v>
      </c>
    </row>
    <row r="9" spans="1:37" ht="18" customHeight="1">
      <c r="A9" s="295"/>
      <c r="B9" s="3466"/>
      <c r="C9" s="297"/>
      <c r="D9" s="298"/>
      <c r="E9" s="293" t="s">
        <v>699</v>
      </c>
      <c r="F9" s="303">
        <f ca="1">INDIRECT("'数据-取费表'!w"&amp;$G$1)</f>
        <v>0</v>
      </c>
      <c r="G9" s="1291"/>
      <c r="H9" s="295"/>
      <c r="I9" s="3466"/>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3342</v>
      </c>
      <c r="B45" s="1306"/>
      <c r="C45" s="1375" t="e">
        <f ca="1">ROUND((C68-C40)/10000,4)</f>
        <v>#DIV/0!</v>
      </c>
      <c r="D45" s="3129"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62" t="s">
        <v>837</v>
      </c>
      <c r="L53" s="3463"/>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18</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估价对象为北京市房地产，为所有。根据《国有土地使用证》[]，估价对象（分摊）出让国有建设用地使用权面积为19470.62平方米，建筑面积为98928.56平方米。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估价对象为北京市房地产,属开发建设的，该项目尚在开发建设中。根据《国有土地使用证》[]，估价对象（分摊）出让国有建设用地使用权面积为19470.62平方米，规划建筑面积为98928.56平方米。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2" t="s">
        <v>2306</v>
      </c>
      <c r="B2" s="2593" t="e">
        <f>IF(D2="——",C40,C40+E2)</f>
        <v>#DIV/0!</v>
      </c>
      <c r="C2" s="2594" t="s">
        <v>2307</v>
      </c>
      <c r="D2" s="3137" t="s">
        <v>3349</v>
      </c>
      <c r="E2" s="3138"/>
      <c r="F2" s="2596"/>
      <c r="G2" s="2597"/>
      <c r="H2" s="2598"/>
      <c r="I2" s="2599"/>
      <c r="J2" s="3467" t="s">
        <v>2308</v>
      </c>
      <c r="K2" s="3468"/>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69" t="s">
        <v>2318</v>
      </c>
      <c r="K3" s="3470"/>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69" t="s">
        <v>2320</v>
      </c>
      <c r="K4" s="3470"/>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471" t="s">
        <v>2324</v>
      </c>
      <c r="B6" s="3472"/>
      <c r="C6" s="3473"/>
      <c r="D6" s="2620"/>
      <c r="E6" s="2621"/>
      <c r="F6" s="2622"/>
      <c r="G6" s="2623"/>
      <c r="H6" s="2598"/>
      <c r="I6" s="2599"/>
      <c r="J6" s="3474">
        <v>1</v>
      </c>
      <c r="K6" s="3475"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74"/>
      <c r="K7" s="3476"/>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478" t="s">
        <v>2338</v>
      </c>
      <c r="C8" s="3479"/>
      <c r="D8" s="2639" t="s">
        <v>2339</v>
      </c>
      <c r="E8" s="2640" t="s">
        <v>2340</v>
      </c>
      <c r="F8" s="2641" t="s">
        <v>2341</v>
      </c>
      <c r="G8" s="2642"/>
      <c r="H8" s="2598"/>
      <c r="I8" s="2599"/>
      <c r="J8" s="3474"/>
      <c r="K8" s="3476"/>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478" t="s">
        <v>2344</v>
      </c>
      <c r="C9" s="3479"/>
      <c r="D9" s="2639">
        <f>ROUND(D6*E9,0)</f>
        <v>0</v>
      </c>
      <c r="E9" s="2643"/>
      <c r="F9" s="2644" t="s">
        <v>2345</v>
      </c>
      <c r="G9" s="2623"/>
      <c r="H9" s="2598"/>
      <c r="I9" s="2599"/>
      <c r="J9" s="3474"/>
      <c r="K9" s="3476"/>
      <c r="L9" s="2633" t="s">
        <v>2346</v>
      </c>
      <c r="M9" s="2634"/>
      <c r="N9" s="2610"/>
      <c r="O9" s="2635"/>
      <c r="P9" s="2635"/>
      <c r="Q9" s="2636">
        <v>365</v>
      </c>
      <c r="R9" s="2637">
        <f t="shared" si="0"/>
        <v>0</v>
      </c>
      <c r="S9" s="2591"/>
      <c r="T9" s="2591"/>
      <c r="U9" s="2591"/>
      <c r="V9" s="2599"/>
    </row>
    <row r="10" spans="1:22" s="2603" customFormat="1" ht="13.15" customHeight="1">
      <c r="A10" s="2638">
        <v>2</v>
      </c>
      <c r="B10" s="3478" t="s">
        <v>2347</v>
      </c>
      <c r="C10" s="3479"/>
      <c r="D10" s="2639">
        <f>ROUND(D6*E10,0)</f>
        <v>0</v>
      </c>
      <c r="E10" s="2643"/>
      <c r="F10" s="2644" t="s">
        <v>2348</v>
      </c>
      <c r="G10" s="2623"/>
      <c r="H10" s="2598"/>
      <c r="I10" s="2599"/>
      <c r="J10" s="3474"/>
      <c r="K10" s="3476"/>
      <c r="L10" s="2633" t="s">
        <v>2349</v>
      </c>
      <c r="M10" s="2634"/>
      <c r="N10" s="2610"/>
      <c r="O10" s="2635"/>
      <c r="P10" s="2635"/>
      <c r="Q10" s="2636">
        <v>365</v>
      </c>
      <c r="R10" s="2637">
        <f t="shared" si="0"/>
        <v>0</v>
      </c>
      <c r="S10" s="2591"/>
      <c r="T10" s="2591"/>
      <c r="U10" s="2591"/>
      <c r="V10" s="2599"/>
    </row>
    <row r="11" spans="1:22" s="2603" customFormat="1" ht="13.15" customHeight="1">
      <c r="A11" s="2638">
        <v>3</v>
      </c>
      <c r="B11" s="3478" t="s">
        <v>2350</v>
      </c>
      <c r="C11" s="3479"/>
      <c r="D11" s="2639">
        <f>D12+D14+D15+D16</f>
        <v>0</v>
      </c>
      <c r="E11" s="2645" t="e">
        <f>D11/D6</f>
        <v>#DIV/0!</v>
      </c>
      <c r="F11" s="2641"/>
      <c r="G11" s="2642"/>
      <c r="H11" s="2598"/>
      <c r="I11" s="2599"/>
      <c r="J11" s="3474"/>
      <c r="K11" s="3476"/>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480" t="s">
        <v>2353</v>
      </c>
      <c r="C12" s="3481"/>
      <c r="D12" s="2647">
        <f>ROUND(D13*1.2%*(1-30%),0)</f>
        <v>0</v>
      </c>
      <c r="E12" s="2648">
        <v>1.2E-2</v>
      </c>
      <c r="F12" s="2641" t="s">
        <v>2354</v>
      </c>
      <c r="G12" s="2642"/>
      <c r="H12" s="2598"/>
      <c r="I12" s="2599"/>
      <c r="J12" s="3474"/>
      <c r="K12" s="3476"/>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74"/>
      <c r="K13" s="3476"/>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480" t="s">
        <v>2359</v>
      </c>
      <c r="C14" s="3481"/>
      <c r="D14" s="2647">
        <f>ROUND(E14*B5/10000,0)</f>
        <v>0</v>
      </c>
      <c r="E14" s="2636"/>
      <c r="F14" s="2641" t="s">
        <v>2360</v>
      </c>
      <c r="G14" s="2642"/>
      <c r="H14" s="2598"/>
      <c r="I14" s="2599"/>
      <c r="J14" s="3474"/>
      <c r="K14" s="3477"/>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480" t="s">
        <v>2363</v>
      </c>
      <c r="C15" s="3481"/>
      <c r="D15" s="2647">
        <f>ROUND(D6*E15,0)</f>
        <v>0</v>
      </c>
      <c r="E15" s="2648">
        <v>5.5E-2</v>
      </c>
      <c r="F15" s="2641" t="s">
        <v>2364</v>
      </c>
      <c r="G15" s="2623"/>
      <c r="H15" s="2598"/>
      <c r="I15" s="2599"/>
      <c r="J15" s="3474">
        <v>2</v>
      </c>
      <c r="K15" s="3475"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480" t="s">
        <v>2372</v>
      </c>
      <c r="C16" s="3481"/>
      <c r="D16" s="2658">
        <f>D6*E16</f>
        <v>0</v>
      </c>
      <c r="E16" s="2659"/>
      <c r="F16" s="2644" t="s">
        <v>2373</v>
      </c>
      <c r="G16" s="2623"/>
      <c r="H16" s="2598"/>
      <c r="I16" s="2599"/>
      <c r="J16" s="3474"/>
      <c r="K16" s="3476"/>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482" t="s">
        <v>2375</v>
      </c>
      <c r="C17" s="3483"/>
      <c r="D17" s="2661">
        <f>ROUND(D6*E17,0)</f>
        <v>0</v>
      </c>
      <c r="E17" s="2662"/>
      <c r="F17" s="2663" t="s">
        <v>2376</v>
      </c>
      <c r="G17" s="2623"/>
      <c r="H17" s="2598"/>
      <c r="I17" s="2599"/>
      <c r="J17" s="3474"/>
      <c r="K17" s="3476"/>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74"/>
      <c r="K18" s="3476"/>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74"/>
      <c r="K19" s="3477"/>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74">
        <v>3</v>
      </c>
      <c r="K20" s="3475"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74"/>
      <c r="K21" s="3476"/>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74"/>
      <c r="K22" s="3476"/>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74"/>
      <c r="K23" s="3476"/>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74"/>
      <c r="K24" s="3477"/>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484">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48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67" t="s">
        <v>2308</v>
      </c>
      <c r="K32" s="3468"/>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69" t="s">
        <v>2318</v>
      </c>
      <c r="K33" s="3470"/>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69" t="s">
        <v>2320</v>
      </c>
      <c r="K34" s="347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74">
        <v>1</v>
      </c>
      <c r="K36" s="3475"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74"/>
      <c r="K37" s="3476"/>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74"/>
      <c r="K38" s="3476"/>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74"/>
      <c r="K39" s="3476"/>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74"/>
      <c r="K40" s="3477"/>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84">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48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98928.560000000012</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1666</v>
      </c>
      <c r="B4" s="345"/>
      <c r="C4" s="3397" t="s">
        <v>1667</v>
      </c>
      <c r="D4" s="3398"/>
      <c r="E4" s="3399" t="s">
        <v>1668</v>
      </c>
      <c r="F4" s="3400"/>
      <c r="G4" s="3397" t="s">
        <v>1669</v>
      </c>
      <c r="H4" s="3398"/>
      <c r="I4" s="3397" t="s">
        <v>1670</v>
      </c>
      <c r="J4" s="3398"/>
      <c r="K4" s="1743" t="s">
        <v>1671</v>
      </c>
      <c r="L4" s="2485"/>
      <c r="M4" s="2486"/>
      <c r="N4" s="2486"/>
      <c r="O4" s="2486"/>
      <c r="P4" s="3433" t="s">
        <v>1672</v>
      </c>
      <c r="Q4" s="3434"/>
      <c r="R4" s="3430" t="s">
        <v>1668</v>
      </c>
      <c r="S4" s="3431"/>
      <c r="T4" s="3430" t="s">
        <v>1669</v>
      </c>
      <c r="U4" s="3431"/>
      <c r="V4" s="3410" t="s">
        <v>1670</v>
      </c>
      <c r="W4" s="3410"/>
      <c r="X4" s="1264"/>
      <c r="Y4" s="3430" t="s">
        <v>1672</v>
      </c>
      <c r="Z4" s="3431"/>
      <c r="AA4" s="3429" t="s">
        <v>1668</v>
      </c>
      <c r="AB4" s="3429" t="s">
        <v>1669</v>
      </c>
      <c r="AC4" s="3429" t="s">
        <v>1670</v>
      </c>
    </row>
    <row r="5" spans="1:29" ht="15">
      <c r="A5" s="347"/>
      <c r="B5" s="348"/>
      <c r="C5" s="3432" t="s">
        <v>1673</v>
      </c>
      <c r="D5" s="3388"/>
      <c r="E5" s="3486" t="s">
        <v>1674</v>
      </c>
      <c r="F5" s="3386"/>
      <c r="G5" s="3432" t="s">
        <v>1675</v>
      </c>
      <c r="H5" s="3388"/>
      <c r="I5" s="3432" t="s">
        <v>1676</v>
      </c>
      <c r="J5" s="3388"/>
      <c r="K5" s="1744"/>
      <c r="L5" s="2485"/>
      <c r="M5" s="2486"/>
      <c r="N5" s="2486"/>
      <c r="O5" s="2486"/>
      <c r="P5" s="3435"/>
      <c r="Q5" s="3404"/>
      <c r="R5" s="3383"/>
      <c r="S5" s="3384"/>
      <c r="T5" s="3383"/>
      <c r="U5" s="3384"/>
      <c r="V5" s="3410"/>
      <c r="W5" s="3410"/>
      <c r="X5" s="1264"/>
      <c r="Y5" s="3383"/>
      <c r="Z5" s="3384"/>
      <c r="AA5" s="3377"/>
      <c r="AB5" s="3377"/>
      <c r="AC5" s="3377"/>
    </row>
    <row r="6" spans="1:29" ht="15.75" thickBot="1">
      <c r="A6" s="349"/>
      <c r="B6" s="350"/>
      <c r="C6" s="3389" t="s">
        <v>1677</v>
      </c>
      <c r="D6" s="3390"/>
      <c r="E6" s="3391" t="s">
        <v>1677</v>
      </c>
      <c r="F6" s="3392"/>
      <c r="G6" s="3389" t="s">
        <v>1677</v>
      </c>
      <c r="H6" s="3390"/>
      <c r="I6" s="3389" t="s">
        <v>1677</v>
      </c>
      <c r="J6" s="3390"/>
      <c r="K6" s="1744" t="s">
        <v>1678</v>
      </c>
      <c r="L6" s="2485"/>
      <c r="M6" s="2486"/>
      <c r="N6" s="2486"/>
      <c r="O6" s="2486"/>
      <c r="P6" s="3436"/>
      <c r="Q6" s="3406"/>
      <c r="R6" s="3383"/>
      <c r="S6" s="3384"/>
      <c r="T6" s="3407"/>
      <c r="U6" s="3408"/>
      <c r="V6" s="3410"/>
      <c r="W6" s="3410"/>
      <c r="X6" s="1264"/>
      <c r="Y6" s="3407"/>
      <c r="Z6" s="3408"/>
      <c r="AA6" s="3378"/>
      <c r="AB6" s="3378"/>
      <c r="AC6" s="3378"/>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379" t="s">
        <v>1680</v>
      </c>
      <c r="Q7" s="3412"/>
      <c r="R7" s="663" t="s">
        <v>20</v>
      </c>
      <c r="S7" s="664">
        <f t="shared" ref="S7:S15" si="0">F7</f>
        <v>0</v>
      </c>
      <c r="T7" s="663" t="s">
        <v>20</v>
      </c>
      <c r="U7" s="664">
        <f t="shared" ref="U7:U15" si="1">H7</f>
        <v>0</v>
      </c>
      <c r="V7" s="663" t="s">
        <v>20</v>
      </c>
      <c r="W7" s="664">
        <f t="shared" ref="W7:W15" si="2">J7</f>
        <v>0</v>
      </c>
      <c r="X7" s="665"/>
      <c r="Y7" s="3379" t="s">
        <v>1680</v>
      </c>
      <c r="Z7" s="3380"/>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379" t="s">
        <v>1683</v>
      </c>
      <c r="Q8" s="3380"/>
      <c r="R8" s="663" t="s">
        <v>20</v>
      </c>
      <c r="S8" s="664">
        <f t="shared" si="0"/>
        <v>100</v>
      </c>
      <c r="T8" s="663" t="s">
        <v>20</v>
      </c>
      <c r="U8" s="664">
        <f t="shared" si="1"/>
        <v>100</v>
      </c>
      <c r="V8" s="663" t="s">
        <v>20</v>
      </c>
      <c r="W8" s="664">
        <f t="shared" si="2"/>
        <v>100</v>
      </c>
      <c r="X8" s="665"/>
      <c r="Y8" s="3379" t="s">
        <v>1683</v>
      </c>
      <c r="Z8" s="3380"/>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393" t="s">
        <v>1686</v>
      </c>
      <c r="Q9" s="529" t="str">
        <f t="shared" ref="Q9:Q15" si="6">B9</f>
        <v>用途</v>
      </c>
      <c r="R9" s="663" t="s">
        <v>14</v>
      </c>
      <c r="S9" s="664">
        <f t="shared" si="0"/>
        <v>100</v>
      </c>
      <c r="T9" s="663" t="s">
        <v>14</v>
      </c>
      <c r="U9" s="664">
        <f t="shared" si="1"/>
        <v>100</v>
      </c>
      <c r="V9" s="663" t="s">
        <v>14</v>
      </c>
      <c r="W9" s="664">
        <f t="shared" si="2"/>
        <v>100</v>
      </c>
      <c r="X9" s="665"/>
      <c r="Y9" s="3352"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393"/>
      <c r="Q10" s="529" t="str">
        <f t="shared" si="6"/>
        <v>土地使用年限（年）</v>
      </c>
      <c r="R10" s="663" t="s">
        <v>14</v>
      </c>
      <c r="S10" s="664">
        <f t="shared" si="0"/>
        <v>100</v>
      </c>
      <c r="T10" s="663" t="s">
        <v>14</v>
      </c>
      <c r="U10" s="664">
        <f t="shared" si="1"/>
        <v>100</v>
      </c>
      <c r="V10" s="663" t="s">
        <v>14</v>
      </c>
      <c r="W10" s="664">
        <f t="shared" si="2"/>
        <v>100</v>
      </c>
      <c r="X10" s="665"/>
      <c r="Y10" s="3352"/>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393"/>
      <c r="Q11" s="529" t="str">
        <f t="shared" si="6"/>
        <v>容积率</v>
      </c>
      <c r="R11" s="663" t="s">
        <v>18</v>
      </c>
      <c r="S11" s="664" t="e">
        <f t="shared" si="0"/>
        <v>#N/A</v>
      </c>
      <c r="T11" s="663" t="s">
        <v>18</v>
      </c>
      <c r="U11" s="664" t="e">
        <f t="shared" si="1"/>
        <v>#N/A</v>
      </c>
      <c r="V11" s="663" t="s">
        <v>18</v>
      </c>
      <c r="W11" s="664" t="e">
        <f t="shared" si="2"/>
        <v>#N/A</v>
      </c>
      <c r="X11" s="665"/>
      <c r="Y11" s="3352"/>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393"/>
      <c r="Q12" s="529">
        <f t="shared" si="6"/>
        <v>111</v>
      </c>
      <c r="R12" s="663" t="s">
        <v>18</v>
      </c>
      <c r="S12" s="664">
        <f t="shared" si="0"/>
        <v>100</v>
      </c>
      <c r="T12" s="663" t="s">
        <v>18</v>
      </c>
      <c r="U12" s="664">
        <f t="shared" si="1"/>
        <v>100</v>
      </c>
      <c r="V12" s="663" t="s">
        <v>18</v>
      </c>
      <c r="W12" s="664">
        <f t="shared" si="2"/>
        <v>100</v>
      </c>
      <c r="X12" s="665"/>
      <c r="Y12" s="3352"/>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393"/>
      <c r="Q13" s="529">
        <f t="shared" si="6"/>
        <v>111</v>
      </c>
      <c r="R13" s="663" t="s">
        <v>18</v>
      </c>
      <c r="S13" s="664">
        <f t="shared" si="0"/>
        <v>100</v>
      </c>
      <c r="T13" s="663" t="s">
        <v>18</v>
      </c>
      <c r="U13" s="664">
        <f t="shared" si="1"/>
        <v>100</v>
      </c>
      <c r="V13" s="663" t="s">
        <v>18</v>
      </c>
      <c r="W13" s="664">
        <f t="shared" si="2"/>
        <v>100</v>
      </c>
      <c r="X13" s="665"/>
      <c r="Y13" s="3352"/>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393"/>
      <c r="Q14" s="529">
        <f t="shared" si="6"/>
        <v>111</v>
      </c>
      <c r="R14" s="663" t="s">
        <v>18</v>
      </c>
      <c r="S14" s="664">
        <f t="shared" si="0"/>
        <v>100</v>
      </c>
      <c r="T14" s="663" t="s">
        <v>18</v>
      </c>
      <c r="U14" s="664">
        <f t="shared" si="1"/>
        <v>100</v>
      </c>
      <c r="V14" s="663" t="s">
        <v>18</v>
      </c>
      <c r="W14" s="664">
        <f t="shared" si="2"/>
        <v>100</v>
      </c>
      <c r="X14" s="665"/>
      <c r="Y14" s="3352"/>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13" t="s">
        <v>1691</v>
      </c>
      <c r="Q15" s="1262" t="str">
        <f t="shared" si="6"/>
        <v>居住社区成熟度</v>
      </c>
      <c r="R15" s="666" t="s">
        <v>18</v>
      </c>
      <c r="S15" s="667">
        <f t="shared" si="0"/>
        <v>100</v>
      </c>
      <c r="T15" s="666" t="s">
        <v>18</v>
      </c>
      <c r="U15" s="667">
        <f t="shared" si="1"/>
        <v>100</v>
      </c>
      <c r="V15" s="666" t="s">
        <v>18</v>
      </c>
      <c r="W15" s="667">
        <f t="shared" si="2"/>
        <v>100</v>
      </c>
      <c r="X15" s="1264"/>
      <c r="Y15" s="3415"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14"/>
      <c r="Q16" s="1262"/>
      <c r="R16" s="666"/>
      <c r="S16" s="667"/>
      <c r="T16" s="666"/>
      <c r="U16" s="667"/>
      <c r="V16" s="666"/>
      <c r="W16" s="667"/>
      <c r="X16" s="1264"/>
      <c r="Y16" s="3416"/>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14"/>
      <c r="Q17" s="1262" t="str">
        <f>B17</f>
        <v>交通便捷度</v>
      </c>
      <c r="R17" s="666" t="s">
        <v>18</v>
      </c>
      <c r="S17" s="667">
        <f>F17</f>
        <v>100</v>
      </c>
      <c r="T17" s="666" t="s">
        <v>18</v>
      </c>
      <c r="U17" s="667">
        <f>H17</f>
        <v>100</v>
      </c>
      <c r="V17" s="666" t="s">
        <v>18</v>
      </c>
      <c r="W17" s="667">
        <f>J17</f>
        <v>100</v>
      </c>
      <c r="X17" s="1264"/>
      <c r="Y17" s="3416"/>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14"/>
      <c r="Q18" s="1262"/>
      <c r="R18" s="666"/>
      <c r="S18" s="667"/>
      <c r="T18" s="666"/>
      <c r="U18" s="667"/>
      <c r="V18" s="666"/>
      <c r="W18" s="667"/>
      <c r="X18" s="1264"/>
      <c r="Y18" s="3416"/>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14"/>
      <c r="Q19" s="1262" t="str">
        <f>B19</f>
        <v>公共配套设施</v>
      </c>
      <c r="R19" s="666" t="s">
        <v>18</v>
      </c>
      <c r="S19" s="667">
        <f>F19</f>
        <v>100</v>
      </c>
      <c r="T19" s="666" t="s">
        <v>18</v>
      </c>
      <c r="U19" s="667">
        <f>H19</f>
        <v>100</v>
      </c>
      <c r="V19" s="666" t="s">
        <v>18</v>
      </c>
      <c r="W19" s="667">
        <f>J19</f>
        <v>100</v>
      </c>
      <c r="X19" s="1264"/>
      <c r="Y19" s="3416"/>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14"/>
      <c r="Q20" s="1262"/>
      <c r="R20" s="666"/>
      <c r="S20" s="667"/>
      <c r="T20" s="666"/>
      <c r="U20" s="667"/>
      <c r="V20" s="666"/>
      <c r="W20" s="667"/>
      <c r="X20" s="1264"/>
      <c r="Y20" s="3416"/>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14"/>
      <c r="Q21" s="1262" t="str">
        <f>B21</f>
        <v>基础设施水平</v>
      </c>
      <c r="R21" s="666" t="s">
        <v>14</v>
      </c>
      <c r="S21" s="667">
        <f>F21</f>
        <v>100</v>
      </c>
      <c r="T21" s="666" t="s">
        <v>14</v>
      </c>
      <c r="U21" s="667">
        <f>H21</f>
        <v>100</v>
      </c>
      <c r="V21" s="666" t="s">
        <v>14</v>
      </c>
      <c r="W21" s="667">
        <f>J21</f>
        <v>100</v>
      </c>
      <c r="X21" s="1264"/>
      <c r="Y21" s="341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14"/>
      <c r="Q22" s="1262"/>
      <c r="R22" s="666"/>
      <c r="S22" s="667"/>
      <c r="T22" s="666"/>
      <c r="U22" s="667"/>
      <c r="V22" s="666"/>
      <c r="W22" s="667"/>
      <c r="X22" s="1264"/>
      <c r="Y22" s="3416"/>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14"/>
      <c r="Q23" s="1262" t="str">
        <f>B23</f>
        <v>自然及人文环境</v>
      </c>
      <c r="R23" s="666" t="s">
        <v>18</v>
      </c>
      <c r="S23" s="667">
        <f>F23</f>
        <v>100</v>
      </c>
      <c r="T23" s="666" t="s">
        <v>18</v>
      </c>
      <c r="U23" s="667">
        <f>H23</f>
        <v>100</v>
      </c>
      <c r="V23" s="666" t="s">
        <v>18</v>
      </c>
      <c r="W23" s="667">
        <f>J23</f>
        <v>100</v>
      </c>
      <c r="X23" s="1264"/>
      <c r="Y23" s="3416"/>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14"/>
      <c r="Q24" s="1262"/>
      <c r="R24" s="666"/>
      <c r="S24" s="667"/>
      <c r="T24" s="666"/>
      <c r="U24" s="667"/>
      <c r="V24" s="666"/>
      <c r="W24" s="667"/>
      <c r="X24" s="1264"/>
      <c r="Y24" s="3416"/>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1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6"/>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14"/>
      <c r="Q26" s="1262" t="str">
        <f t="shared" si="11"/>
        <v>朝向</v>
      </c>
      <c r="R26" s="666" t="s">
        <v>18</v>
      </c>
      <c r="S26" s="667">
        <f t="shared" si="12"/>
        <v>100</v>
      </c>
      <c r="T26" s="666" t="s">
        <v>18</v>
      </c>
      <c r="U26" s="667">
        <f t="shared" si="13"/>
        <v>100</v>
      </c>
      <c r="V26" s="666" t="s">
        <v>18</v>
      </c>
      <c r="W26" s="667">
        <f t="shared" si="14"/>
        <v>100</v>
      </c>
      <c r="X26" s="1264"/>
      <c r="Y26" s="3416"/>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14"/>
      <c r="Q27" s="529">
        <f t="shared" si="11"/>
        <v>111</v>
      </c>
      <c r="R27" s="663" t="s">
        <v>18</v>
      </c>
      <c r="S27" s="664">
        <f t="shared" si="12"/>
        <v>100</v>
      </c>
      <c r="T27" s="663" t="s">
        <v>18</v>
      </c>
      <c r="U27" s="664">
        <f t="shared" si="13"/>
        <v>100</v>
      </c>
      <c r="V27" s="663" t="s">
        <v>18</v>
      </c>
      <c r="W27" s="664">
        <f t="shared" si="14"/>
        <v>100</v>
      </c>
      <c r="X27" s="665"/>
      <c r="Y27" s="3416"/>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14"/>
      <c r="Q28" s="1262">
        <f t="shared" si="11"/>
        <v>111</v>
      </c>
      <c r="R28" s="666" t="s">
        <v>18</v>
      </c>
      <c r="S28" s="667">
        <f t="shared" si="12"/>
        <v>100</v>
      </c>
      <c r="T28" s="666" t="s">
        <v>18</v>
      </c>
      <c r="U28" s="667">
        <f t="shared" si="13"/>
        <v>100</v>
      </c>
      <c r="V28" s="666" t="s">
        <v>18</v>
      </c>
      <c r="W28" s="667">
        <f t="shared" si="14"/>
        <v>100</v>
      </c>
      <c r="X28" s="1264"/>
      <c r="Y28" s="3416"/>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14"/>
      <c r="Q29" s="1262">
        <f t="shared" si="11"/>
        <v>111</v>
      </c>
      <c r="R29" s="666" t="s">
        <v>18</v>
      </c>
      <c r="S29" s="667">
        <f t="shared" si="12"/>
        <v>100</v>
      </c>
      <c r="T29" s="666" t="s">
        <v>18</v>
      </c>
      <c r="U29" s="667">
        <f t="shared" si="13"/>
        <v>100</v>
      </c>
      <c r="V29" s="666" t="s">
        <v>18</v>
      </c>
      <c r="W29" s="667">
        <f t="shared" si="14"/>
        <v>100</v>
      </c>
      <c r="X29" s="1264"/>
      <c r="Y29" s="3416"/>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14"/>
      <c r="Q30" s="1262">
        <f t="shared" si="11"/>
        <v>111</v>
      </c>
      <c r="R30" s="666" t="s">
        <v>18</v>
      </c>
      <c r="S30" s="667">
        <f t="shared" si="12"/>
        <v>100</v>
      </c>
      <c r="T30" s="666" t="s">
        <v>18</v>
      </c>
      <c r="U30" s="667">
        <f t="shared" si="13"/>
        <v>100</v>
      </c>
      <c r="V30" s="666" t="s">
        <v>18</v>
      </c>
      <c r="W30" s="667">
        <f t="shared" si="14"/>
        <v>100</v>
      </c>
      <c r="X30" s="1264"/>
      <c r="Y30" s="3416"/>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14"/>
      <c r="Q31" s="1262">
        <f t="shared" si="11"/>
        <v>111</v>
      </c>
      <c r="R31" s="666" t="s">
        <v>18</v>
      </c>
      <c r="S31" s="667">
        <f t="shared" si="12"/>
        <v>100</v>
      </c>
      <c r="T31" s="666" t="s">
        <v>18</v>
      </c>
      <c r="U31" s="667">
        <f t="shared" si="13"/>
        <v>100</v>
      </c>
      <c r="V31" s="666" t="s">
        <v>18</v>
      </c>
      <c r="W31" s="667">
        <f t="shared" si="14"/>
        <v>100</v>
      </c>
      <c r="X31" s="1264"/>
      <c r="Y31" s="3416"/>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17" t="s">
        <v>1696</v>
      </c>
      <c r="Q32" s="1262" t="str">
        <f t="shared" si="11"/>
        <v>建筑类型</v>
      </c>
      <c r="R32" s="666" t="s">
        <v>18</v>
      </c>
      <c r="S32" s="667">
        <f t="shared" si="12"/>
        <v>100</v>
      </c>
      <c r="T32" s="666" t="s">
        <v>18</v>
      </c>
      <c r="U32" s="667">
        <f t="shared" si="13"/>
        <v>100</v>
      </c>
      <c r="V32" s="666" t="s">
        <v>18</v>
      </c>
      <c r="W32" s="667">
        <f t="shared" si="14"/>
        <v>100</v>
      </c>
      <c r="X32" s="1264"/>
      <c r="Y32" s="3420"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18"/>
      <c r="Q33" s="530" t="str">
        <f t="shared" si="11"/>
        <v>项目建筑规模</v>
      </c>
      <c r="R33" s="668" t="s">
        <v>18</v>
      </c>
      <c r="S33" s="669" t="e">
        <f t="shared" si="12"/>
        <v>#N/A</v>
      </c>
      <c r="T33" s="668" t="s">
        <v>18</v>
      </c>
      <c r="U33" s="669" t="e">
        <f t="shared" si="13"/>
        <v>#N/A</v>
      </c>
      <c r="V33" s="668" t="s">
        <v>18</v>
      </c>
      <c r="W33" s="669" t="e">
        <f t="shared" si="14"/>
        <v>#N/A</v>
      </c>
      <c r="X33" s="670"/>
      <c r="Y33" s="3420"/>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18"/>
      <c r="Q34" s="1262" t="str">
        <f t="shared" si="11"/>
        <v>建筑结构</v>
      </c>
      <c r="R34" s="666" t="s">
        <v>18</v>
      </c>
      <c r="S34" s="667">
        <f t="shared" si="12"/>
        <v>100</v>
      </c>
      <c r="T34" s="666" t="s">
        <v>18</v>
      </c>
      <c r="U34" s="667">
        <f t="shared" si="13"/>
        <v>100</v>
      </c>
      <c r="V34" s="666" t="s">
        <v>18</v>
      </c>
      <c r="W34" s="667">
        <f t="shared" si="14"/>
        <v>100</v>
      </c>
      <c r="X34" s="1264"/>
      <c r="Y34" s="3420"/>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18"/>
      <c r="Q35" s="1262" t="str">
        <f t="shared" si="11"/>
        <v>建筑品质</v>
      </c>
      <c r="R35" s="666" t="s">
        <v>18</v>
      </c>
      <c r="S35" s="667">
        <f t="shared" si="12"/>
        <v>100</v>
      </c>
      <c r="T35" s="666" t="s">
        <v>18</v>
      </c>
      <c r="U35" s="667">
        <f t="shared" si="13"/>
        <v>100</v>
      </c>
      <c r="V35" s="666" t="s">
        <v>18</v>
      </c>
      <c r="W35" s="667">
        <f t="shared" si="14"/>
        <v>100</v>
      </c>
      <c r="X35" s="1264"/>
      <c r="Y35" s="3420"/>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18"/>
      <c r="Q36" s="1262" t="str">
        <f t="shared" si="11"/>
        <v>公共部分装修</v>
      </c>
      <c r="R36" s="666" t="s">
        <v>18</v>
      </c>
      <c r="S36" s="667">
        <f t="shared" si="12"/>
        <v>100</v>
      </c>
      <c r="T36" s="666" t="s">
        <v>18</v>
      </c>
      <c r="U36" s="667">
        <f t="shared" si="13"/>
        <v>100</v>
      </c>
      <c r="V36" s="666" t="s">
        <v>18</v>
      </c>
      <c r="W36" s="667">
        <f t="shared" si="14"/>
        <v>100</v>
      </c>
      <c r="X36" s="1264"/>
      <c r="Y36" s="3420"/>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18"/>
      <c r="Q37" s="529" t="str">
        <f t="shared" si="11"/>
        <v>成新度</v>
      </c>
      <c r="R37" s="663" t="s">
        <v>18</v>
      </c>
      <c r="S37" s="664" t="e">
        <f t="shared" si="12"/>
        <v>#N/A</v>
      </c>
      <c r="T37" s="663" t="s">
        <v>18</v>
      </c>
      <c r="U37" s="664" t="e">
        <f t="shared" si="13"/>
        <v>#N/A</v>
      </c>
      <c r="V37" s="663" t="s">
        <v>18</v>
      </c>
      <c r="W37" s="664" t="e">
        <f t="shared" si="14"/>
        <v>#N/A</v>
      </c>
      <c r="X37" s="665"/>
      <c r="Y37" s="3420"/>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18" t="s">
        <v>1696</v>
      </c>
      <c r="Q38" s="1262" t="str">
        <f t="shared" si="11"/>
        <v>物业管理</v>
      </c>
      <c r="R38" s="666" t="s">
        <v>18</v>
      </c>
      <c r="S38" s="667">
        <f t="shared" si="12"/>
        <v>100</v>
      </c>
      <c r="T38" s="666" t="s">
        <v>18</v>
      </c>
      <c r="U38" s="667">
        <f t="shared" si="13"/>
        <v>100</v>
      </c>
      <c r="V38" s="666" t="s">
        <v>18</v>
      </c>
      <c r="W38" s="667">
        <f t="shared" si="14"/>
        <v>100</v>
      </c>
      <c r="X38" s="1264"/>
      <c r="Y38" s="3420"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18"/>
      <c r="Q39" s="1262" t="str">
        <f t="shared" si="11"/>
        <v>市政基础设施</v>
      </c>
      <c r="R39" s="666" t="s">
        <v>18</v>
      </c>
      <c r="S39" s="667">
        <f t="shared" si="12"/>
        <v>100</v>
      </c>
      <c r="T39" s="666" t="s">
        <v>18</v>
      </c>
      <c r="U39" s="667">
        <f t="shared" si="13"/>
        <v>100</v>
      </c>
      <c r="V39" s="666" t="s">
        <v>18</v>
      </c>
      <c r="W39" s="667">
        <f t="shared" si="14"/>
        <v>100</v>
      </c>
      <c r="X39" s="1264"/>
      <c r="Y39" s="3420"/>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18"/>
      <c r="Q40" s="1262" t="str">
        <f t="shared" si="11"/>
        <v>房型</v>
      </c>
      <c r="R40" s="666" t="s">
        <v>18</v>
      </c>
      <c r="S40" s="667">
        <f t="shared" si="12"/>
        <v>100</v>
      </c>
      <c r="T40" s="666" t="s">
        <v>18</v>
      </c>
      <c r="U40" s="667">
        <f t="shared" si="13"/>
        <v>100</v>
      </c>
      <c r="V40" s="666" t="s">
        <v>18</v>
      </c>
      <c r="W40" s="667">
        <f t="shared" si="14"/>
        <v>100</v>
      </c>
      <c r="X40" s="1264"/>
      <c r="Y40" s="3420"/>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18"/>
      <c r="Q41" s="530" t="str">
        <f t="shared" si="11"/>
        <v>单套/主力户型建筑面积</v>
      </c>
      <c r="R41" s="668" t="s">
        <v>18</v>
      </c>
      <c r="S41" s="669">
        <f t="shared" si="12"/>
        <v>100</v>
      </c>
      <c r="T41" s="668" t="s">
        <v>18</v>
      </c>
      <c r="U41" s="669">
        <f t="shared" si="13"/>
        <v>100</v>
      </c>
      <c r="V41" s="668" t="s">
        <v>18</v>
      </c>
      <c r="W41" s="669">
        <f t="shared" si="14"/>
        <v>100</v>
      </c>
      <c r="X41" s="670"/>
      <c r="Y41" s="3420"/>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18"/>
      <c r="Q42" s="1262" t="str">
        <f t="shared" si="11"/>
        <v>内部装修</v>
      </c>
      <c r="R42" s="666" t="s">
        <v>18</v>
      </c>
      <c r="S42" s="667">
        <f t="shared" si="12"/>
        <v>100</v>
      </c>
      <c r="T42" s="666" t="s">
        <v>18</v>
      </c>
      <c r="U42" s="667">
        <f t="shared" si="13"/>
        <v>100</v>
      </c>
      <c r="V42" s="666" t="s">
        <v>18</v>
      </c>
      <c r="W42" s="667">
        <f t="shared" si="14"/>
        <v>100</v>
      </c>
      <c r="X42" s="1264"/>
      <c r="Y42" s="3420"/>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18"/>
      <c r="Q43" s="1262" t="str">
        <f t="shared" si="11"/>
        <v>内部装修维护情况</v>
      </c>
      <c r="R43" s="666" t="s">
        <v>18</v>
      </c>
      <c r="S43" s="667">
        <f t="shared" si="12"/>
        <v>100</v>
      </c>
      <c r="T43" s="666" t="s">
        <v>18</v>
      </c>
      <c r="U43" s="667">
        <f t="shared" si="13"/>
        <v>100</v>
      </c>
      <c r="V43" s="666" t="s">
        <v>18</v>
      </c>
      <c r="W43" s="667">
        <f t="shared" si="14"/>
        <v>100</v>
      </c>
      <c r="X43" s="1264"/>
      <c r="Y43" s="3420"/>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18"/>
      <c r="Q44" s="529">
        <f t="shared" si="11"/>
        <v>111</v>
      </c>
      <c r="R44" s="663" t="s">
        <v>18</v>
      </c>
      <c r="S44" s="664">
        <f t="shared" si="12"/>
        <v>100</v>
      </c>
      <c r="T44" s="663" t="s">
        <v>18</v>
      </c>
      <c r="U44" s="664">
        <f t="shared" si="13"/>
        <v>100</v>
      </c>
      <c r="V44" s="663" t="s">
        <v>18</v>
      </c>
      <c r="W44" s="664">
        <f t="shared" si="14"/>
        <v>100</v>
      </c>
      <c r="X44" s="665"/>
      <c r="Y44" s="3420"/>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18"/>
      <c r="Q45" s="1262">
        <f t="shared" si="11"/>
        <v>111</v>
      </c>
      <c r="R45" s="666" t="s">
        <v>18</v>
      </c>
      <c r="S45" s="667">
        <f t="shared" si="12"/>
        <v>100</v>
      </c>
      <c r="T45" s="666" t="s">
        <v>18</v>
      </c>
      <c r="U45" s="667">
        <f t="shared" si="13"/>
        <v>100</v>
      </c>
      <c r="V45" s="666" t="s">
        <v>18</v>
      </c>
      <c r="W45" s="667">
        <f t="shared" si="14"/>
        <v>100</v>
      </c>
      <c r="X45" s="1264"/>
      <c r="Y45" s="3420"/>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19"/>
      <c r="Q46" s="1262">
        <f t="shared" si="11"/>
        <v>111</v>
      </c>
      <c r="R46" s="666" t="s">
        <v>17</v>
      </c>
      <c r="S46" s="667">
        <f t="shared" si="12"/>
        <v>100</v>
      </c>
      <c r="T46" s="666" t="s">
        <v>17</v>
      </c>
      <c r="U46" s="667">
        <f t="shared" si="13"/>
        <v>100</v>
      </c>
      <c r="V46" s="666" t="s">
        <v>17</v>
      </c>
      <c r="W46" s="667">
        <f t="shared" si="14"/>
        <v>100</v>
      </c>
      <c r="X46" s="1264"/>
      <c r="Y46" s="3421"/>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3"/>
      <c r="M47" s="2486"/>
      <c r="N47" s="2486"/>
      <c r="O47" s="2486"/>
      <c r="P47" s="3422" t="str">
        <f>A47</f>
        <v>成交单价（元/平方米）</v>
      </c>
      <c r="Q47" s="3422"/>
      <c r="R47" s="3410">
        <f>E47</f>
        <v>0</v>
      </c>
      <c r="S47" s="3410"/>
      <c r="T47" s="3410">
        <f>G47</f>
        <v>0</v>
      </c>
      <c r="U47" s="3410"/>
      <c r="V47" s="3410">
        <f>I47</f>
        <v>0</v>
      </c>
      <c r="W47" s="3410"/>
      <c r="X47" s="384"/>
      <c r="Y47" s="672"/>
      <c r="Z47" s="384"/>
      <c r="AA47" s="384"/>
      <c r="AB47" s="384"/>
      <c r="AC47" s="384"/>
    </row>
    <row r="48" spans="1:29" ht="15.75" thickBot="1">
      <c r="A48" s="422" t="s">
        <v>1709</v>
      </c>
      <c r="B48" s="423"/>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422" t="str">
        <f>A48</f>
        <v>比较价值（元/平方米）</v>
      </c>
      <c r="Q48" s="3422"/>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3"/>
      <c r="M49" s="2486"/>
      <c r="N49" s="2486"/>
      <c r="O49" s="2486"/>
      <c r="P49" s="3439" t="str">
        <f>A49</f>
        <v>估价对象XX用房的比较价值（楼面单价，元/平方米）</v>
      </c>
      <c r="Q49" s="3440"/>
      <c r="R49" s="3487" t="e">
        <f>IF(F1="售价",ROUND(IF(D48="简单平均",AVERAGE(R48:V48),R48*F48+T48*H48+V48*J48),0),ROUND(IF(D48="简单平均",AVERAGE(R48:V48),R48*F48+T48*H48+V48*J48),1))</f>
        <v>#DIV/0!</v>
      </c>
      <c r="S49" s="3487"/>
      <c r="T49" s="3487"/>
      <c r="U49" s="3487"/>
      <c r="V49" s="3487"/>
      <c r="W49" s="3487"/>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98928.560000000012</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4" t="s">
        <v>1769</v>
      </c>
      <c r="B4" s="345"/>
      <c r="C4" s="3397" t="s">
        <v>1770</v>
      </c>
      <c r="D4" s="3398"/>
      <c r="E4" s="3399" t="s">
        <v>1771</v>
      </c>
      <c r="F4" s="3400"/>
      <c r="G4" s="3397" t="s">
        <v>1772</v>
      </c>
      <c r="H4" s="3398"/>
      <c r="I4" s="3397" t="s">
        <v>1773</v>
      </c>
      <c r="J4" s="3398"/>
      <c r="K4" s="536" t="s">
        <v>1774</v>
      </c>
      <c r="L4" s="2485"/>
      <c r="M4" s="2486"/>
      <c r="N4" s="2486"/>
      <c r="O4" s="2486"/>
      <c r="P4" s="3433" t="s">
        <v>1775</v>
      </c>
      <c r="Q4" s="3434"/>
      <c r="R4" s="3430" t="s">
        <v>1771</v>
      </c>
      <c r="S4" s="3431"/>
      <c r="T4" s="3430" t="s">
        <v>1772</v>
      </c>
      <c r="U4" s="3431"/>
      <c r="V4" s="3410" t="s">
        <v>1773</v>
      </c>
      <c r="W4" s="3410"/>
      <c r="X4" s="1264"/>
      <c r="Y4" s="3430" t="s">
        <v>1775</v>
      </c>
      <c r="Z4" s="3431"/>
      <c r="AA4" s="3429" t="s">
        <v>1771</v>
      </c>
      <c r="AB4" s="3410" t="s">
        <v>1772</v>
      </c>
      <c r="AC4" s="3429" t="s">
        <v>1773</v>
      </c>
    </row>
    <row r="5" spans="1:29" ht="15">
      <c r="A5" s="347"/>
      <c r="B5" s="348"/>
      <c r="C5" s="3432" t="s">
        <v>1673</v>
      </c>
      <c r="D5" s="3388"/>
      <c r="E5" s="3486" t="s">
        <v>1674</v>
      </c>
      <c r="F5" s="3386"/>
      <c r="G5" s="3432" t="s">
        <v>1675</v>
      </c>
      <c r="H5" s="3388"/>
      <c r="I5" s="3432" t="s">
        <v>1676</v>
      </c>
      <c r="J5" s="3388"/>
      <c r="K5" s="536"/>
      <c r="L5" s="2485"/>
      <c r="M5" s="2486"/>
      <c r="N5" s="2486"/>
      <c r="O5" s="2486"/>
      <c r="P5" s="3435"/>
      <c r="Q5" s="3404"/>
      <c r="R5" s="3383"/>
      <c r="S5" s="3384"/>
      <c r="T5" s="3383"/>
      <c r="U5" s="3384"/>
      <c r="V5" s="3410"/>
      <c r="W5" s="3410"/>
      <c r="X5" s="1264"/>
      <c r="Y5" s="3383"/>
      <c r="Z5" s="3384"/>
      <c r="AA5" s="3377"/>
      <c r="AB5" s="3410"/>
      <c r="AC5" s="3377"/>
    </row>
    <row r="6" spans="1:29" ht="15.75" thickBot="1">
      <c r="A6" s="349"/>
      <c r="B6" s="350"/>
      <c r="C6" s="3389" t="s">
        <v>1677</v>
      </c>
      <c r="D6" s="3390"/>
      <c r="E6" s="3391" t="s">
        <v>1677</v>
      </c>
      <c r="F6" s="3392"/>
      <c r="G6" s="3389" t="s">
        <v>1677</v>
      </c>
      <c r="H6" s="3390"/>
      <c r="I6" s="3389" t="s">
        <v>1677</v>
      </c>
      <c r="J6" s="3390"/>
      <c r="K6" s="536" t="s">
        <v>1678</v>
      </c>
      <c r="L6" s="2485"/>
      <c r="M6" s="2486"/>
      <c r="N6" s="2486"/>
      <c r="O6" s="2486"/>
      <c r="P6" s="3436"/>
      <c r="Q6" s="3406"/>
      <c r="R6" s="3383"/>
      <c r="S6" s="3384"/>
      <c r="T6" s="3407"/>
      <c r="U6" s="3408"/>
      <c r="V6" s="3410"/>
      <c r="W6" s="3410"/>
      <c r="X6" s="1264"/>
      <c r="Y6" s="3407"/>
      <c r="Z6" s="3408"/>
      <c r="AA6" s="3378"/>
      <c r="AB6" s="3410"/>
      <c r="AC6" s="3378"/>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37"/>
      <c r="L7" s="2487"/>
      <c r="M7" s="2439"/>
      <c r="N7" s="2439"/>
      <c r="O7" s="2439"/>
      <c r="P7" s="3379" t="s">
        <v>1680</v>
      </c>
      <c r="Q7" s="3412"/>
      <c r="R7" s="663" t="s">
        <v>14</v>
      </c>
      <c r="S7" s="664">
        <f t="shared" ref="S7:S15" si="0">F7</f>
        <v>0</v>
      </c>
      <c r="T7" s="663" t="s">
        <v>14</v>
      </c>
      <c r="U7" s="664">
        <f t="shared" ref="U7:U15" si="1">H7</f>
        <v>0</v>
      </c>
      <c r="V7" s="663" t="s">
        <v>14</v>
      </c>
      <c r="W7" s="664">
        <f t="shared" ref="W7:W15" si="2">J7</f>
        <v>0</v>
      </c>
      <c r="X7" s="665"/>
      <c r="Y7" s="3379" t="s">
        <v>1680</v>
      </c>
      <c r="Z7" s="3380"/>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379" t="s">
        <v>1683</v>
      </c>
      <c r="Q8" s="3380"/>
      <c r="R8" s="663" t="s">
        <v>14</v>
      </c>
      <c r="S8" s="664">
        <f t="shared" si="0"/>
        <v>100</v>
      </c>
      <c r="T8" s="663" t="s">
        <v>14</v>
      </c>
      <c r="U8" s="664">
        <f t="shared" si="1"/>
        <v>100</v>
      </c>
      <c r="V8" s="663" t="s">
        <v>14</v>
      </c>
      <c r="W8" s="664">
        <f t="shared" si="2"/>
        <v>100</v>
      </c>
      <c r="X8" s="665"/>
      <c r="Y8" s="3379" t="s">
        <v>1683</v>
      </c>
      <c r="Z8" s="3380"/>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393" t="s">
        <v>1686</v>
      </c>
      <c r="Q9" s="529" t="str">
        <f t="shared" ref="Q9:Q15" si="6">B9</f>
        <v>用途</v>
      </c>
      <c r="R9" s="663" t="s">
        <v>14</v>
      </c>
      <c r="S9" s="664">
        <f t="shared" si="0"/>
        <v>100</v>
      </c>
      <c r="T9" s="663" t="s">
        <v>14</v>
      </c>
      <c r="U9" s="664">
        <f t="shared" si="1"/>
        <v>100</v>
      </c>
      <c r="V9" s="663" t="s">
        <v>14</v>
      </c>
      <c r="W9" s="664">
        <f t="shared" si="2"/>
        <v>100</v>
      </c>
      <c r="X9" s="665"/>
      <c r="Y9" s="3352"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393"/>
      <c r="Q10" s="529" t="str">
        <f t="shared" si="6"/>
        <v>土地使用年限（年）</v>
      </c>
      <c r="R10" s="663" t="s">
        <v>14</v>
      </c>
      <c r="S10" s="664">
        <f t="shared" si="0"/>
        <v>100</v>
      </c>
      <c r="T10" s="663" t="s">
        <v>14</v>
      </c>
      <c r="U10" s="664">
        <f t="shared" si="1"/>
        <v>100</v>
      </c>
      <c r="V10" s="663" t="s">
        <v>14</v>
      </c>
      <c r="W10" s="664">
        <f t="shared" si="2"/>
        <v>100</v>
      </c>
      <c r="X10" s="665"/>
      <c r="Y10" s="3352"/>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393"/>
      <c r="Q11" s="529" t="str">
        <f t="shared" si="6"/>
        <v>容积率</v>
      </c>
      <c r="R11" s="663" t="s">
        <v>14</v>
      </c>
      <c r="S11" s="664" t="e">
        <f t="shared" si="0"/>
        <v>#N/A</v>
      </c>
      <c r="T11" s="663" t="s">
        <v>14</v>
      </c>
      <c r="U11" s="664" t="e">
        <f t="shared" si="1"/>
        <v>#N/A</v>
      </c>
      <c r="V11" s="663" t="s">
        <v>14</v>
      </c>
      <c r="W11" s="664" t="e">
        <f t="shared" si="2"/>
        <v>#N/A</v>
      </c>
      <c r="X11" s="665"/>
      <c r="Y11" s="3352"/>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393"/>
      <c r="Q12" s="529">
        <f t="shared" si="6"/>
        <v>111</v>
      </c>
      <c r="R12" s="663" t="s">
        <v>14</v>
      </c>
      <c r="S12" s="664">
        <f t="shared" si="0"/>
        <v>100</v>
      </c>
      <c r="T12" s="663" t="s">
        <v>14</v>
      </c>
      <c r="U12" s="664">
        <f t="shared" si="1"/>
        <v>100</v>
      </c>
      <c r="V12" s="663" t="s">
        <v>14</v>
      </c>
      <c r="W12" s="664">
        <f t="shared" si="2"/>
        <v>100</v>
      </c>
      <c r="X12" s="665"/>
      <c r="Y12" s="3352"/>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393"/>
      <c r="Q13" s="529">
        <f t="shared" si="6"/>
        <v>111</v>
      </c>
      <c r="R13" s="663" t="s">
        <v>14</v>
      </c>
      <c r="S13" s="664">
        <f t="shared" si="0"/>
        <v>100</v>
      </c>
      <c r="T13" s="663" t="s">
        <v>14</v>
      </c>
      <c r="U13" s="664">
        <f t="shared" si="1"/>
        <v>100</v>
      </c>
      <c r="V13" s="663" t="s">
        <v>14</v>
      </c>
      <c r="W13" s="664">
        <f t="shared" si="2"/>
        <v>100</v>
      </c>
      <c r="X13" s="665"/>
      <c r="Y13" s="3352"/>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393"/>
      <c r="Q14" s="529">
        <f t="shared" si="6"/>
        <v>111</v>
      </c>
      <c r="R14" s="663" t="s">
        <v>14</v>
      </c>
      <c r="S14" s="664">
        <f t="shared" si="0"/>
        <v>100</v>
      </c>
      <c r="T14" s="663" t="s">
        <v>14</v>
      </c>
      <c r="U14" s="664">
        <f t="shared" si="1"/>
        <v>100</v>
      </c>
      <c r="V14" s="663" t="s">
        <v>14</v>
      </c>
      <c r="W14" s="664">
        <f t="shared" si="2"/>
        <v>100</v>
      </c>
      <c r="X14" s="665"/>
      <c r="Y14" s="3352"/>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13" t="s">
        <v>1691</v>
      </c>
      <c r="Q15" s="1262" t="str">
        <f t="shared" si="6"/>
        <v>商业繁华度</v>
      </c>
      <c r="R15" s="666" t="s">
        <v>14</v>
      </c>
      <c r="S15" s="667">
        <f t="shared" si="0"/>
        <v>100</v>
      </c>
      <c r="T15" s="666" t="s">
        <v>14</v>
      </c>
      <c r="U15" s="667">
        <f t="shared" si="1"/>
        <v>100</v>
      </c>
      <c r="V15" s="666" t="s">
        <v>14</v>
      </c>
      <c r="W15" s="667">
        <f t="shared" si="2"/>
        <v>100</v>
      </c>
      <c r="X15" s="1264"/>
      <c r="Y15" s="3415"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14"/>
      <c r="Q16" s="1262"/>
      <c r="R16" s="666"/>
      <c r="S16" s="667"/>
      <c r="T16" s="666"/>
      <c r="U16" s="667"/>
      <c r="V16" s="666"/>
      <c r="W16" s="667"/>
      <c r="X16" s="1264"/>
      <c r="Y16" s="3416"/>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14"/>
      <c r="Q17" s="1262" t="str">
        <f>B17</f>
        <v>交通便捷度</v>
      </c>
      <c r="R17" s="666" t="s">
        <v>14</v>
      </c>
      <c r="S17" s="667">
        <f>F17</f>
        <v>100</v>
      </c>
      <c r="T17" s="666" t="s">
        <v>14</v>
      </c>
      <c r="U17" s="667">
        <f>H17</f>
        <v>100</v>
      </c>
      <c r="V17" s="666" t="s">
        <v>14</v>
      </c>
      <c r="W17" s="667">
        <f>J17</f>
        <v>100</v>
      </c>
      <c r="X17" s="1264"/>
      <c r="Y17" s="341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14"/>
      <c r="Q18" s="1262"/>
      <c r="R18" s="666"/>
      <c r="S18" s="667"/>
      <c r="T18" s="666"/>
      <c r="U18" s="667"/>
      <c r="V18" s="666"/>
      <c r="W18" s="667"/>
      <c r="X18" s="1264"/>
      <c r="Y18" s="3416"/>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14"/>
      <c r="Q19" s="1262" t="str">
        <f>B19</f>
        <v>公共配套设施</v>
      </c>
      <c r="R19" s="666" t="s">
        <v>14</v>
      </c>
      <c r="S19" s="667">
        <f>F19</f>
        <v>100</v>
      </c>
      <c r="T19" s="666" t="s">
        <v>14</v>
      </c>
      <c r="U19" s="667">
        <f>H19</f>
        <v>100</v>
      </c>
      <c r="V19" s="666" t="s">
        <v>14</v>
      </c>
      <c r="W19" s="667">
        <f>J19</f>
        <v>100</v>
      </c>
      <c r="X19" s="1264"/>
      <c r="Y19" s="341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14"/>
      <c r="Q20" s="1262"/>
      <c r="R20" s="666"/>
      <c r="S20" s="667"/>
      <c r="T20" s="666"/>
      <c r="U20" s="667"/>
      <c r="V20" s="666"/>
      <c r="W20" s="667"/>
      <c r="X20" s="1264"/>
      <c r="Y20" s="3416"/>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14"/>
      <c r="Q21" s="1262" t="str">
        <f>B21</f>
        <v>基础设施水平</v>
      </c>
      <c r="R21" s="666" t="s">
        <v>14</v>
      </c>
      <c r="S21" s="667">
        <f>F21</f>
        <v>100</v>
      </c>
      <c r="T21" s="666" t="s">
        <v>14</v>
      </c>
      <c r="U21" s="667">
        <f>H21</f>
        <v>100</v>
      </c>
      <c r="V21" s="666" t="s">
        <v>14</v>
      </c>
      <c r="W21" s="667">
        <f>J21</f>
        <v>100</v>
      </c>
      <c r="X21" s="1264"/>
      <c r="Y21" s="341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14"/>
      <c r="Q22" s="1262"/>
      <c r="R22" s="666"/>
      <c r="S22" s="667"/>
      <c r="T22" s="666"/>
      <c r="U22" s="667"/>
      <c r="V22" s="666"/>
      <c r="W22" s="667"/>
      <c r="X22" s="1264"/>
      <c r="Y22" s="3416"/>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14"/>
      <c r="Q23" s="1262" t="str">
        <f>B23</f>
        <v>自然及人文环境</v>
      </c>
      <c r="R23" s="666" t="s">
        <v>14</v>
      </c>
      <c r="S23" s="667">
        <f>F23</f>
        <v>100</v>
      </c>
      <c r="T23" s="666" t="s">
        <v>14</v>
      </c>
      <c r="U23" s="667">
        <f>H23</f>
        <v>100</v>
      </c>
      <c r="V23" s="666" t="s">
        <v>14</v>
      </c>
      <c r="W23" s="667">
        <f>J23</f>
        <v>100</v>
      </c>
      <c r="X23" s="1264"/>
      <c r="Y23" s="3416"/>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14"/>
      <c r="Q24" s="1262"/>
      <c r="R24" s="666"/>
      <c r="S24" s="667"/>
      <c r="T24" s="666"/>
      <c r="U24" s="667"/>
      <c r="V24" s="666"/>
      <c r="W24" s="667"/>
      <c r="X24" s="1264"/>
      <c r="Y24" s="3416"/>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14"/>
      <c r="Q25" s="1262" t="str">
        <f t="shared" ref="Q25:Q46" si="11">B25</f>
        <v>临街状况</v>
      </c>
      <c r="R25" s="666" t="s">
        <v>14</v>
      </c>
      <c r="S25" s="667">
        <f>F25</f>
        <v>100</v>
      </c>
      <c r="T25" s="666" t="s">
        <v>14</v>
      </c>
      <c r="U25" s="667">
        <f>H25</f>
        <v>100</v>
      </c>
      <c r="V25" s="666" t="s">
        <v>14</v>
      </c>
      <c r="W25" s="667">
        <f>J25</f>
        <v>100</v>
      </c>
      <c r="X25" s="1264"/>
      <c r="Y25" s="3416"/>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14"/>
      <c r="Q26" s="1262" t="str">
        <f t="shared" si="11"/>
        <v>平面位置/可视性</v>
      </c>
      <c r="R26" s="666" t="s">
        <v>14</v>
      </c>
      <c r="S26" s="667">
        <f>F26</f>
        <v>100</v>
      </c>
      <c r="T26" s="666" t="s">
        <v>14</v>
      </c>
      <c r="U26" s="667">
        <f>H26</f>
        <v>100</v>
      </c>
      <c r="V26" s="666" t="s">
        <v>14</v>
      </c>
      <c r="W26" s="667">
        <f>J26</f>
        <v>100</v>
      </c>
      <c r="X26" s="1264"/>
      <c r="Y26" s="3416"/>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14"/>
      <c r="Q27" s="529" t="str">
        <f t="shared" si="11"/>
        <v>人流量</v>
      </c>
      <c r="R27" s="663" t="s">
        <v>14</v>
      </c>
      <c r="S27" s="664">
        <f>F27</f>
        <v>100</v>
      </c>
      <c r="T27" s="663" t="s">
        <v>14</v>
      </c>
      <c r="U27" s="664">
        <f>H27</f>
        <v>100</v>
      </c>
      <c r="V27" s="663" t="s">
        <v>14</v>
      </c>
      <c r="W27" s="664">
        <f>J27</f>
        <v>100</v>
      </c>
      <c r="X27" s="665"/>
      <c r="Y27" s="3416"/>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1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6"/>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14"/>
      <c r="Q29" s="1262">
        <f t="shared" si="11"/>
        <v>111</v>
      </c>
      <c r="R29" s="666" t="s">
        <v>14</v>
      </c>
      <c r="S29" s="667">
        <f t="shared" si="12"/>
        <v>100</v>
      </c>
      <c r="T29" s="666" t="s">
        <v>14</v>
      </c>
      <c r="U29" s="667">
        <f t="shared" si="13"/>
        <v>100</v>
      </c>
      <c r="V29" s="666" t="s">
        <v>14</v>
      </c>
      <c r="W29" s="667">
        <f t="shared" si="14"/>
        <v>100</v>
      </c>
      <c r="X29" s="1264"/>
      <c r="Y29" s="3416"/>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14"/>
      <c r="Q30" s="1262">
        <f t="shared" si="11"/>
        <v>111</v>
      </c>
      <c r="R30" s="666" t="s">
        <v>14</v>
      </c>
      <c r="S30" s="667">
        <f t="shared" si="12"/>
        <v>100</v>
      </c>
      <c r="T30" s="666" t="s">
        <v>14</v>
      </c>
      <c r="U30" s="667">
        <f t="shared" si="13"/>
        <v>100</v>
      </c>
      <c r="V30" s="666" t="s">
        <v>14</v>
      </c>
      <c r="W30" s="667">
        <f t="shared" si="14"/>
        <v>100</v>
      </c>
      <c r="X30" s="1264"/>
      <c r="Y30" s="3416"/>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14"/>
      <c r="Q31" s="1262">
        <f t="shared" si="11"/>
        <v>111</v>
      </c>
      <c r="R31" s="666" t="s">
        <v>14</v>
      </c>
      <c r="S31" s="667">
        <f t="shared" si="12"/>
        <v>100</v>
      </c>
      <c r="T31" s="666" t="s">
        <v>14</v>
      </c>
      <c r="U31" s="667">
        <f t="shared" si="13"/>
        <v>100</v>
      </c>
      <c r="V31" s="666" t="s">
        <v>14</v>
      </c>
      <c r="W31" s="667">
        <f t="shared" si="14"/>
        <v>100</v>
      </c>
      <c r="X31" s="1264"/>
      <c r="Y31" s="3416"/>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17" t="s">
        <v>1696</v>
      </c>
      <c r="Q32" s="1262" t="str">
        <f t="shared" si="11"/>
        <v>商业类型</v>
      </c>
      <c r="R32" s="666" t="s">
        <v>14</v>
      </c>
      <c r="S32" s="667">
        <f t="shared" si="12"/>
        <v>100</v>
      </c>
      <c r="T32" s="666" t="s">
        <v>14</v>
      </c>
      <c r="U32" s="667">
        <f t="shared" si="13"/>
        <v>100</v>
      </c>
      <c r="V32" s="666" t="s">
        <v>14</v>
      </c>
      <c r="W32" s="667">
        <f t="shared" si="14"/>
        <v>100</v>
      </c>
      <c r="X32" s="1264"/>
      <c r="Y32" s="3420"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18"/>
      <c r="Q33" s="530" t="str">
        <f t="shared" si="11"/>
        <v>项目建筑规模</v>
      </c>
      <c r="R33" s="668" t="s">
        <v>14</v>
      </c>
      <c r="S33" s="669" t="e">
        <f t="shared" si="12"/>
        <v>#N/A</v>
      </c>
      <c r="T33" s="668" t="s">
        <v>14</v>
      </c>
      <c r="U33" s="669" t="e">
        <f t="shared" si="13"/>
        <v>#N/A</v>
      </c>
      <c r="V33" s="668" t="s">
        <v>14</v>
      </c>
      <c r="W33" s="669" t="e">
        <f t="shared" si="14"/>
        <v>#N/A</v>
      </c>
      <c r="X33" s="670"/>
      <c r="Y33" s="3420"/>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18"/>
      <c r="Q34" s="1262" t="str">
        <f t="shared" si="11"/>
        <v>建筑结构</v>
      </c>
      <c r="R34" s="666" t="s">
        <v>14</v>
      </c>
      <c r="S34" s="667">
        <f t="shared" si="12"/>
        <v>100</v>
      </c>
      <c r="T34" s="666" t="s">
        <v>14</v>
      </c>
      <c r="U34" s="667">
        <f t="shared" si="13"/>
        <v>100</v>
      </c>
      <c r="V34" s="666" t="s">
        <v>14</v>
      </c>
      <c r="W34" s="667">
        <f t="shared" si="14"/>
        <v>100</v>
      </c>
      <c r="X34" s="1264"/>
      <c r="Y34" s="3420"/>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18"/>
      <c r="Q35" s="1262" t="str">
        <f t="shared" si="11"/>
        <v>公共部分装修</v>
      </c>
      <c r="R35" s="666" t="s">
        <v>14</v>
      </c>
      <c r="S35" s="667">
        <f t="shared" si="12"/>
        <v>100</v>
      </c>
      <c r="T35" s="666" t="s">
        <v>14</v>
      </c>
      <c r="U35" s="667">
        <f t="shared" si="13"/>
        <v>100</v>
      </c>
      <c r="V35" s="666" t="s">
        <v>14</v>
      </c>
      <c r="W35" s="667">
        <f t="shared" si="14"/>
        <v>100</v>
      </c>
      <c r="X35" s="1264"/>
      <c r="Y35" s="3420"/>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18"/>
      <c r="Q36" s="1262" t="str">
        <f t="shared" si="11"/>
        <v>成新度</v>
      </c>
      <c r="R36" s="666" t="s">
        <v>14</v>
      </c>
      <c r="S36" s="667" t="e">
        <f t="shared" si="12"/>
        <v>#N/A</v>
      </c>
      <c r="T36" s="666" t="s">
        <v>14</v>
      </c>
      <c r="U36" s="667" t="e">
        <f t="shared" si="13"/>
        <v>#N/A</v>
      </c>
      <c r="V36" s="666" t="s">
        <v>14</v>
      </c>
      <c r="W36" s="667" t="e">
        <f t="shared" si="14"/>
        <v>#N/A</v>
      </c>
      <c r="X36" s="1264"/>
      <c r="Y36" s="3420"/>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18"/>
      <c r="Q37" s="529" t="str">
        <f t="shared" si="11"/>
        <v>市政基础设施</v>
      </c>
      <c r="R37" s="663" t="s">
        <v>14</v>
      </c>
      <c r="S37" s="664">
        <f t="shared" si="12"/>
        <v>100</v>
      </c>
      <c r="T37" s="663" t="s">
        <v>14</v>
      </c>
      <c r="U37" s="664">
        <f t="shared" si="13"/>
        <v>100</v>
      </c>
      <c r="V37" s="663" t="s">
        <v>14</v>
      </c>
      <c r="W37" s="664">
        <f t="shared" si="14"/>
        <v>100</v>
      </c>
      <c r="X37" s="665"/>
      <c r="Y37" s="3420"/>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18" t="s">
        <v>1696</v>
      </c>
      <c r="Q38" s="1262" t="str">
        <f t="shared" si="11"/>
        <v>业态</v>
      </c>
      <c r="R38" s="666" t="s">
        <v>14</v>
      </c>
      <c r="S38" s="667">
        <f t="shared" si="12"/>
        <v>100</v>
      </c>
      <c r="T38" s="666" t="s">
        <v>14</v>
      </c>
      <c r="U38" s="667">
        <f t="shared" si="13"/>
        <v>100</v>
      </c>
      <c r="V38" s="666" t="s">
        <v>14</v>
      </c>
      <c r="W38" s="667">
        <f t="shared" si="14"/>
        <v>100</v>
      </c>
      <c r="X38" s="1264"/>
      <c r="Y38" s="3420"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18"/>
      <c r="Q39" s="1262" t="str">
        <f t="shared" si="11"/>
        <v>层高</v>
      </c>
      <c r="R39" s="666" t="s">
        <v>14</v>
      </c>
      <c r="S39" s="667">
        <f t="shared" si="12"/>
        <v>100</v>
      </c>
      <c r="T39" s="666" t="s">
        <v>14</v>
      </c>
      <c r="U39" s="667">
        <f t="shared" si="13"/>
        <v>100</v>
      </c>
      <c r="V39" s="666" t="s">
        <v>14</v>
      </c>
      <c r="W39" s="667">
        <f t="shared" si="14"/>
        <v>100</v>
      </c>
      <c r="X39" s="1264"/>
      <c r="Y39" s="3420"/>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18"/>
      <c r="Q40" s="1262" t="str">
        <f t="shared" si="11"/>
        <v>单套建筑面积</v>
      </c>
      <c r="R40" s="666" t="s">
        <v>14</v>
      </c>
      <c r="S40" s="667">
        <f t="shared" si="12"/>
        <v>100</v>
      </c>
      <c r="T40" s="666" t="s">
        <v>14</v>
      </c>
      <c r="U40" s="667">
        <f t="shared" si="13"/>
        <v>100</v>
      </c>
      <c r="V40" s="666" t="s">
        <v>14</v>
      </c>
      <c r="W40" s="667">
        <f t="shared" si="14"/>
        <v>100</v>
      </c>
      <c r="X40" s="1264"/>
      <c r="Y40" s="3420"/>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18"/>
      <c r="Q41" s="530" t="str">
        <f t="shared" si="11"/>
        <v>进深比</v>
      </c>
      <c r="R41" s="668" t="s">
        <v>14</v>
      </c>
      <c r="S41" s="669">
        <f t="shared" si="12"/>
        <v>100</v>
      </c>
      <c r="T41" s="668" t="s">
        <v>14</v>
      </c>
      <c r="U41" s="669">
        <f t="shared" si="13"/>
        <v>100</v>
      </c>
      <c r="V41" s="668" t="s">
        <v>14</v>
      </c>
      <c r="W41" s="669">
        <f t="shared" si="14"/>
        <v>100</v>
      </c>
      <c r="X41" s="670"/>
      <c r="Y41" s="3420"/>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18"/>
      <c r="Q42" s="1262" t="str">
        <f t="shared" si="11"/>
        <v>内部装修</v>
      </c>
      <c r="R42" s="666" t="s">
        <v>14</v>
      </c>
      <c r="S42" s="667">
        <f t="shared" si="12"/>
        <v>100</v>
      </c>
      <c r="T42" s="666" t="s">
        <v>14</v>
      </c>
      <c r="U42" s="667">
        <f t="shared" si="13"/>
        <v>100</v>
      </c>
      <c r="V42" s="666" t="s">
        <v>14</v>
      </c>
      <c r="W42" s="667">
        <f t="shared" si="14"/>
        <v>100</v>
      </c>
      <c r="X42" s="1264"/>
      <c r="Y42" s="3420"/>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18"/>
      <c r="Q43" s="1262" t="str">
        <f t="shared" si="11"/>
        <v>内部装修维护情况</v>
      </c>
      <c r="R43" s="666" t="s">
        <v>14</v>
      </c>
      <c r="S43" s="667">
        <f t="shared" si="12"/>
        <v>100</v>
      </c>
      <c r="T43" s="666" t="s">
        <v>14</v>
      </c>
      <c r="U43" s="667">
        <f t="shared" si="13"/>
        <v>100</v>
      </c>
      <c r="V43" s="666" t="s">
        <v>14</v>
      </c>
      <c r="W43" s="667">
        <f t="shared" si="14"/>
        <v>100</v>
      </c>
      <c r="X43" s="1264"/>
      <c r="Y43" s="3420"/>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18"/>
      <c r="Q44" s="529">
        <f t="shared" si="11"/>
        <v>111</v>
      </c>
      <c r="R44" s="663" t="s">
        <v>14</v>
      </c>
      <c r="S44" s="664">
        <f t="shared" si="12"/>
        <v>100</v>
      </c>
      <c r="T44" s="663" t="s">
        <v>14</v>
      </c>
      <c r="U44" s="664">
        <f t="shared" si="13"/>
        <v>100</v>
      </c>
      <c r="V44" s="663" t="s">
        <v>14</v>
      </c>
      <c r="W44" s="664">
        <f t="shared" si="14"/>
        <v>100</v>
      </c>
      <c r="X44" s="665"/>
      <c r="Y44" s="3420"/>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18"/>
      <c r="Q45" s="1262">
        <f t="shared" si="11"/>
        <v>111</v>
      </c>
      <c r="R45" s="666" t="s">
        <v>14</v>
      </c>
      <c r="S45" s="667">
        <f t="shared" si="12"/>
        <v>100</v>
      </c>
      <c r="T45" s="666" t="s">
        <v>14</v>
      </c>
      <c r="U45" s="667">
        <f t="shared" si="13"/>
        <v>100</v>
      </c>
      <c r="V45" s="666" t="s">
        <v>14</v>
      </c>
      <c r="W45" s="667">
        <f t="shared" si="14"/>
        <v>100</v>
      </c>
      <c r="X45" s="1264"/>
      <c r="Y45" s="3420"/>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19"/>
      <c r="Q46" s="1262">
        <f t="shared" si="11"/>
        <v>111</v>
      </c>
      <c r="R46" s="666" t="s">
        <v>14</v>
      </c>
      <c r="S46" s="667">
        <f t="shared" si="12"/>
        <v>100</v>
      </c>
      <c r="T46" s="666" t="s">
        <v>14</v>
      </c>
      <c r="U46" s="667">
        <f t="shared" si="13"/>
        <v>100</v>
      </c>
      <c r="V46" s="666" t="s">
        <v>14</v>
      </c>
      <c r="W46" s="667">
        <f t="shared" si="14"/>
        <v>100</v>
      </c>
      <c r="X46" s="1264"/>
      <c r="Y46" s="3421"/>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3"/>
      <c r="M47" s="2486"/>
      <c r="N47" s="2486"/>
      <c r="O47" s="2486"/>
      <c r="P47" s="3422" t="str">
        <f>A47</f>
        <v>成交单价（元/平方米）</v>
      </c>
      <c r="Q47" s="3422"/>
      <c r="R47" s="3410">
        <f>E47</f>
        <v>0</v>
      </c>
      <c r="S47" s="3410"/>
      <c r="T47" s="3410">
        <f>G47</f>
        <v>0</v>
      </c>
      <c r="U47" s="3410"/>
      <c r="V47" s="3410">
        <f>I47</f>
        <v>0</v>
      </c>
      <c r="W47" s="3410"/>
      <c r="X47" s="384"/>
      <c r="Y47" s="672"/>
      <c r="Z47" s="384"/>
      <c r="AA47" s="384"/>
      <c r="AB47" s="384"/>
      <c r="AC47" s="384"/>
    </row>
    <row r="48" spans="1:29" ht="15.75" thickBot="1">
      <c r="A48" s="422" t="s">
        <v>1793</v>
      </c>
      <c r="B48" s="423"/>
      <c r="C48" s="1081" t="e">
        <f>R49</f>
        <v>#DIV/0!</v>
      </c>
      <c r="D48" s="2140" t="s">
        <v>2136</v>
      </c>
      <c r="E48" s="1082" t="e">
        <f>R48</f>
        <v>#DIV/0!</v>
      </c>
      <c r="F48" s="2141"/>
      <c r="G48" s="1081" t="e">
        <f>T48</f>
        <v>#DIV/0!</v>
      </c>
      <c r="H48" s="2141"/>
      <c r="I48" s="1082" t="e">
        <f>V48</f>
        <v>#DIV/0!</v>
      </c>
      <c r="J48" s="2141"/>
      <c r="K48" s="2143">
        <f>F48+H48+J48</f>
        <v>0</v>
      </c>
      <c r="L48" s="2493"/>
      <c r="M48" s="2486"/>
      <c r="N48" s="2486"/>
      <c r="O48" s="2486"/>
      <c r="P48" s="3422" t="str">
        <f>A48</f>
        <v>比较价值（元/平方米）</v>
      </c>
      <c r="Q48" s="3422"/>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39" t="str">
        <f>A49</f>
        <v>估价对象XX用房的比较价值（楼面单价，元/平方米）</v>
      </c>
      <c r="Q49" s="3440"/>
      <c r="R49" s="3487" t="e">
        <f>IF(F1="售价",ROUND(IF(D48="简单平均",AVERAGE(R48:V48),R48*F48+T48*H48+V48*J48),0),ROUND(IF(D48="简单平均",AVERAGE(R48:V48),R48*F48+T48*H48+V48*J48),1))</f>
        <v>#DIV/0!</v>
      </c>
      <c r="S49" s="3487"/>
      <c r="T49" s="3487"/>
      <c r="U49" s="3487"/>
      <c r="V49" s="3487"/>
      <c r="W49" s="3487"/>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1" customFormat="1" ht="15">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7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98928.560000000012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7" t="s">
        <v>1770</v>
      </c>
      <c r="D4" s="3398"/>
      <c r="E4" s="3399" t="s">
        <v>1771</v>
      </c>
      <c r="F4" s="3400"/>
      <c r="G4" s="3397" t="s">
        <v>1772</v>
      </c>
      <c r="H4" s="3398"/>
      <c r="I4" s="3397" t="s">
        <v>1773</v>
      </c>
      <c r="J4" s="3398"/>
      <c r="K4" s="536" t="s">
        <v>1774</v>
      </c>
      <c r="L4" s="859"/>
      <c r="M4" s="860"/>
      <c r="N4" s="860"/>
      <c r="O4" s="860"/>
      <c r="P4" s="3433" t="s">
        <v>1775</v>
      </c>
      <c r="Q4" s="3434"/>
      <c r="R4" s="3430" t="s">
        <v>1771</v>
      </c>
      <c r="S4" s="3431"/>
      <c r="T4" s="3430" t="s">
        <v>1772</v>
      </c>
      <c r="U4" s="3431"/>
      <c r="V4" s="3410" t="s">
        <v>1773</v>
      </c>
      <c r="W4" s="3410"/>
      <c r="X4" s="1264"/>
      <c r="Y4" s="3430" t="s">
        <v>1775</v>
      </c>
      <c r="Z4" s="3431"/>
      <c r="AA4" s="3429" t="s">
        <v>1771</v>
      </c>
      <c r="AB4" s="3377" t="s">
        <v>1772</v>
      </c>
      <c r="AC4" s="3429" t="s">
        <v>1773</v>
      </c>
    </row>
    <row r="5" spans="1:29" ht="15">
      <c r="A5" s="347"/>
      <c r="B5" s="348"/>
      <c r="C5" s="3432" t="s">
        <v>1673</v>
      </c>
      <c r="D5" s="3388"/>
      <c r="E5" s="3486" t="s">
        <v>1674</v>
      </c>
      <c r="F5" s="3386"/>
      <c r="G5" s="3432" t="s">
        <v>1675</v>
      </c>
      <c r="H5" s="3388"/>
      <c r="I5" s="3432" t="s">
        <v>1676</v>
      </c>
      <c r="J5" s="3388"/>
      <c r="K5" s="536"/>
      <c r="L5" s="859"/>
      <c r="M5" s="860"/>
      <c r="N5" s="860"/>
      <c r="O5" s="860"/>
      <c r="P5" s="3435"/>
      <c r="Q5" s="3404"/>
      <c r="R5" s="3383"/>
      <c r="S5" s="3384"/>
      <c r="T5" s="3383"/>
      <c r="U5" s="3384"/>
      <c r="V5" s="3410"/>
      <c r="W5" s="3410"/>
      <c r="X5" s="1264"/>
      <c r="Y5" s="3383"/>
      <c r="Z5" s="3384"/>
      <c r="AA5" s="3377"/>
      <c r="AB5" s="3377"/>
      <c r="AC5" s="3377"/>
    </row>
    <row r="6" spans="1:29" ht="15.75" thickBot="1">
      <c r="A6" s="349"/>
      <c r="B6" s="350"/>
      <c r="C6" s="3389" t="s">
        <v>1677</v>
      </c>
      <c r="D6" s="3390"/>
      <c r="E6" s="3391" t="s">
        <v>1677</v>
      </c>
      <c r="F6" s="3392"/>
      <c r="G6" s="3389" t="s">
        <v>1677</v>
      </c>
      <c r="H6" s="3390"/>
      <c r="I6" s="3389" t="s">
        <v>1677</v>
      </c>
      <c r="J6" s="3390"/>
      <c r="K6" s="536" t="s">
        <v>1678</v>
      </c>
      <c r="L6" s="859"/>
      <c r="M6" s="860"/>
      <c r="N6" s="860"/>
      <c r="O6" s="860"/>
      <c r="P6" s="3436"/>
      <c r="Q6" s="3406"/>
      <c r="R6" s="3383"/>
      <c r="S6" s="3384"/>
      <c r="T6" s="3407"/>
      <c r="U6" s="3408"/>
      <c r="V6" s="3410"/>
      <c r="W6" s="3410"/>
      <c r="X6" s="1264"/>
      <c r="Y6" s="3407"/>
      <c r="Z6" s="3408"/>
      <c r="AA6" s="3378"/>
      <c r="AB6" s="3378"/>
      <c r="AC6" s="3378"/>
    </row>
    <row r="7" spans="1:29" s="101" customFormat="1" ht="15.75" thickBot="1">
      <c r="A7" s="351" t="s">
        <v>1679</v>
      </c>
      <c r="B7" s="352"/>
      <c r="C7" s="353">
        <f>'数据-取费表'!B2</f>
        <v>45600</v>
      </c>
      <c r="D7" s="354">
        <v>100</v>
      </c>
      <c r="E7" s="355"/>
      <c r="F7" s="356">
        <f>SUMIF(52:52,YEAR(E7)&amp;"-"&amp;MONTH(E7),53:53)</f>
        <v>0</v>
      </c>
      <c r="G7" s="355"/>
      <c r="H7" s="354">
        <f>SUMIF(52:52,YEAR(G7)&amp;"-"&amp;MONTH(G7),53:53)</f>
        <v>0</v>
      </c>
      <c r="I7" s="355"/>
      <c r="J7" s="354">
        <f>SUMIF(52:52,YEAR(I7)&amp;"-"&amp;MONTH(I7),53:53)</f>
        <v>0</v>
      </c>
      <c r="K7" s="37"/>
      <c r="L7" s="861"/>
      <c r="M7" s="862"/>
      <c r="N7" s="862"/>
      <c r="O7" s="862"/>
      <c r="P7" s="3379" t="s">
        <v>1680</v>
      </c>
      <c r="Q7" s="3412"/>
      <c r="R7" s="663" t="s">
        <v>14</v>
      </c>
      <c r="S7" s="664">
        <f t="shared" ref="S7:S15" si="0">F7</f>
        <v>0</v>
      </c>
      <c r="T7" s="663" t="s">
        <v>14</v>
      </c>
      <c r="U7" s="664">
        <f t="shared" ref="U7:U15" si="1">H7</f>
        <v>0</v>
      </c>
      <c r="V7" s="663" t="s">
        <v>14</v>
      </c>
      <c r="W7" s="664">
        <f t="shared" ref="W7:W15" si="2">J7</f>
        <v>0</v>
      </c>
      <c r="X7" s="665"/>
      <c r="Y7" s="3379" t="s">
        <v>1680</v>
      </c>
      <c r="Z7" s="3380"/>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379" t="s">
        <v>1683</v>
      </c>
      <c r="Q8" s="3380"/>
      <c r="R8" s="663" t="s">
        <v>14</v>
      </c>
      <c r="S8" s="664">
        <f t="shared" si="0"/>
        <v>100</v>
      </c>
      <c r="T8" s="663" t="s">
        <v>14</v>
      </c>
      <c r="U8" s="664">
        <f t="shared" si="1"/>
        <v>100</v>
      </c>
      <c r="V8" s="663" t="s">
        <v>14</v>
      </c>
      <c r="W8" s="664">
        <f t="shared" si="2"/>
        <v>100</v>
      </c>
      <c r="X8" s="665"/>
      <c r="Y8" s="3379" t="s">
        <v>1683</v>
      </c>
      <c r="Z8" s="3380"/>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22" t="s">
        <v>1686</v>
      </c>
      <c r="Q9" s="529" t="str">
        <f t="shared" ref="Q9:Q15" si="6">B9</f>
        <v>用途</v>
      </c>
      <c r="R9" s="663" t="s">
        <v>14</v>
      </c>
      <c r="S9" s="664">
        <f t="shared" si="0"/>
        <v>100</v>
      </c>
      <c r="T9" s="663" t="s">
        <v>14</v>
      </c>
      <c r="U9" s="664">
        <f t="shared" si="1"/>
        <v>100</v>
      </c>
      <c r="V9" s="663" t="s">
        <v>14</v>
      </c>
      <c r="W9" s="664">
        <f t="shared" si="2"/>
        <v>100</v>
      </c>
      <c r="X9" s="665"/>
      <c r="Y9" s="3352"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422"/>
      <c r="Q10" s="529" t="str">
        <f t="shared" si="6"/>
        <v>土地使用年限（年）</v>
      </c>
      <c r="R10" s="663" t="s">
        <v>14</v>
      </c>
      <c r="S10" s="664">
        <f t="shared" si="0"/>
        <v>100</v>
      </c>
      <c r="T10" s="663" t="s">
        <v>14</v>
      </c>
      <c r="U10" s="664">
        <f t="shared" si="1"/>
        <v>100</v>
      </c>
      <c r="V10" s="663" t="s">
        <v>14</v>
      </c>
      <c r="W10" s="664">
        <f t="shared" si="2"/>
        <v>100</v>
      </c>
      <c r="X10" s="665"/>
      <c r="Y10" s="3352"/>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2"/>
      <c r="Q11" s="529" t="str">
        <f t="shared" si="6"/>
        <v>容积率</v>
      </c>
      <c r="R11" s="663" t="s">
        <v>14</v>
      </c>
      <c r="S11" s="664">
        <f t="shared" si="0"/>
        <v>100</v>
      </c>
      <c r="T11" s="663" t="s">
        <v>14</v>
      </c>
      <c r="U11" s="664">
        <f t="shared" si="1"/>
        <v>100</v>
      </c>
      <c r="V11" s="663" t="s">
        <v>14</v>
      </c>
      <c r="W11" s="664">
        <f t="shared" si="2"/>
        <v>100</v>
      </c>
      <c r="X11" s="665"/>
      <c r="Y11" s="3352"/>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22"/>
      <c r="Q12" s="529">
        <f t="shared" si="6"/>
        <v>111</v>
      </c>
      <c r="R12" s="663" t="s">
        <v>14</v>
      </c>
      <c r="S12" s="664">
        <f t="shared" si="0"/>
        <v>100</v>
      </c>
      <c r="T12" s="663" t="s">
        <v>14</v>
      </c>
      <c r="U12" s="664">
        <f t="shared" si="1"/>
        <v>100</v>
      </c>
      <c r="V12" s="663" t="s">
        <v>14</v>
      </c>
      <c r="W12" s="664">
        <f t="shared" si="2"/>
        <v>100</v>
      </c>
      <c r="X12" s="665"/>
      <c r="Y12" s="3352"/>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22"/>
      <c r="Q13" s="529">
        <f t="shared" si="6"/>
        <v>111</v>
      </c>
      <c r="R13" s="663" t="s">
        <v>14</v>
      </c>
      <c r="S13" s="664">
        <f t="shared" si="0"/>
        <v>100</v>
      </c>
      <c r="T13" s="663" t="s">
        <v>14</v>
      </c>
      <c r="U13" s="664">
        <f t="shared" si="1"/>
        <v>100</v>
      </c>
      <c r="V13" s="663" t="s">
        <v>14</v>
      </c>
      <c r="W13" s="664">
        <f t="shared" si="2"/>
        <v>100</v>
      </c>
      <c r="X13" s="665"/>
      <c r="Y13" s="3352"/>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2"/>
      <c r="Q14" s="529">
        <f t="shared" si="6"/>
        <v>111</v>
      </c>
      <c r="R14" s="663" t="s">
        <v>14</v>
      </c>
      <c r="S14" s="664">
        <f t="shared" si="0"/>
        <v>100</v>
      </c>
      <c r="T14" s="663" t="s">
        <v>14</v>
      </c>
      <c r="U14" s="664">
        <f t="shared" si="1"/>
        <v>100</v>
      </c>
      <c r="V14" s="663" t="s">
        <v>14</v>
      </c>
      <c r="W14" s="664">
        <f t="shared" si="2"/>
        <v>100</v>
      </c>
      <c r="X14" s="665"/>
      <c r="Y14" s="3352"/>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5" t="s">
        <v>1691</v>
      </c>
      <c r="Q15" s="1262" t="str">
        <f t="shared" si="6"/>
        <v>产业集聚程度</v>
      </c>
      <c r="R15" s="666" t="s">
        <v>14</v>
      </c>
      <c r="S15" s="667">
        <f t="shared" si="0"/>
        <v>100</v>
      </c>
      <c r="T15" s="666" t="s">
        <v>14</v>
      </c>
      <c r="U15" s="667">
        <f t="shared" si="1"/>
        <v>100</v>
      </c>
      <c r="V15" s="666" t="s">
        <v>14</v>
      </c>
      <c r="W15" s="667">
        <f t="shared" si="2"/>
        <v>100</v>
      </c>
      <c r="X15" s="1264"/>
      <c r="Y15" s="3415"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6"/>
      <c r="Q16" s="1262"/>
      <c r="R16" s="666"/>
      <c r="S16" s="667"/>
      <c r="T16" s="666"/>
      <c r="U16" s="667"/>
      <c r="V16" s="666"/>
      <c r="W16" s="667"/>
      <c r="X16" s="1264"/>
      <c r="Y16" s="3416"/>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6"/>
      <c r="Q17" s="1262" t="str">
        <f>B17</f>
        <v>交通便捷度</v>
      </c>
      <c r="R17" s="666" t="s">
        <v>14</v>
      </c>
      <c r="S17" s="667">
        <f>F17</f>
        <v>100</v>
      </c>
      <c r="T17" s="666" t="s">
        <v>14</v>
      </c>
      <c r="U17" s="667">
        <f>H17</f>
        <v>100</v>
      </c>
      <c r="V17" s="666" t="s">
        <v>14</v>
      </c>
      <c r="W17" s="667">
        <f>J17</f>
        <v>100</v>
      </c>
      <c r="X17" s="1264"/>
      <c r="Y17" s="341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6"/>
      <c r="Q18" s="1262"/>
      <c r="R18" s="666"/>
      <c r="S18" s="667"/>
      <c r="T18" s="666"/>
      <c r="U18" s="667"/>
      <c r="V18" s="666"/>
      <c r="W18" s="667"/>
      <c r="X18" s="1264"/>
      <c r="Y18" s="3416"/>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6"/>
      <c r="Q19" s="1262" t="str">
        <f>B19</f>
        <v>公共配套设施</v>
      </c>
      <c r="R19" s="666" t="s">
        <v>14</v>
      </c>
      <c r="S19" s="667">
        <f>F19</f>
        <v>100</v>
      </c>
      <c r="T19" s="666" t="s">
        <v>14</v>
      </c>
      <c r="U19" s="667">
        <f>H19</f>
        <v>100</v>
      </c>
      <c r="V19" s="666" t="s">
        <v>14</v>
      </c>
      <c r="W19" s="667">
        <f>J19</f>
        <v>100</v>
      </c>
      <c r="X19" s="1264"/>
      <c r="Y19" s="341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6"/>
      <c r="Q20" s="1262"/>
      <c r="R20" s="666"/>
      <c r="S20" s="667"/>
      <c r="T20" s="666"/>
      <c r="U20" s="667"/>
      <c r="V20" s="666"/>
      <c r="W20" s="667"/>
      <c r="X20" s="1264"/>
      <c r="Y20" s="3416"/>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6"/>
      <c r="Q21" s="1262" t="str">
        <f>B21</f>
        <v>基础设施水平</v>
      </c>
      <c r="R21" s="666" t="s">
        <v>14</v>
      </c>
      <c r="S21" s="667">
        <f>F21</f>
        <v>100</v>
      </c>
      <c r="T21" s="666" t="s">
        <v>14</v>
      </c>
      <c r="U21" s="667">
        <f>H21</f>
        <v>100</v>
      </c>
      <c r="V21" s="666" t="s">
        <v>14</v>
      </c>
      <c r="W21" s="667">
        <f>J21</f>
        <v>100</v>
      </c>
      <c r="X21" s="1264"/>
      <c r="Y21" s="341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6"/>
      <c r="Q22" s="1262"/>
      <c r="R22" s="666"/>
      <c r="S22" s="667"/>
      <c r="T22" s="666"/>
      <c r="U22" s="667"/>
      <c r="V22" s="666"/>
      <c r="W22" s="667"/>
      <c r="X22" s="1264"/>
      <c r="Y22" s="3416"/>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6"/>
      <c r="Q23" s="1262" t="str">
        <f>B23</f>
        <v>环境质量</v>
      </c>
      <c r="R23" s="666" t="s">
        <v>14</v>
      </c>
      <c r="S23" s="667">
        <f>F23</f>
        <v>100</v>
      </c>
      <c r="T23" s="666" t="s">
        <v>14</v>
      </c>
      <c r="U23" s="667">
        <f>H23</f>
        <v>100</v>
      </c>
      <c r="V23" s="666" t="s">
        <v>14</v>
      </c>
      <c r="W23" s="667">
        <f>J23</f>
        <v>100</v>
      </c>
      <c r="X23" s="1264"/>
      <c r="Y23" s="3416"/>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6"/>
      <c r="Q24" s="1262"/>
      <c r="R24" s="666"/>
      <c r="S24" s="667"/>
      <c r="T24" s="666"/>
      <c r="U24" s="667"/>
      <c r="V24" s="666"/>
      <c r="W24" s="667"/>
      <c r="X24" s="1264"/>
      <c r="Y24" s="3416"/>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6"/>
      <c r="Q25" s="1262">
        <f>B25</f>
        <v>111</v>
      </c>
      <c r="R25" s="666" t="s">
        <v>14</v>
      </c>
      <c r="S25" s="667">
        <f>F25</f>
        <v>100</v>
      </c>
      <c r="T25" s="666" t="s">
        <v>14</v>
      </c>
      <c r="U25" s="667">
        <f>H25</f>
        <v>100</v>
      </c>
      <c r="V25" s="666" t="s">
        <v>14</v>
      </c>
      <c r="W25" s="667">
        <f>J25</f>
        <v>100</v>
      </c>
      <c r="X25" s="1264"/>
      <c r="Y25" s="3416"/>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6"/>
      <c r="Q26" s="1262">
        <f t="shared" ref="Q26:Q40" si="11">B26</f>
        <v>111</v>
      </c>
      <c r="R26" s="666" t="s">
        <v>14</v>
      </c>
      <c r="S26" s="667">
        <f>F26</f>
        <v>100</v>
      </c>
      <c r="T26" s="666" t="s">
        <v>14</v>
      </c>
      <c r="U26" s="667">
        <f>H26</f>
        <v>100</v>
      </c>
      <c r="V26" s="666" t="s">
        <v>14</v>
      </c>
      <c r="W26" s="667">
        <f>J26</f>
        <v>100</v>
      </c>
      <c r="X26" s="1264"/>
      <c r="Y26" s="3416"/>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6"/>
      <c r="Q27" s="529">
        <f t="shared" si="11"/>
        <v>111</v>
      </c>
      <c r="R27" s="663" t="s">
        <v>14</v>
      </c>
      <c r="S27" s="664">
        <f>F27</f>
        <v>100</v>
      </c>
      <c r="T27" s="663" t="s">
        <v>14</v>
      </c>
      <c r="U27" s="664">
        <f>H27</f>
        <v>100</v>
      </c>
      <c r="V27" s="663" t="s">
        <v>14</v>
      </c>
      <c r="W27" s="664">
        <f>J27</f>
        <v>100</v>
      </c>
      <c r="X27" s="665"/>
      <c r="Y27" s="3416"/>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6"/>
      <c r="Q28" s="1262">
        <f t="shared" si="11"/>
        <v>111</v>
      </c>
      <c r="R28" s="666" t="s">
        <v>14</v>
      </c>
      <c r="S28" s="667">
        <f t="shared" ref="S28:S40" si="12">F28</f>
        <v>100</v>
      </c>
      <c r="T28" s="666" t="s">
        <v>14</v>
      </c>
      <c r="U28" s="667">
        <f t="shared" ref="U28:U40" si="13">H28</f>
        <v>100</v>
      </c>
      <c r="V28" s="666" t="s">
        <v>14</v>
      </c>
      <c r="W28" s="667">
        <f t="shared" ref="W28:W40" si="14">J28</f>
        <v>100</v>
      </c>
      <c r="X28" s="1264"/>
      <c r="Y28" s="3416"/>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7" t="s">
        <v>1696</v>
      </c>
      <c r="Q29" s="1262" t="str">
        <f t="shared" si="11"/>
        <v>建筑类型</v>
      </c>
      <c r="R29" s="666" t="s">
        <v>14</v>
      </c>
      <c r="S29" s="667">
        <f t="shared" si="12"/>
        <v>100</v>
      </c>
      <c r="T29" s="666" t="s">
        <v>14</v>
      </c>
      <c r="U29" s="667">
        <f t="shared" si="13"/>
        <v>100</v>
      </c>
      <c r="V29" s="666" t="s">
        <v>14</v>
      </c>
      <c r="W29" s="667">
        <f t="shared" si="14"/>
        <v>100</v>
      </c>
      <c r="X29" s="1264"/>
      <c r="Y29" s="3420"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0"/>
      <c r="Q30" s="530" t="str">
        <f t="shared" si="11"/>
        <v>项目建筑规模</v>
      </c>
      <c r="R30" s="668" t="s">
        <v>14</v>
      </c>
      <c r="S30" s="669" t="e">
        <f t="shared" si="12"/>
        <v>#N/A</v>
      </c>
      <c r="T30" s="668" t="s">
        <v>14</v>
      </c>
      <c r="U30" s="669" t="e">
        <f t="shared" si="13"/>
        <v>#N/A</v>
      </c>
      <c r="V30" s="668" t="s">
        <v>14</v>
      </c>
      <c r="W30" s="669" t="e">
        <f t="shared" si="14"/>
        <v>#N/A</v>
      </c>
      <c r="X30" s="670"/>
      <c r="Y30" s="3420"/>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0"/>
      <c r="Q31" s="1262" t="str">
        <f t="shared" si="11"/>
        <v>建筑结构</v>
      </c>
      <c r="R31" s="666" t="s">
        <v>14</v>
      </c>
      <c r="S31" s="667">
        <f t="shared" si="12"/>
        <v>100</v>
      </c>
      <c r="T31" s="666" t="s">
        <v>14</v>
      </c>
      <c r="U31" s="667">
        <f t="shared" si="13"/>
        <v>100</v>
      </c>
      <c r="V31" s="666" t="s">
        <v>14</v>
      </c>
      <c r="W31" s="667">
        <f t="shared" si="14"/>
        <v>100</v>
      </c>
      <c r="X31" s="1264"/>
      <c r="Y31" s="3420"/>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0"/>
      <c r="Q32" s="1262" t="str">
        <f t="shared" si="11"/>
        <v>公共部分装修</v>
      </c>
      <c r="R32" s="666" t="s">
        <v>14</v>
      </c>
      <c r="S32" s="667">
        <f t="shared" si="12"/>
        <v>100</v>
      </c>
      <c r="T32" s="666" t="s">
        <v>14</v>
      </c>
      <c r="U32" s="667">
        <f t="shared" si="13"/>
        <v>100</v>
      </c>
      <c r="V32" s="666" t="s">
        <v>14</v>
      </c>
      <c r="W32" s="667">
        <f t="shared" si="14"/>
        <v>100</v>
      </c>
      <c r="X32" s="1264"/>
      <c r="Y32" s="3420"/>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0"/>
      <c r="Q33" s="1262" t="str">
        <f t="shared" si="11"/>
        <v>成新度</v>
      </c>
      <c r="R33" s="666" t="s">
        <v>14</v>
      </c>
      <c r="S33" s="667" t="e">
        <f t="shared" si="12"/>
        <v>#N/A</v>
      </c>
      <c r="T33" s="666" t="s">
        <v>14</v>
      </c>
      <c r="U33" s="667" t="e">
        <f t="shared" si="13"/>
        <v>#N/A</v>
      </c>
      <c r="V33" s="666" t="s">
        <v>14</v>
      </c>
      <c r="W33" s="667" t="e">
        <f t="shared" si="14"/>
        <v>#N/A</v>
      </c>
      <c r="X33" s="1264"/>
      <c r="Y33" s="3420"/>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0"/>
      <c r="Q34" s="529" t="str">
        <f t="shared" si="11"/>
        <v>物业管理</v>
      </c>
      <c r="R34" s="663" t="s">
        <v>14</v>
      </c>
      <c r="S34" s="664">
        <f t="shared" si="12"/>
        <v>100</v>
      </c>
      <c r="T34" s="663" t="s">
        <v>14</v>
      </c>
      <c r="U34" s="664">
        <f t="shared" si="13"/>
        <v>100</v>
      </c>
      <c r="V34" s="663" t="s">
        <v>14</v>
      </c>
      <c r="W34" s="664">
        <f t="shared" si="14"/>
        <v>100</v>
      </c>
      <c r="X34" s="665"/>
      <c r="Y34" s="3420"/>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0" t="s">
        <v>1696</v>
      </c>
      <c r="Q35" s="1262" t="str">
        <f t="shared" si="11"/>
        <v>市政基础设施</v>
      </c>
      <c r="R35" s="666" t="s">
        <v>14</v>
      </c>
      <c r="S35" s="667">
        <f t="shared" si="12"/>
        <v>100</v>
      </c>
      <c r="T35" s="666" t="s">
        <v>14</v>
      </c>
      <c r="U35" s="667">
        <f t="shared" si="13"/>
        <v>100</v>
      </c>
      <c r="V35" s="666" t="s">
        <v>14</v>
      </c>
      <c r="W35" s="667">
        <f t="shared" si="14"/>
        <v>100</v>
      </c>
      <c r="X35" s="1264"/>
      <c r="Y35" s="3420"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0"/>
      <c r="Q36" s="1262" t="str">
        <f t="shared" si="11"/>
        <v>内部装修</v>
      </c>
      <c r="R36" s="666" t="s">
        <v>14</v>
      </c>
      <c r="S36" s="667">
        <f t="shared" si="12"/>
        <v>100</v>
      </c>
      <c r="T36" s="666" t="s">
        <v>14</v>
      </c>
      <c r="U36" s="667">
        <f t="shared" si="13"/>
        <v>100</v>
      </c>
      <c r="V36" s="666" t="s">
        <v>14</v>
      </c>
      <c r="W36" s="667">
        <f t="shared" si="14"/>
        <v>100</v>
      </c>
      <c r="X36" s="1264"/>
      <c r="Y36" s="3420"/>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0"/>
      <c r="Q37" s="1262" t="str">
        <f t="shared" si="11"/>
        <v>内部装修状况</v>
      </c>
      <c r="R37" s="666" t="s">
        <v>14</v>
      </c>
      <c r="S37" s="667">
        <f t="shared" si="12"/>
        <v>100</v>
      </c>
      <c r="T37" s="666" t="s">
        <v>14</v>
      </c>
      <c r="U37" s="667">
        <f t="shared" si="13"/>
        <v>100</v>
      </c>
      <c r="V37" s="666" t="s">
        <v>14</v>
      </c>
      <c r="W37" s="667">
        <f t="shared" si="14"/>
        <v>100</v>
      </c>
      <c r="X37" s="1264"/>
      <c r="Y37" s="3420"/>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0"/>
      <c r="Q38" s="530">
        <f t="shared" si="11"/>
        <v>111</v>
      </c>
      <c r="R38" s="668" t="s">
        <v>14</v>
      </c>
      <c r="S38" s="669">
        <f t="shared" si="12"/>
        <v>100</v>
      </c>
      <c r="T38" s="668" t="s">
        <v>14</v>
      </c>
      <c r="U38" s="669">
        <f t="shared" si="13"/>
        <v>100</v>
      </c>
      <c r="V38" s="668" t="s">
        <v>14</v>
      </c>
      <c r="W38" s="669">
        <f t="shared" si="14"/>
        <v>100</v>
      </c>
      <c r="X38" s="670"/>
      <c r="Y38" s="3420"/>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0"/>
      <c r="Q39" s="1262">
        <f t="shared" si="11"/>
        <v>111</v>
      </c>
      <c r="R39" s="666" t="s">
        <v>14</v>
      </c>
      <c r="S39" s="667">
        <f t="shared" si="12"/>
        <v>100</v>
      </c>
      <c r="T39" s="666" t="s">
        <v>14</v>
      </c>
      <c r="U39" s="667">
        <f t="shared" si="13"/>
        <v>100</v>
      </c>
      <c r="V39" s="666" t="s">
        <v>14</v>
      </c>
      <c r="W39" s="667">
        <f t="shared" si="14"/>
        <v>100</v>
      </c>
      <c r="X39" s="1264"/>
      <c r="Y39" s="3420"/>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1"/>
      <c r="Q40" s="1262">
        <f t="shared" si="11"/>
        <v>111</v>
      </c>
      <c r="R40" s="666" t="s">
        <v>14</v>
      </c>
      <c r="S40" s="667">
        <f t="shared" si="12"/>
        <v>100</v>
      </c>
      <c r="T40" s="666" t="s">
        <v>14</v>
      </c>
      <c r="U40" s="667">
        <f t="shared" si="13"/>
        <v>100</v>
      </c>
      <c r="V40" s="666" t="s">
        <v>14</v>
      </c>
      <c r="W40" s="667">
        <f t="shared" si="14"/>
        <v>100</v>
      </c>
      <c r="X40" s="1264"/>
      <c r="Y40" s="3421"/>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22" t="str">
        <f>A41</f>
        <v>成交单价（元/平方米）</v>
      </c>
      <c r="Q41" s="3422"/>
      <c r="R41" s="3410">
        <f>E41</f>
        <v>0</v>
      </c>
      <c r="S41" s="3410"/>
      <c r="T41" s="3410">
        <f>G41</f>
        <v>0</v>
      </c>
      <c r="U41" s="3410"/>
      <c r="V41" s="3410">
        <f>I41</f>
        <v>0</v>
      </c>
      <c r="W41" s="3410"/>
      <c r="X41" s="384"/>
      <c r="Y41" s="672"/>
      <c r="Z41" s="384"/>
      <c r="AA41" s="384"/>
      <c r="AB41" s="384"/>
      <c r="AC41" s="384"/>
    </row>
    <row r="42" spans="1:29" ht="15.7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22" t="str">
        <f>A42</f>
        <v>比较价值（元/平方米）</v>
      </c>
      <c r="Q42" s="3422"/>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39" t="str">
        <f>A43</f>
        <v>估价对象XX用房的比较价值（楼面单价，元/平方米）</v>
      </c>
      <c r="Q43" s="3440"/>
      <c r="R43" s="3487" t="e">
        <f>IF(F1="售价",ROUND(IF(D42="简单平均",AVERAGE(R42:V42),R42*F42+T42*H42+V42*J42),0),ROUND(IF(D42="简单平均",AVERAGE(R42:V42),R42*F42+T42*H42+V42*J42),1))</f>
        <v>#DIV/0!</v>
      </c>
      <c r="S43" s="3487"/>
      <c r="T43" s="3487"/>
      <c r="U43" s="3487"/>
      <c r="V43" s="3487"/>
      <c r="W43" s="3487"/>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7"/>
      <c r="O54" s="2538"/>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397" t="s">
        <v>1770</v>
      </c>
      <c r="D4" s="3398"/>
      <c r="E4" s="3399" t="s">
        <v>1771</v>
      </c>
      <c r="F4" s="3400"/>
      <c r="G4" s="3397" t="s">
        <v>1772</v>
      </c>
      <c r="H4" s="3398"/>
      <c r="I4" s="3397" t="s">
        <v>1773</v>
      </c>
      <c r="J4" s="3398"/>
      <c r="K4" s="536" t="s">
        <v>1774</v>
      </c>
      <c r="L4" s="2485"/>
      <c r="M4" s="2486"/>
      <c r="N4" s="2486"/>
      <c r="O4" s="2486"/>
      <c r="P4" s="3433" t="s">
        <v>1775</v>
      </c>
      <c r="Q4" s="3434"/>
      <c r="R4" s="3430" t="s">
        <v>1771</v>
      </c>
      <c r="S4" s="3431"/>
      <c r="T4" s="3430" t="s">
        <v>1772</v>
      </c>
      <c r="U4" s="3431"/>
      <c r="V4" s="3410" t="s">
        <v>1773</v>
      </c>
      <c r="W4" s="3410"/>
      <c r="X4" s="1264"/>
      <c r="Y4" s="3430" t="s">
        <v>1775</v>
      </c>
      <c r="Z4" s="3431"/>
      <c r="AA4" s="3429" t="s">
        <v>1771</v>
      </c>
      <c r="AB4" s="3377" t="s">
        <v>1772</v>
      </c>
      <c r="AC4" s="3429" t="s">
        <v>1773</v>
      </c>
    </row>
    <row r="5" spans="1:29" ht="15">
      <c r="A5" s="347"/>
      <c r="B5" s="348"/>
      <c r="C5" s="3432" t="s">
        <v>1673</v>
      </c>
      <c r="D5" s="3388"/>
      <c r="E5" s="3486" t="s">
        <v>1674</v>
      </c>
      <c r="F5" s="3386"/>
      <c r="G5" s="3432" t="s">
        <v>1675</v>
      </c>
      <c r="H5" s="3388"/>
      <c r="I5" s="3432" t="s">
        <v>1676</v>
      </c>
      <c r="J5" s="3388"/>
      <c r="K5" s="536"/>
      <c r="L5" s="2485"/>
      <c r="M5" s="2486"/>
      <c r="N5" s="2486"/>
      <c r="O5" s="2486"/>
      <c r="P5" s="3435"/>
      <c r="Q5" s="3404"/>
      <c r="R5" s="3383"/>
      <c r="S5" s="3384"/>
      <c r="T5" s="3383"/>
      <c r="U5" s="3384"/>
      <c r="V5" s="3410"/>
      <c r="W5" s="3410"/>
      <c r="X5" s="1264"/>
      <c r="Y5" s="3383"/>
      <c r="Z5" s="3384"/>
      <c r="AA5" s="3377"/>
      <c r="AB5" s="3377"/>
      <c r="AC5" s="3377"/>
    </row>
    <row r="6" spans="1:29" ht="15.75" thickBot="1">
      <c r="A6" s="349"/>
      <c r="B6" s="350"/>
      <c r="C6" s="3389" t="s">
        <v>1677</v>
      </c>
      <c r="D6" s="3390"/>
      <c r="E6" s="3391" t="s">
        <v>1677</v>
      </c>
      <c r="F6" s="3392"/>
      <c r="G6" s="3389" t="s">
        <v>1677</v>
      </c>
      <c r="H6" s="3390"/>
      <c r="I6" s="3389" t="s">
        <v>1677</v>
      </c>
      <c r="J6" s="3390"/>
      <c r="K6" s="536" t="s">
        <v>1678</v>
      </c>
      <c r="L6" s="2485"/>
      <c r="M6" s="2486"/>
      <c r="N6" s="2486"/>
      <c r="O6" s="2486"/>
      <c r="P6" s="3436"/>
      <c r="Q6" s="3406"/>
      <c r="R6" s="3383"/>
      <c r="S6" s="3384"/>
      <c r="T6" s="3407"/>
      <c r="U6" s="3408"/>
      <c r="V6" s="3410"/>
      <c r="W6" s="3410"/>
      <c r="X6" s="1264"/>
      <c r="Y6" s="3407"/>
      <c r="Z6" s="3408"/>
      <c r="AA6" s="3378"/>
      <c r="AB6" s="3378"/>
      <c r="AC6" s="3378"/>
    </row>
    <row r="7" spans="1:29" s="101" customFormat="1" ht="15.75" thickBot="1">
      <c r="A7" s="351" t="s">
        <v>1679</v>
      </c>
      <c r="B7" s="352"/>
      <c r="C7" s="353">
        <f>'数据-取费表'!B2</f>
        <v>45600</v>
      </c>
      <c r="D7" s="354">
        <v>100</v>
      </c>
      <c r="E7" s="355"/>
      <c r="F7" s="356">
        <f>SUMIF(48:48,YEAR(E7)&amp;"-"&amp;MONTH(E7),49:49)</f>
        <v>0</v>
      </c>
      <c r="G7" s="355"/>
      <c r="H7" s="354">
        <f>SUMIF(48:48,YEAR(G7)&amp;"-"&amp;MONTH(G7),49:49)</f>
        <v>0</v>
      </c>
      <c r="I7" s="355"/>
      <c r="J7" s="354">
        <f>SUMIF(48:48,YEAR(I7)&amp;"-"&amp;MONTH(I7),49:49)</f>
        <v>0</v>
      </c>
      <c r="K7" s="37"/>
      <c r="L7" s="2487"/>
      <c r="M7" s="2439"/>
      <c r="N7" s="2439"/>
      <c r="O7" s="2439"/>
      <c r="P7" s="3379" t="s">
        <v>1680</v>
      </c>
      <c r="Q7" s="3412"/>
      <c r="R7" s="663" t="s">
        <v>14</v>
      </c>
      <c r="S7" s="664">
        <f t="shared" ref="S7:S14" si="0">F7</f>
        <v>0</v>
      </c>
      <c r="T7" s="663" t="s">
        <v>14</v>
      </c>
      <c r="U7" s="664">
        <f t="shared" ref="U7:U14" si="1">H7</f>
        <v>0</v>
      </c>
      <c r="V7" s="663" t="s">
        <v>14</v>
      </c>
      <c r="W7" s="664">
        <f t="shared" ref="W7:W14" si="2">J7</f>
        <v>0</v>
      </c>
      <c r="X7" s="665"/>
      <c r="Y7" s="3379" t="s">
        <v>1680</v>
      </c>
      <c r="Z7" s="3380"/>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379" t="s">
        <v>1683</v>
      </c>
      <c r="Q8" s="3380"/>
      <c r="R8" s="663" t="s">
        <v>14</v>
      </c>
      <c r="S8" s="664">
        <f t="shared" si="0"/>
        <v>100</v>
      </c>
      <c r="T8" s="663" t="s">
        <v>14</v>
      </c>
      <c r="U8" s="664">
        <f t="shared" si="1"/>
        <v>100</v>
      </c>
      <c r="V8" s="663" t="s">
        <v>14</v>
      </c>
      <c r="W8" s="664">
        <f t="shared" si="2"/>
        <v>100</v>
      </c>
      <c r="X8" s="665"/>
      <c r="Y8" s="3379" t="s">
        <v>1683</v>
      </c>
      <c r="Z8" s="3380"/>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422" t="s">
        <v>1686</v>
      </c>
      <c r="Q9" s="529" t="str">
        <f t="shared" ref="Q9:Q14" si="6">B9</f>
        <v>用途</v>
      </c>
      <c r="R9" s="663" t="s">
        <v>14</v>
      </c>
      <c r="S9" s="664">
        <f t="shared" si="0"/>
        <v>100</v>
      </c>
      <c r="T9" s="663" t="s">
        <v>14</v>
      </c>
      <c r="U9" s="664">
        <f t="shared" si="1"/>
        <v>100</v>
      </c>
      <c r="V9" s="663" t="s">
        <v>14</v>
      </c>
      <c r="W9" s="664">
        <f t="shared" si="2"/>
        <v>100</v>
      </c>
      <c r="X9" s="665"/>
      <c r="Y9" s="3352" t="s">
        <v>1687</v>
      </c>
      <c r="Z9" s="49" t="str">
        <f t="shared" ref="Z9:Z14" si="7">Q9</f>
        <v>用途</v>
      </c>
      <c r="AA9" s="49">
        <f t="shared" si="3"/>
        <v>1</v>
      </c>
      <c r="AB9" s="49">
        <f t="shared" si="4"/>
        <v>1</v>
      </c>
      <c r="AC9" s="49">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422"/>
      <c r="Q10" s="529" t="str">
        <f t="shared" si="6"/>
        <v>土地使用年限（年）</v>
      </c>
      <c r="R10" s="663" t="s">
        <v>14</v>
      </c>
      <c r="S10" s="664">
        <f t="shared" si="0"/>
        <v>100</v>
      </c>
      <c r="T10" s="663" t="s">
        <v>14</v>
      </c>
      <c r="U10" s="664">
        <f t="shared" si="1"/>
        <v>100</v>
      </c>
      <c r="V10" s="663" t="s">
        <v>14</v>
      </c>
      <c r="W10" s="664">
        <f t="shared" si="2"/>
        <v>100</v>
      </c>
      <c r="X10" s="665"/>
      <c r="Y10" s="3352"/>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22"/>
      <c r="Q11" s="529">
        <f t="shared" si="6"/>
        <v>111</v>
      </c>
      <c r="R11" s="663" t="s">
        <v>14</v>
      </c>
      <c r="S11" s="664">
        <f t="shared" si="0"/>
        <v>100</v>
      </c>
      <c r="T11" s="663" t="s">
        <v>14</v>
      </c>
      <c r="U11" s="664">
        <f t="shared" si="1"/>
        <v>100</v>
      </c>
      <c r="V11" s="663" t="s">
        <v>14</v>
      </c>
      <c r="W11" s="664">
        <f t="shared" si="2"/>
        <v>100</v>
      </c>
      <c r="X11" s="665"/>
      <c r="Y11" s="3352"/>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22"/>
      <c r="Q12" s="529">
        <f t="shared" si="6"/>
        <v>111</v>
      </c>
      <c r="R12" s="663" t="s">
        <v>14</v>
      </c>
      <c r="S12" s="664">
        <f t="shared" si="0"/>
        <v>100</v>
      </c>
      <c r="T12" s="663" t="s">
        <v>14</v>
      </c>
      <c r="U12" s="664">
        <f t="shared" si="1"/>
        <v>100</v>
      </c>
      <c r="V12" s="663" t="s">
        <v>14</v>
      </c>
      <c r="W12" s="664">
        <f t="shared" si="2"/>
        <v>100</v>
      </c>
      <c r="X12" s="665"/>
      <c r="Y12" s="3352"/>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22"/>
      <c r="Q13" s="529">
        <f t="shared" si="6"/>
        <v>111</v>
      </c>
      <c r="R13" s="663" t="s">
        <v>14</v>
      </c>
      <c r="S13" s="664">
        <f t="shared" si="0"/>
        <v>100</v>
      </c>
      <c r="T13" s="663" t="s">
        <v>14</v>
      </c>
      <c r="U13" s="664">
        <f t="shared" si="1"/>
        <v>100</v>
      </c>
      <c r="V13" s="663" t="s">
        <v>14</v>
      </c>
      <c r="W13" s="664">
        <f t="shared" si="2"/>
        <v>100</v>
      </c>
      <c r="X13" s="665"/>
      <c r="Y13" s="3352"/>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15" t="s">
        <v>1691</v>
      </c>
      <c r="Q14" s="1262" t="str">
        <f t="shared" si="6"/>
        <v>交通便捷度</v>
      </c>
      <c r="R14" s="666" t="s">
        <v>14</v>
      </c>
      <c r="S14" s="667">
        <f t="shared" si="0"/>
        <v>100</v>
      </c>
      <c r="T14" s="666" t="s">
        <v>14</v>
      </c>
      <c r="U14" s="667">
        <f t="shared" si="1"/>
        <v>100</v>
      </c>
      <c r="V14" s="666" t="s">
        <v>14</v>
      </c>
      <c r="W14" s="667">
        <f t="shared" si="2"/>
        <v>100</v>
      </c>
      <c r="X14" s="1264"/>
      <c r="Y14" s="3415"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16"/>
      <c r="Q15" s="1262"/>
      <c r="R15" s="666"/>
      <c r="S15" s="667"/>
      <c r="T15" s="666"/>
      <c r="U15" s="667"/>
      <c r="V15" s="666"/>
      <c r="W15" s="667"/>
      <c r="X15" s="1264"/>
      <c r="Y15" s="3416"/>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16"/>
      <c r="Q16" s="1262" t="str">
        <f>B16</f>
        <v>公共配套设施</v>
      </c>
      <c r="R16" s="666" t="s">
        <v>14</v>
      </c>
      <c r="S16" s="667">
        <f>F16</f>
        <v>100</v>
      </c>
      <c r="T16" s="666" t="s">
        <v>14</v>
      </c>
      <c r="U16" s="667">
        <f>H16</f>
        <v>100</v>
      </c>
      <c r="V16" s="666" t="s">
        <v>14</v>
      </c>
      <c r="W16" s="667">
        <f>J16</f>
        <v>100</v>
      </c>
      <c r="X16" s="1264"/>
      <c r="Y16" s="3416"/>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16"/>
      <c r="Q17" s="1262"/>
      <c r="R17" s="666"/>
      <c r="S17" s="667"/>
      <c r="T17" s="666"/>
      <c r="U17" s="667"/>
      <c r="V17" s="666"/>
      <c r="W17" s="667"/>
      <c r="X17" s="1264"/>
      <c r="Y17" s="3416"/>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16"/>
      <c r="Q18" s="1262" t="str">
        <f>B18</f>
        <v>基础设施水平</v>
      </c>
      <c r="R18" s="666" t="s">
        <v>14</v>
      </c>
      <c r="S18" s="667">
        <f>F18</f>
        <v>100</v>
      </c>
      <c r="T18" s="666" t="s">
        <v>14</v>
      </c>
      <c r="U18" s="667">
        <f>H18</f>
        <v>100</v>
      </c>
      <c r="V18" s="666" t="s">
        <v>14</v>
      </c>
      <c r="W18" s="667">
        <f>J18</f>
        <v>100</v>
      </c>
      <c r="X18" s="1264"/>
      <c r="Y18" s="3416"/>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16"/>
      <c r="Q19" s="1262"/>
      <c r="R19" s="666"/>
      <c r="S19" s="667"/>
      <c r="T19" s="666"/>
      <c r="U19" s="667"/>
      <c r="V19" s="666"/>
      <c r="W19" s="667"/>
      <c r="X19" s="1264"/>
      <c r="Y19" s="3416"/>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16"/>
      <c r="Q20" s="1262" t="str">
        <f>B20</f>
        <v>自然及人文环境</v>
      </c>
      <c r="R20" s="666" t="s">
        <v>14</v>
      </c>
      <c r="S20" s="667">
        <f>F20</f>
        <v>100</v>
      </c>
      <c r="T20" s="666" t="s">
        <v>14</v>
      </c>
      <c r="U20" s="667">
        <f>H20</f>
        <v>100</v>
      </c>
      <c r="V20" s="666" t="s">
        <v>14</v>
      </c>
      <c r="W20" s="667">
        <f>J20</f>
        <v>100</v>
      </c>
      <c r="X20" s="1264"/>
      <c r="Y20" s="3416"/>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16"/>
      <c r="Q21" s="1262"/>
      <c r="R21" s="666"/>
      <c r="S21" s="667"/>
      <c r="T21" s="666"/>
      <c r="U21" s="667"/>
      <c r="V21" s="666"/>
      <c r="W21" s="667"/>
      <c r="X21" s="1264"/>
      <c r="Y21" s="3416"/>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16"/>
      <c r="Q22" s="1262" t="str">
        <f>B22</f>
        <v>楼层</v>
      </c>
      <c r="R22" s="666" t="s">
        <v>14</v>
      </c>
      <c r="S22" s="667">
        <f>F22</f>
        <v>100</v>
      </c>
      <c r="T22" s="666" t="s">
        <v>14</v>
      </c>
      <c r="U22" s="667">
        <f>H22</f>
        <v>100</v>
      </c>
      <c r="V22" s="666" t="s">
        <v>14</v>
      </c>
      <c r="W22" s="667">
        <f>J22</f>
        <v>100</v>
      </c>
      <c r="X22" s="1264"/>
      <c r="Y22" s="3416"/>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16"/>
      <c r="Q23" s="1262">
        <f>B23</f>
        <v>111</v>
      </c>
      <c r="R23" s="666" t="s">
        <v>14</v>
      </c>
      <c r="S23" s="667">
        <f>F23</f>
        <v>100</v>
      </c>
      <c r="T23" s="666" t="s">
        <v>14</v>
      </c>
      <c r="U23" s="667">
        <f>H23</f>
        <v>100</v>
      </c>
      <c r="V23" s="666" t="s">
        <v>14</v>
      </c>
      <c r="W23" s="667">
        <f>J23</f>
        <v>100</v>
      </c>
      <c r="X23" s="1264"/>
      <c r="Y23" s="3416"/>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16"/>
      <c r="Q24" s="1262">
        <f t="shared" ref="Q24:Q36" si="11">B24</f>
        <v>111</v>
      </c>
      <c r="R24" s="666" t="s">
        <v>14</v>
      </c>
      <c r="S24" s="667">
        <f>F24</f>
        <v>100</v>
      </c>
      <c r="T24" s="666" t="s">
        <v>14</v>
      </c>
      <c r="U24" s="667">
        <f>H24</f>
        <v>100</v>
      </c>
      <c r="V24" s="666" t="s">
        <v>14</v>
      </c>
      <c r="W24" s="667">
        <f>J24</f>
        <v>100</v>
      </c>
      <c r="X24" s="1264"/>
      <c r="Y24" s="3416"/>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16"/>
      <c r="Q25" s="529">
        <f t="shared" si="11"/>
        <v>111</v>
      </c>
      <c r="R25" s="663" t="s">
        <v>14</v>
      </c>
      <c r="S25" s="664">
        <f>F25</f>
        <v>100</v>
      </c>
      <c r="T25" s="663" t="s">
        <v>14</v>
      </c>
      <c r="U25" s="664">
        <f>H25</f>
        <v>100</v>
      </c>
      <c r="V25" s="663" t="s">
        <v>14</v>
      </c>
      <c r="W25" s="664">
        <f>J25</f>
        <v>100</v>
      </c>
      <c r="X25" s="665"/>
      <c r="Y25" s="3416"/>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3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0"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20"/>
      <c r="Q27" s="530" t="str">
        <f t="shared" si="11"/>
        <v>项目停车位配比</v>
      </c>
      <c r="R27" s="668" t="s">
        <v>14</v>
      </c>
      <c r="S27" s="669">
        <f t="shared" si="12"/>
        <v>100</v>
      </c>
      <c r="T27" s="668" t="s">
        <v>14</v>
      </c>
      <c r="U27" s="669">
        <f t="shared" si="13"/>
        <v>100</v>
      </c>
      <c r="V27" s="668" t="s">
        <v>14</v>
      </c>
      <c r="W27" s="669">
        <f t="shared" si="14"/>
        <v>100</v>
      </c>
      <c r="X27" s="670"/>
      <c r="Y27" s="3420"/>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20"/>
      <c r="Q28" s="1262" t="str">
        <f t="shared" si="11"/>
        <v>公共部分装修</v>
      </c>
      <c r="R28" s="666" t="s">
        <v>14</v>
      </c>
      <c r="S28" s="667">
        <f t="shared" si="12"/>
        <v>100</v>
      </c>
      <c r="T28" s="666" t="s">
        <v>14</v>
      </c>
      <c r="U28" s="667">
        <f t="shared" si="13"/>
        <v>100</v>
      </c>
      <c r="V28" s="666" t="s">
        <v>14</v>
      </c>
      <c r="W28" s="667">
        <f t="shared" si="14"/>
        <v>100</v>
      </c>
      <c r="X28" s="1264"/>
      <c r="Y28" s="3420"/>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20"/>
      <c r="Q29" s="1262" t="str">
        <f t="shared" si="11"/>
        <v>成新率</v>
      </c>
      <c r="R29" s="666" t="s">
        <v>14</v>
      </c>
      <c r="S29" s="667" t="e">
        <f t="shared" si="12"/>
        <v>#N/A</v>
      </c>
      <c r="T29" s="666" t="s">
        <v>14</v>
      </c>
      <c r="U29" s="667" t="e">
        <f t="shared" si="13"/>
        <v>#N/A</v>
      </c>
      <c r="V29" s="666" t="s">
        <v>14</v>
      </c>
      <c r="W29" s="667" t="e">
        <f t="shared" si="14"/>
        <v>#N/A</v>
      </c>
      <c r="X29" s="1264"/>
      <c r="Y29" s="3420"/>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20"/>
      <c r="Q30" s="1262" t="str">
        <f t="shared" si="11"/>
        <v>物业等级</v>
      </c>
      <c r="R30" s="666" t="s">
        <v>14</v>
      </c>
      <c r="S30" s="667">
        <f t="shared" si="12"/>
        <v>100</v>
      </c>
      <c r="T30" s="666" t="s">
        <v>14</v>
      </c>
      <c r="U30" s="667">
        <f t="shared" si="13"/>
        <v>100</v>
      </c>
      <c r="V30" s="666" t="s">
        <v>14</v>
      </c>
      <c r="W30" s="667">
        <f t="shared" si="14"/>
        <v>100</v>
      </c>
      <c r="X30" s="1264"/>
      <c r="Y30" s="3420"/>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20"/>
      <c r="Q31" s="529" t="str">
        <f t="shared" si="11"/>
        <v>停车位面积</v>
      </c>
      <c r="R31" s="663" t="s">
        <v>14</v>
      </c>
      <c r="S31" s="664" t="e">
        <f t="shared" si="12"/>
        <v>#N/A</v>
      </c>
      <c r="T31" s="663" t="s">
        <v>14</v>
      </c>
      <c r="U31" s="664" t="e">
        <f t="shared" si="13"/>
        <v>#N/A</v>
      </c>
      <c r="V31" s="663" t="s">
        <v>14</v>
      </c>
      <c r="W31" s="664" t="e">
        <f t="shared" si="14"/>
        <v>#N/A</v>
      </c>
      <c r="X31" s="665"/>
      <c r="Y31" s="3420"/>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20" t="s">
        <v>1696</v>
      </c>
      <c r="Q32" s="1262" t="str">
        <f t="shared" si="11"/>
        <v>车位类型</v>
      </c>
      <c r="R32" s="666" t="s">
        <v>14</v>
      </c>
      <c r="S32" s="667">
        <f t="shared" si="12"/>
        <v>100</v>
      </c>
      <c r="T32" s="666" t="s">
        <v>14</v>
      </c>
      <c r="U32" s="667">
        <f t="shared" si="13"/>
        <v>100</v>
      </c>
      <c r="V32" s="666" t="s">
        <v>14</v>
      </c>
      <c r="W32" s="667">
        <f t="shared" si="14"/>
        <v>100</v>
      </c>
      <c r="X32" s="1264"/>
      <c r="Y32" s="3420"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20"/>
      <c r="Q33" s="1262" t="str">
        <f t="shared" si="11"/>
        <v>是否直接入户</v>
      </c>
      <c r="R33" s="666" t="s">
        <v>14</v>
      </c>
      <c r="S33" s="667">
        <f t="shared" si="12"/>
        <v>100</v>
      </c>
      <c r="T33" s="666" t="s">
        <v>14</v>
      </c>
      <c r="U33" s="667">
        <f t="shared" si="13"/>
        <v>100</v>
      </c>
      <c r="V33" s="666" t="s">
        <v>14</v>
      </c>
      <c r="W33" s="667">
        <f t="shared" si="14"/>
        <v>100</v>
      </c>
      <c r="X33" s="1264"/>
      <c r="Y33" s="3420"/>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20"/>
      <c r="Q34" s="1262">
        <f t="shared" si="11"/>
        <v>111</v>
      </c>
      <c r="R34" s="666" t="s">
        <v>14</v>
      </c>
      <c r="S34" s="667">
        <f t="shared" si="12"/>
        <v>100</v>
      </c>
      <c r="T34" s="666" t="s">
        <v>14</v>
      </c>
      <c r="U34" s="667">
        <f t="shared" si="13"/>
        <v>100</v>
      </c>
      <c r="V34" s="666" t="s">
        <v>14</v>
      </c>
      <c r="W34" s="667">
        <f t="shared" si="14"/>
        <v>100</v>
      </c>
      <c r="X34" s="1264"/>
      <c r="Y34" s="3420"/>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20"/>
      <c r="Q35" s="530">
        <f t="shared" si="11"/>
        <v>111</v>
      </c>
      <c r="R35" s="668" t="s">
        <v>14</v>
      </c>
      <c r="S35" s="669">
        <f t="shared" si="12"/>
        <v>100</v>
      </c>
      <c r="T35" s="668" t="s">
        <v>14</v>
      </c>
      <c r="U35" s="669">
        <f t="shared" si="13"/>
        <v>100</v>
      </c>
      <c r="V35" s="668" t="s">
        <v>14</v>
      </c>
      <c r="W35" s="669">
        <f t="shared" si="14"/>
        <v>100</v>
      </c>
      <c r="X35" s="670"/>
      <c r="Y35" s="3420"/>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20"/>
      <c r="Q36" s="1262">
        <f t="shared" si="11"/>
        <v>111</v>
      </c>
      <c r="R36" s="666" t="s">
        <v>14</v>
      </c>
      <c r="S36" s="667">
        <f t="shared" si="12"/>
        <v>100</v>
      </c>
      <c r="T36" s="666" t="s">
        <v>14</v>
      </c>
      <c r="U36" s="667">
        <f t="shared" si="13"/>
        <v>100</v>
      </c>
      <c r="V36" s="666" t="s">
        <v>14</v>
      </c>
      <c r="W36" s="667">
        <f t="shared" si="14"/>
        <v>100</v>
      </c>
      <c r="X36" s="1264"/>
      <c r="Y36" s="3420"/>
      <c r="Z36" s="1263">
        <f t="shared" si="15"/>
        <v>111</v>
      </c>
      <c r="AA36" s="1263">
        <f t="shared" si="3"/>
        <v>1</v>
      </c>
      <c r="AB36" s="1263">
        <f t="shared" si="4"/>
        <v>1</v>
      </c>
      <c r="AC36" s="1263">
        <f t="shared" si="5"/>
        <v>1</v>
      </c>
    </row>
    <row r="37" spans="1:29" ht="15">
      <c r="A37" s="415" t="s">
        <v>1844</v>
      </c>
      <c r="B37" s="1820" t="s">
        <v>3344</v>
      </c>
      <c r="C37" s="1080" t="s">
        <v>0</v>
      </c>
      <c r="D37" s="417"/>
      <c r="E37" s="418"/>
      <c r="F37" s="419"/>
      <c r="G37" s="420"/>
      <c r="H37" s="421"/>
      <c r="I37" s="418"/>
      <c r="J37" s="421"/>
      <c r="K37" s="544"/>
      <c r="L37" s="2493"/>
      <c r="M37" s="2486"/>
      <c r="N37" s="2486"/>
      <c r="O37" s="2486"/>
      <c r="P37" s="3422" t="str">
        <f>A37</f>
        <v>成交单价</v>
      </c>
      <c r="Q37" s="3422"/>
      <c r="R37" s="3410">
        <f>E37</f>
        <v>0</v>
      </c>
      <c r="S37" s="3410"/>
      <c r="T37" s="3410">
        <f>G37</f>
        <v>0</v>
      </c>
      <c r="U37" s="3410"/>
      <c r="V37" s="3410">
        <f>I37</f>
        <v>0</v>
      </c>
      <c r="W37" s="3410"/>
      <c r="X37" s="384"/>
      <c r="Y37" s="672"/>
      <c r="Z37" s="384"/>
      <c r="AA37" s="384"/>
      <c r="AB37" s="384"/>
      <c r="AC37" s="384"/>
    </row>
    <row r="38" spans="1:29" ht="15.7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422" t="str">
        <f>A38</f>
        <v>比较价值（元/平方米）</v>
      </c>
      <c r="Q38" s="3422"/>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39" t="str">
        <f>A39</f>
        <v>估价对象XX用房的比较价值（楼面单价，元/平方米）</v>
      </c>
      <c r="Q39" s="3440"/>
      <c r="R39" s="3488" t="e">
        <f>IF(F1="售价",ROUND(IF(D38="简单平均",AVERAGE(R38:W38),R38*F38+T38*H38+V38*J38),0),ROUND(IF(D38="简单平均",AVERAGE(R38:V38),R38*F38+T38*H38+V38*J38),1))</f>
        <v>#DIV/0!</v>
      </c>
      <c r="S39" s="3488"/>
      <c r="T39" s="3488"/>
      <c r="U39" s="3488"/>
      <c r="V39" s="3488"/>
      <c r="W39" s="3488"/>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1" customFormat="1" ht="15">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5.75"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97" t="s">
        <v>1770</v>
      </c>
      <c r="D4" s="3398"/>
      <c r="E4" s="3399" t="s">
        <v>1771</v>
      </c>
      <c r="F4" s="3400"/>
      <c r="G4" s="3397" t="s">
        <v>1772</v>
      </c>
      <c r="H4" s="3398"/>
      <c r="I4" s="3397" t="s">
        <v>1773</v>
      </c>
      <c r="J4" s="3398"/>
      <c r="K4" s="536" t="s">
        <v>1774</v>
      </c>
      <c r="L4" s="2485"/>
      <c r="M4" s="2486"/>
      <c r="N4" s="2486"/>
      <c r="O4" s="2486"/>
      <c r="P4" s="3433" t="s">
        <v>1775</v>
      </c>
      <c r="Q4" s="3434"/>
      <c r="R4" s="3430" t="s">
        <v>1771</v>
      </c>
      <c r="S4" s="3431"/>
      <c r="T4" s="3430" t="s">
        <v>1772</v>
      </c>
      <c r="U4" s="3431"/>
      <c r="V4" s="3410" t="s">
        <v>1773</v>
      </c>
      <c r="W4" s="3410"/>
      <c r="X4" s="1264"/>
      <c r="Y4" s="3430" t="s">
        <v>1775</v>
      </c>
      <c r="Z4" s="3431"/>
      <c r="AA4" s="3429" t="s">
        <v>1771</v>
      </c>
      <c r="AB4" s="3377" t="s">
        <v>1772</v>
      </c>
      <c r="AC4" s="3429" t="s">
        <v>1773</v>
      </c>
    </row>
    <row r="5" spans="1:29" ht="15">
      <c r="A5" s="347"/>
      <c r="B5" s="348"/>
      <c r="C5" s="3432" t="s">
        <v>1673</v>
      </c>
      <c r="D5" s="3388"/>
      <c r="E5" s="3486" t="s">
        <v>1674</v>
      </c>
      <c r="F5" s="3386"/>
      <c r="G5" s="3432" t="s">
        <v>1675</v>
      </c>
      <c r="H5" s="3388"/>
      <c r="I5" s="3432" t="s">
        <v>1676</v>
      </c>
      <c r="J5" s="3388"/>
      <c r="K5" s="536"/>
      <c r="L5" s="2485"/>
      <c r="M5" s="2486"/>
      <c r="N5" s="2486"/>
      <c r="O5" s="2486"/>
      <c r="P5" s="3435"/>
      <c r="Q5" s="3404"/>
      <c r="R5" s="3383"/>
      <c r="S5" s="3384"/>
      <c r="T5" s="3383"/>
      <c r="U5" s="3384"/>
      <c r="V5" s="3410"/>
      <c r="W5" s="3410"/>
      <c r="X5" s="1264"/>
      <c r="Y5" s="3383"/>
      <c r="Z5" s="3384"/>
      <c r="AA5" s="3377"/>
      <c r="AB5" s="3377"/>
      <c r="AC5" s="3377"/>
    </row>
    <row r="6" spans="1:29" ht="15.75" thickBot="1">
      <c r="A6" s="349"/>
      <c r="B6" s="350"/>
      <c r="C6" s="3389" t="s">
        <v>1677</v>
      </c>
      <c r="D6" s="3390"/>
      <c r="E6" s="3391" t="s">
        <v>1677</v>
      </c>
      <c r="F6" s="3392"/>
      <c r="G6" s="3389" t="s">
        <v>1677</v>
      </c>
      <c r="H6" s="3390"/>
      <c r="I6" s="3389" t="s">
        <v>1677</v>
      </c>
      <c r="J6" s="3390"/>
      <c r="K6" s="536" t="s">
        <v>1678</v>
      </c>
      <c r="L6" s="2485"/>
      <c r="M6" s="2486"/>
      <c r="N6" s="2486"/>
      <c r="O6" s="2486"/>
      <c r="P6" s="3436"/>
      <c r="Q6" s="3406"/>
      <c r="R6" s="3383"/>
      <c r="S6" s="3384"/>
      <c r="T6" s="3407"/>
      <c r="U6" s="3408"/>
      <c r="V6" s="3410"/>
      <c r="W6" s="3410"/>
      <c r="X6" s="1264"/>
      <c r="Y6" s="3407"/>
      <c r="Z6" s="3408"/>
      <c r="AA6" s="3378"/>
      <c r="AB6" s="3378"/>
      <c r="AC6" s="3378"/>
    </row>
    <row r="7" spans="1:29" s="101" customFormat="1" ht="15.75" thickBot="1">
      <c r="A7" s="351" t="s">
        <v>1679</v>
      </c>
      <c r="B7" s="352"/>
      <c r="C7" s="353">
        <f>'数据-取费表'!B2</f>
        <v>45600</v>
      </c>
      <c r="D7" s="354">
        <v>100</v>
      </c>
      <c r="E7" s="355"/>
      <c r="F7" s="356">
        <f>SUMIF(46:46,YEAR(E7)&amp;"-"&amp;MONTH(E7),47:47)</f>
        <v>0</v>
      </c>
      <c r="G7" s="1821"/>
      <c r="H7" s="354">
        <f>SUMIF(46:46,YEAR(G7)&amp;"-"&amp;MONTH(G7),47:47)</f>
        <v>0</v>
      </c>
      <c r="I7" s="355"/>
      <c r="J7" s="354">
        <f>SUMIF(46:46,YEAR(I7)&amp;"-"&amp;MONTH(I7),47:47)</f>
        <v>0</v>
      </c>
      <c r="K7" s="37"/>
      <c r="L7" s="2487"/>
      <c r="M7" s="2439"/>
      <c r="N7" s="2439"/>
      <c r="O7" s="2439"/>
      <c r="P7" s="3379" t="s">
        <v>1680</v>
      </c>
      <c r="Q7" s="3412"/>
      <c r="R7" s="663" t="s">
        <v>14</v>
      </c>
      <c r="S7" s="664">
        <f t="shared" ref="S7:S14" si="0">F7</f>
        <v>0</v>
      </c>
      <c r="T7" s="663" t="s">
        <v>14</v>
      </c>
      <c r="U7" s="664">
        <f t="shared" ref="U7:U14" si="1">H7</f>
        <v>0</v>
      </c>
      <c r="V7" s="663" t="s">
        <v>14</v>
      </c>
      <c r="W7" s="664">
        <f t="shared" ref="W7:W14" si="2">J7</f>
        <v>0</v>
      </c>
      <c r="X7" s="665"/>
      <c r="Y7" s="3379" t="s">
        <v>1680</v>
      </c>
      <c r="Z7" s="3380"/>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379" t="s">
        <v>1683</v>
      </c>
      <c r="Q8" s="3380"/>
      <c r="R8" s="663" t="s">
        <v>14</v>
      </c>
      <c r="S8" s="664">
        <f t="shared" si="0"/>
        <v>100</v>
      </c>
      <c r="T8" s="663" t="s">
        <v>14</v>
      </c>
      <c r="U8" s="664">
        <f t="shared" si="1"/>
        <v>100</v>
      </c>
      <c r="V8" s="663" t="s">
        <v>14</v>
      </c>
      <c r="W8" s="664">
        <f t="shared" si="2"/>
        <v>100</v>
      </c>
      <c r="X8" s="665"/>
      <c r="Y8" s="3379" t="s">
        <v>1683</v>
      </c>
      <c r="Z8" s="3380"/>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422" t="s">
        <v>1686</v>
      </c>
      <c r="Q9" s="529" t="str">
        <f t="shared" ref="Q9:Q14" si="6">B9</f>
        <v>用途</v>
      </c>
      <c r="R9" s="663" t="s">
        <v>14</v>
      </c>
      <c r="S9" s="664">
        <f t="shared" si="0"/>
        <v>100</v>
      </c>
      <c r="T9" s="663" t="s">
        <v>14</v>
      </c>
      <c r="U9" s="664">
        <f t="shared" si="1"/>
        <v>100</v>
      </c>
      <c r="V9" s="663" t="s">
        <v>14</v>
      </c>
      <c r="W9" s="664">
        <f t="shared" si="2"/>
        <v>100</v>
      </c>
      <c r="X9" s="665"/>
      <c r="Y9" s="3352" t="s">
        <v>1687</v>
      </c>
      <c r="Z9" s="49" t="str">
        <f t="shared" ref="Z9:Z14" si="7">Q9</f>
        <v>用途</v>
      </c>
      <c r="AA9" s="49">
        <f t="shared" si="3"/>
        <v>1</v>
      </c>
      <c r="AB9" s="49">
        <f t="shared" si="4"/>
        <v>1</v>
      </c>
      <c r="AC9" s="49">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422"/>
      <c r="Q10" s="529" t="str">
        <f t="shared" si="6"/>
        <v>土地使用年限（年）</v>
      </c>
      <c r="R10" s="663" t="s">
        <v>14</v>
      </c>
      <c r="S10" s="664">
        <f t="shared" si="0"/>
        <v>100</v>
      </c>
      <c r="T10" s="663" t="s">
        <v>14</v>
      </c>
      <c r="U10" s="664">
        <f t="shared" si="1"/>
        <v>100</v>
      </c>
      <c r="V10" s="663" t="s">
        <v>14</v>
      </c>
      <c r="W10" s="664">
        <f t="shared" si="2"/>
        <v>100</v>
      </c>
      <c r="X10" s="665"/>
      <c r="Y10" s="3352"/>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22"/>
      <c r="Q11" s="529">
        <f t="shared" si="6"/>
        <v>111</v>
      </c>
      <c r="R11" s="663" t="s">
        <v>14</v>
      </c>
      <c r="S11" s="664">
        <f t="shared" si="0"/>
        <v>100</v>
      </c>
      <c r="T11" s="663" t="s">
        <v>14</v>
      </c>
      <c r="U11" s="664">
        <f t="shared" si="1"/>
        <v>100</v>
      </c>
      <c r="V11" s="663" t="s">
        <v>14</v>
      </c>
      <c r="W11" s="664">
        <f t="shared" si="2"/>
        <v>100</v>
      </c>
      <c r="X11" s="665"/>
      <c r="Y11" s="3352"/>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22"/>
      <c r="Q12" s="529">
        <f t="shared" si="6"/>
        <v>111</v>
      </c>
      <c r="R12" s="663" t="s">
        <v>14</v>
      </c>
      <c r="S12" s="664">
        <f t="shared" si="0"/>
        <v>100</v>
      </c>
      <c r="T12" s="663" t="s">
        <v>14</v>
      </c>
      <c r="U12" s="664">
        <f t="shared" si="1"/>
        <v>100</v>
      </c>
      <c r="V12" s="663" t="s">
        <v>14</v>
      </c>
      <c r="W12" s="664">
        <f t="shared" si="2"/>
        <v>100</v>
      </c>
      <c r="X12" s="665"/>
      <c r="Y12" s="3352"/>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22"/>
      <c r="Q13" s="529">
        <f t="shared" si="6"/>
        <v>111</v>
      </c>
      <c r="R13" s="663" t="s">
        <v>14</v>
      </c>
      <c r="S13" s="664">
        <f t="shared" si="0"/>
        <v>100</v>
      </c>
      <c r="T13" s="663" t="s">
        <v>14</v>
      </c>
      <c r="U13" s="664">
        <f t="shared" si="1"/>
        <v>100</v>
      </c>
      <c r="V13" s="663" t="s">
        <v>14</v>
      </c>
      <c r="W13" s="664">
        <f t="shared" si="2"/>
        <v>100</v>
      </c>
      <c r="X13" s="665"/>
      <c r="Y13" s="3352"/>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15" t="s">
        <v>1691</v>
      </c>
      <c r="Q14" s="1262" t="str">
        <f t="shared" si="6"/>
        <v>交通便捷度</v>
      </c>
      <c r="R14" s="666" t="s">
        <v>14</v>
      </c>
      <c r="S14" s="667">
        <f t="shared" si="0"/>
        <v>100</v>
      </c>
      <c r="T14" s="666" t="s">
        <v>14</v>
      </c>
      <c r="U14" s="667">
        <f t="shared" si="1"/>
        <v>100</v>
      </c>
      <c r="V14" s="666" t="s">
        <v>14</v>
      </c>
      <c r="W14" s="667">
        <f t="shared" si="2"/>
        <v>100</v>
      </c>
      <c r="X14" s="1264"/>
      <c r="Y14" s="3415"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16"/>
      <c r="Q15" s="1262"/>
      <c r="R15" s="666"/>
      <c r="S15" s="667"/>
      <c r="T15" s="666"/>
      <c r="U15" s="667"/>
      <c r="V15" s="666"/>
      <c r="W15" s="667"/>
      <c r="X15" s="1264"/>
      <c r="Y15" s="3416"/>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16"/>
      <c r="Q16" s="1262" t="str">
        <f>B16</f>
        <v>公共配套设施</v>
      </c>
      <c r="R16" s="666" t="s">
        <v>14</v>
      </c>
      <c r="S16" s="667">
        <f>F16</f>
        <v>100</v>
      </c>
      <c r="T16" s="666" t="s">
        <v>14</v>
      </c>
      <c r="U16" s="667">
        <f>H16</f>
        <v>100</v>
      </c>
      <c r="V16" s="666" t="s">
        <v>14</v>
      </c>
      <c r="W16" s="667">
        <f>J16</f>
        <v>100</v>
      </c>
      <c r="X16" s="1264"/>
      <c r="Y16" s="3416"/>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16"/>
      <c r="Q17" s="1262"/>
      <c r="R17" s="666"/>
      <c r="S17" s="667"/>
      <c r="T17" s="666"/>
      <c r="U17" s="667"/>
      <c r="V17" s="666"/>
      <c r="W17" s="667"/>
      <c r="X17" s="1264"/>
      <c r="Y17" s="3416"/>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16"/>
      <c r="Q18" s="1262" t="str">
        <f>B18</f>
        <v>基础设施水平</v>
      </c>
      <c r="R18" s="666" t="s">
        <v>14</v>
      </c>
      <c r="S18" s="667">
        <f>F18</f>
        <v>100</v>
      </c>
      <c r="T18" s="666" t="s">
        <v>14</v>
      </c>
      <c r="U18" s="667">
        <f>H18</f>
        <v>100</v>
      </c>
      <c r="V18" s="666" t="s">
        <v>14</v>
      </c>
      <c r="W18" s="667">
        <f>J18</f>
        <v>100</v>
      </c>
      <c r="X18" s="1264"/>
      <c r="Y18" s="3416"/>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16"/>
      <c r="Q19" s="1262"/>
      <c r="R19" s="666"/>
      <c r="S19" s="667"/>
      <c r="T19" s="666"/>
      <c r="U19" s="667"/>
      <c r="V19" s="666"/>
      <c r="W19" s="667"/>
      <c r="X19" s="1264"/>
      <c r="Y19" s="3416"/>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16"/>
      <c r="Q20" s="1262" t="str">
        <f>B20</f>
        <v>自然及人文环境</v>
      </c>
      <c r="R20" s="666" t="s">
        <v>14</v>
      </c>
      <c r="S20" s="667">
        <f>F20</f>
        <v>100</v>
      </c>
      <c r="T20" s="666" t="s">
        <v>14</v>
      </c>
      <c r="U20" s="667">
        <f>H20</f>
        <v>100</v>
      </c>
      <c r="V20" s="666" t="s">
        <v>14</v>
      </c>
      <c r="W20" s="667">
        <f>J20</f>
        <v>100</v>
      </c>
      <c r="X20" s="1264"/>
      <c r="Y20" s="3416"/>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16"/>
      <c r="Q21" s="1262"/>
      <c r="R21" s="666"/>
      <c r="S21" s="667"/>
      <c r="T21" s="666"/>
      <c r="U21" s="667"/>
      <c r="V21" s="666"/>
      <c r="W21" s="667"/>
      <c r="X21" s="1264"/>
      <c r="Y21" s="3416"/>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16"/>
      <c r="Q22" s="1262" t="str">
        <f>B22</f>
        <v>楼层</v>
      </c>
      <c r="R22" s="666" t="s">
        <v>14</v>
      </c>
      <c r="S22" s="667">
        <f>F22</f>
        <v>100</v>
      </c>
      <c r="T22" s="666" t="s">
        <v>14</v>
      </c>
      <c r="U22" s="667">
        <f>H22</f>
        <v>100</v>
      </c>
      <c r="V22" s="666" t="s">
        <v>14</v>
      </c>
      <c r="W22" s="667">
        <f>J22</f>
        <v>100</v>
      </c>
      <c r="X22" s="1264"/>
      <c r="Y22" s="3416"/>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16"/>
      <c r="Q23" s="1262">
        <f>B23</f>
        <v>111</v>
      </c>
      <c r="R23" s="666" t="s">
        <v>14</v>
      </c>
      <c r="S23" s="667">
        <f>F23</f>
        <v>100</v>
      </c>
      <c r="T23" s="666" t="s">
        <v>14</v>
      </c>
      <c r="U23" s="667">
        <f>H23</f>
        <v>100</v>
      </c>
      <c r="V23" s="666" t="s">
        <v>14</v>
      </c>
      <c r="W23" s="667">
        <f>J23</f>
        <v>100</v>
      </c>
      <c r="X23" s="1264"/>
      <c r="Y23" s="3416"/>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16"/>
      <c r="Q24" s="1262">
        <f t="shared" ref="Q24:Q34" si="11">B24</f>
        <v>111</v>
      </c>
      <c r="R24" s="666" t="s">
        <v>14</v>
      </c>
      <c r="S24" s="667">
        <f>F24</f>
        <v>100</v>
      </c>
      <c r="T24" s="666" t="s">
        <v>14</v>
      </c>
      <c r="U24" s="667">
        <f>H24</f>
        <v>100</v>
      </c>
      <c r="V24" s="666" t="s">
        <v>14</v>
      </c>
      <c r="W24" s="667">
        <f>J24</f>
        <v>100</v>
      </c>
      <c r="X24" s="1264"/>
      <c r="Y24" s="3416"/>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16"/>
      <c r="Q25" s="529">
        <f t="shared" si="11"/>
        <v>111</v>
      </c>
      <c r="R25" s="663" t="s">
        <v>14</v>
      </c>
      <c r="S25" s="664">
        <f>F25</f>
        <v>100</v>
      </c>
      <c r="T25" s="663" t="s">
        <v>14</v>
      </c>
      <c r="U25" s="664">
        <f>H25</f>
        <v>100</v>
      </c>
      <c r="V25" s="663" t="s">
        <v>14</v>
      </c>
      <c r="W25" s="664">
        <f>J25</f>
        <v>100</v>
      </c>
      <c r="X25" s="665"/>
      <c r="Y25" s="3416"/>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3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0"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20"/>
      <c r="Q27" s="530" t="str">
        <f t="shared" si="11"/>
        <v>成新率</v>
      </c>
      <c r="R27" s="668" t="s">
        <v>14</v>
      </c>
      <c r="S27" s="669" t="e">
        <f t="shared" si="12"/>
        <v>#N/A</v>
      </c>
      <c r="T27" s="668" t="s">
        <v>14</v>
      </c>
      <c r="U27" s="669" t="e">
        <f t="shared" si="13"/>
        <v>#N/A</v>
      </c>
      <c r="V27" s="668" t="s">
        <v>14</v>
      </c>
      <c r="W27" s="669" t="e">
        <f t="shared" si="14"/>
        <v>#N/A</v>
      </c>
      <c r="X27" s="670"/>
      <c r="Y27" s="3420"/>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20"/>
      <c r="Q28" s="1262" t="str">
        <f t="shared" si="11"/>
        <v>物业等级</v>
      </c>
      <c r="R28" s="666" t="s">
        <v>14</v>
      </c>
      <c r="S28" s="667">
        <f t="shared" si="12"/>
        <v>100</v>
      </c>
      <c r="T28" s="666" t="s">
        <v>14</v>
      </c>
      <c r="U28" s="667">
        <f t="shared" si="13"/>
        <v>100</v>
      </c>
      <c r="V28" s="666" t="s">
        <v>14</v>
      </c>
      <c r="W28" s="667">
        <f t="shared" si="14"/>
        <v>100</v>
      </c>
      <c r="X28" s="1264"/>
      <c r="Y28" s="3420"/>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20"/>
      <c r="Q29" s="1262" t="str">
        <f t="shared" si="11"/>
        <v>有无电梯</v>
      </c>
      <c r="R29" s="666" t="s">
        <v>14</v>
      </c>
      <c r="S29" s="667">
        <f t="shared" si="12"/>
        <v>100</v>
      </c>
      <c r="T29" s="666" t="s">
        <v>14</v>
      </c>
      <c r="U29" s="667">
        <f t="shared" si="13"/>
        <v>100</v>
      </c>
      <c r="V29" s="666" t="s">
        <v>14</v>
      </c>
      <c r="W29" s="667">
        <f t="shared" si="14"/>
        <v>100</v>
      </c>
      <c r="X29" s="1264"/>
      <c r="Y29" s="3420"/>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20"/>
      <c r="Q30" s="1262" t="str">
        <f t="shared" si="11"/>
        <v>建筑面积</v>
      </c>
      <c r="R30" s="666" t="s">
        <v>14</v>
      </c>
      <c r="S30" s="667" t="e">
        <f t="shared" si="12"/>
        <v>#N/A</v>
      </c>
      <c r="T30" s="666" t="s">
        <v>14</v>
      </c>
      <c r="U30" s="667" t="e">
        <f t="shared" si="13"/>
        <v>#N/A</v>
      </c>
      <c r="V30" s="666" t="s">
        <v>14</v>
      </c>
      <c r="W30" s="667" t="e">
        <f t="shared" si="14"/>
        <v>#N/A</v>
      </c>
      <c r="X30" s="1264"/>
      <c r="Y30" s="3420"/>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20"/>
      <c r="Q31" s="529" t="str">
        <f t="shared" si="11"/>
        <v>是否封闭</v>
      </c>
      <c r="R31" s="663" t="s">
        <v>14</v>
      </c>
      <c r="S31" s="664">
        <f t="shared" si="12"/>
        <v>100</v>
      </c>
      <c r="T31" s="663" t="s">
        <v>14</v>
      </c>
      <c r="U31" s="664">
        <f t="shared" si="13"/>
        <v>100</v>
      </c>
      <c r="V31" s="663" t="s">
        <v>14</v>
      </c>
      <c r="W31" s="664">
        <f t="shared" si="14"/>
        <v>100</v>
      </c>
      <c r="X31" s="665"/>
      <c r="Y31" s="3420"/>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20" t="s">
        <v>1696</v>
      </c>
      <c r="Q32" s="1262">
        <f t="shared" si="11"/>
        <v>111</v>
      </c>
      <c r="R32" s="666" t="s">
        <v>14</v>
      </c>
      <c r="S32" s="667">
        <f t="shared" si="12"/>
        <v>100</v>
      </c>
      <c r="T32" s="666" t="s">
        <v>14</v>
      </c>
      <c r="U32" s="667">
        <f t="shared" si="13"/>
        <v>100</v>
      </c>
      <c r="V32" s="666" t="s">
        <v>14</v>
      </c>
      <c r="W32" s="667">
        <f t="shared" si="14"/>
        <v>100</v>
      </c>
      <c r="X32" s="1264"/>
      <c r="Y32" s="3420"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20"/>
      <c r="Q33" s="1262">
        <f t="shared" si="11"/>
        <v>111</v>
      </c>
      <c r="R33" s="666" t="s">
        <v>14</v>
      </c>
      <c r="S33" s="667">
        <f t="shared" si="12"/>
        <v>100</v>
      </c>
      <c r="T33" s="666" t="s">
        <v>14</v>
      </c>
      <c r="U33" s="667">
        <f t="shared" si="13"/>
        <v>100</v>
      </c>
      <c r="V33" s="666" t="s">
        <v>14</v>
      </c>
      <c r="W33" s="667">
        <f t="shared" si="14"/>
        <v>100</v>
      </c>
      <c r="X33" s="1264"/>
      <c r="Y33" s="3420"/>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20"/>
      <c r="Q34" s="1262">
        <f t="shared" si="11"/>
        <v>111</v>
      </c>
      <c r="R34" s="666" t="s">
        <v>14</v>
      </c>
      <c r="S34" s="667">
        <f t="shared" si="12"/>
        <v>100</v>
      </c>
      <c r="T34" s="666" t="s">
        <v>14</v>
      </c>
      <c r="U34" s="667">
        <f t="shared" si="13"/>
        <v>100</v>
      </c>
      <c r="V34" s="666" t="s">
        <v>14</v>
      </c>
      <c r="W34" s="667">
        <f t="shared" si="14"/>
        <v>100</v>
      </c>
      <c r="X34" s="1264"/>
      <c r="Y34" s="3420"/>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3"/>
      <c r="M35" s="2486"/>
      <c r="N35" s="2486"/>
      <c r="O35" s="2486"/>
      <c r="P35" s="3422" t="str">
        <f>A35</f>
        <v>成交单价（元/平方米）</v>
      </c>
      <c r="Q35" s="3422"/>
      <c r="R35" s="3410">
        <f>E35</f>
        <v>0</v>
      </c>
      <c r="S35" s="3410"/>
      <c r="T35" s="3410">
        <f>G35</f>
        <v>0</v>
      </c>
      <c r="U35" s="3410"/>
      <c r="V35" s="3410">
        <f>I35</f>
        <v>0</v>
      </c>
      <c r="W35" s="3410"/>
      <c r="X35" s="384"/>
      <c r="Y35" s="672"/>
      <c r="Z35" s="384"/>
      <c r="AA35" s="384"/>
      <c r="AB35" s="384"/>
      <c r="AC35" s="384"/>
    </row>
    <row r="36" spans="1:30" ht="15.75" thickBot="1">
      <c r="A36" s="422" t="s">
        <v>1793</v>
      </c>
      <c r="B36" s="423"/>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422" t="str">
        <f>A36</f>
        <v>比较价值（元/平方米）</v>
      </c>
      <c r="Q36" s="3422"/>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39" t="str">
        <f>A37</f>
        <v>估价对象XX用房的比较价值（楼面单价，元/平方米）</v>
      </c>
      <c r="Q37" s="3440"/>
      <c r="R37" s="3488" t="e">
        <f>IF(F1="售价",ROUND(IF(D36="简单平均",AVERAGE(R36:W36),R36*F36+T36*H36+V36*J36),0),ROUND(IF(D36="简单平均",AVERAGE(R36:V36),R36*F36+T36*H36+V36*J36),1))</f>
        <v>#DIV/0!</v>
      </c>
      <c r="S37" s="3488"/>
      <c r="T37" s="3488"/>
      <c r="U37" s="3488"/>
      <c r="V37" s="3488"/>
      <c r="W37" s="3488"/>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1" customFormat="1" ht="15">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5.75"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3D892-0AD6-4ECB-AAE9-89DD22D93D88}">
  <sheetPr>
    <tabColor rgb="FF92D050"/>
  </sheetPr>
  <dimension ref="A1:AK83"/>
  <sheetViews>
    <sheetView view="pageBreakPreview" zoomScale="85" zoomScaleNormal="70" zoomScaleSheetLayoutView="85" workbookViewId="0">
      <selection activeCell="J57" sqref="J57"/>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31.04</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267562</v>
      </c>
      <c r="C2" s="1288" t="s">
        <v>805</v>
      </c>
      <c r="D2" s="1288"/>
      <c r="E2" s="1294"/>
      <c r="F2" s="1295"/>
      <c r="G2" s="2477"/>
      <c r="H2" s="2467"/>
      <c r="I2" s="2467"/>
      <c r="J2" s="2467"/>
      <c r="K2" s="2468"/>
      <c r="L2" s="2467"/>
      <c r="M2" s="2467"/>
    </row>
    <row r="3" spans="1:37" ht="18" customHeight="1" thickBot="1">
      <c r="A3" s="1296" t="s">
        <v>806</v>
      </c>
      <c r="B3" s="1297">
        <f ca="1">IF(ISERROR(B2*10000/F43),0,ROUND(B2*10000/F43,0))</f>
        <v>37110</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18972</v>
      </c>
      <c r="D5" s="1272" t="s">
        <v>693</v>
      </c>
      <c r="E5" s="1007"/>
      <c r="F5" s="1008"/>
      <c r="G5" s="1291"/>
      <c r="H5" s="290">
        <v>1</v>
      </c>
      <c r="I5" s="291" t="s">
        <v>692</v>
      </c>
      <c r="J5" s="1006">
        <f ca="1">J6+J10+J12</f>
        <v>0</v>
      </c>
      <c r="K5" s="1272" t="s">
        <v>693</v>
      </c>
      <c r="L5" s="1007"/>
      <c r="M5" s="1008"/>
    </row>
    <row r="6" spans="1:37" ht="18" customHeight="1">
      <c r="A6" s="1005" t="s">
        <v>398</v>
      </c>
      <c r="B6" s="3464" t="s">
        <v>694</v>
      </c>
      <c r="C6" s="1010">
        <f ca="1">ROUND(F6*F8*F7*(1-F9)/10000,0)</f>
        <v>18948</v>
      </c>
      <c r="D6" s="146" t="s">
        <v>2107</v>
      </c>
      <c r="E6" s="293" t="s">
        <v>696</v>
      </c>
      <c r="F6" s="294">
        <f ca="1">INDIRECT("'数据-取费表'!u"&amp;$G$1)</f>
        <v>8</v>
      </c>
      <c r="G6" s="1291"/>
      <c r="H6" s="1005" t="s">
        <v>398</v>
      </c>
      <c r="I6" s="3464" t="s">
        <v>694</v>
      </c>
      <c r="J6" s="292">
        <f ca="1">ROUND(M6*M8*M7*(1-M9)/10000,0)</f>
        <v>0</v>
      </c>
      <c r="K6" s="146" t="s">
        <v>2106</v>
      </c>
      <c r="L6" s="293" t="s">
        <v>696</v>
      </c>
      <c r="M6" s="294">
        <f ca="1">INDIRECT("'数据-取费表'!z"&amp;$G$1)</f>
        <v>0</v>
      </c>
    </row>
    <row r="7" spans="1:37" ht="18" customHeight="1">
      <c r="A7" s="1009"/>
      <c r="B7" s="3465"/>
      <c r="C7" s="1011"/>
      <c r="D7" s="298"/>
      <c r="E7" s="1012" t="s">
        <v>697</v>
      </c>
      <c r="F7" s="294">
        <f ca="1">IF(INDIRECT("'数据-取费表'!ah"&amp;$G$1)="",INDIRECT("'数据-取费表'!k"&amp;$G$1),INDIRECT("'数据-取费表'!ah"&amp;$G$1))</f>
        <v>72100.340000000011</v>
      </c>
      <c r="G7" s="1291"/>
      <c r="H7" s="295"/>
      <c r="I7" s="3465"/>
      <c r="J7" s="297"/>
      <c r="K7" s="298"/>
      <c r="L7" s="293" t="s">
        <v>697</v>
      </c>
      <c r="M7" s="294">
        <f ca="1">F7</f>
        <v>72100.340000000011</v>
      </c>
    </row>
    <row r="8" spans="1:37" ht="18" customHeight="1">
      <c r="A8" s="295"/>
      <c r="B8" s="3465"/>
      <c r="C8" s="297"/>
      <c r="D8" s="298"/>
      <c r="E8" s="293" t="s">
        <v>698</v>
      </c>
      <c r="F8" s="294">
        <f ca="1">INDIRECT("'数据-取费表'!ai"&amp;$G$1)</f>
        <v>365</v>
      </c>
      <c r="G8" s="1291"/>
      <c r="H8" s="295"/>
      <c r="I8" s="3465"/>
      <c r="J8" s="297"/>
      <c r="K8" s="298"/>
      <c r="L8" s="293" t="s">
        <v>698</v>
      </c>
      <c r="M8" s="294">
        <f ca="1">INDIRECT("'数据-取费表'!ai"&amp;$G$1)</f>
        <v>365</v>
      </c>
    </row>
    <row r="9" spans="1:37" ht="18" customHeight="1">
      <c r="A9" s="295"/>
      <c r="B9" s="3466"/>
      <c r="C9" s="297"/>
      <c r="D9" s="298"/>
      <c r="E9" s="293" t="s">
        <v>699</v>
      </c>
      <c r="F9" s="303">
        <f ca="1">INDIRECT("'数据-取费表'!w"&amp;$G$1)</f>
        <v>0.1</v>
      </c>
      <c r="G9" s="1291"/>
      <c r="H9" s="295"/>
      <c r="I9" s="3466"/>
      <c r="J9" s="297"/>
      <c r="K9" s="298"/>
      <c r="L9" s="304" t="s">
        <v>699</v>
      </c>
      <c r="M9" s="305">
        <f ca="1">INDIRECT("'数据-取费表'!ab"&amp;$G$1)</f>
        <v>0</v>
      </c>
    </row>
    <row r="10" spans="1:37" ht="18" customHeight="1">
      <c r="A10" s="1005" t="s">
        <v>402</v>
      </c>
      <c r="B10" s="1273" t="s">
        <v>700</v>
      </c>
      <c r="C10" s="307">
        <f ca="1">ROUND(IF(F10="押一",C6/12*F11,IF(F10="押二",C6/12*2*F11,IF(F10="押三",C6/12*3*F11,C11*F11))),0)</f>
        <v>24</v>
      </c>
      <c r="D10" s="149" t="s">
        <v>2114</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55044</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43260</v>
      </c>
      <c r="D14" s="1256" t="s">
        <v>708</v>
      </c>
      <c r="E14" s="1254"/>
      <c r="F14" s="310"/>
      <c r="G14" s="1291"/>
      <c r="H14" s="927" t="s">
        <v>398</v>
      </c>
      <c r="I14" s="293" t="s">
        <v>709</v>
      </c>
      <c r="J14" s="20">
        <f ca="1">C29</f>
        <v>66318</v>
      </c>
      <c r="K14" s="11"/>
      <c r="L14" s="758"/>
      <c r="M14" s="759"/>
    </row>
    <row r="15" spans="1:37" s="1303" customFormat="1" ht="18" customHeight="1" thickBot="1">
      <c r="A15" s="927" t="s">
        <v>399</v>
      </c>
      <c r="B15" s="293" t="s">
        <v>710</v>
      </c>
      <c r="C15" s="20">
        <f ca="1">ROUND(C14*F15,0)</f>
        <v>2163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357</v>
      </c>
      <c r="K16" s="1023" t="s">
        <v>715</v>
      </c>
      <c r="L16" s="1024"/>
      <c r="M16" s="1008"/>
    </row>
    <row r="17" spans="1:37" s="1303" customFormat="1" ht="18" customHeight="1">
      <c r="A17" s="927" t="s">
        <v>681</v>
      </c>
      <c r="B17" s="293" t="s">
        <v>716</v>
      </c>
      <c r="C17" s="20">
        <f ca="1">ROUND(F17*(F43+INDIRECT("'数据-取费表'!S"&amp;$G$1))/10000,0)</f>
        <v>1442</v>
      </c>
      <c r="D17" s="293" t="s">
        <v>717</v>
      </c>
      <c r="E17" s="293" t="s">
        <v>718</v>
      </c>
      <c r="F17" s="22">
        <f>'数据-取费表'!B35</f>
        <v>200</v>
      </c>
      <c r="G17" s="1302"/>
      <c r="H17" s="927" t="s">
        <v>398</v>
      </c>
      <c r="I17" s="293" t="s">
        <v>719</v>
      </c>
      <c r="J17" s="2139">
        <f ca="1">ROUND(IF(AND(项目基本情况!B11="自然人",项目基本情况!B10="北京市"),J6*M17/(1+'数据-取费表'!C42),J18+J19+J20),2)</f>
        <v>25.54</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865</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47730</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955</v>
      </c>
      <c r="D20" s="314" t="s">
        <v>729</v>
      </c>
      <c r="E20" s="293" t="s">
        <v>712</v>
      </c>
      <c r="F20" s="313">
        <f>'数据-取费表'!B37</f>
        <v>0.02</v>
      </c>
      <c r="G20" s="1302"/>
      <c r="H20" s="927" t="s">
        <v>680</v>
      </c>
      <c r="I20" s="146" t="s">
        <v>730</v>
      </c>
      <c r="J20" s="21">
        <f ca="1">ROUND(M20*M21/10000,2)</f>
        <v>25.54</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14190.43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331.59</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1894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-357</v>
      </c>
      <c r="K25" s="1031" t="s">
        <v>753</v>
      </c>
      <c r="L25" s="1032"/>
      <c r="M25" s="1033"/>
    </row>
    <row r="26" spans="1:37">
      <c r="A26" s="927" t="s">
        <v>397</v>
      </c>
      <c r="B26" s="293" t="s">
        <v>754</v>
      </c>
      <c r="C26" s="20">
        <f ca="1">ROUND((C19+C20)*F26,0)</f>
        <v>9737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66318</v>
      </c>
      <c r="D29" s="1028"/>
      <c r="E29" s="1026"/>
      <c r="F29" s="1029"/>
      <c r="G29" s="1302"/>
      <c r="H29" s="324" t="s">
        <v>396</v>
      </c>
      <c r="I29" s="325" t="s">
        <v>768</v>
      </c>
      <c r="J29" s="326">
        <f ca="1">ROUND(J26/(1+F40)^F41,0)</f>
        <v>0</v>
      </c>
      <c r="K29" s="327" t="s">
        <v>769</v>
      </c>
      <c r="L29" s="328"/>
      <c r="M29" s="329">
        <f ca="1">INDIRECT("'数据-取费表'!k"&amp;$G$1)</f>
        <v>72100.340000000011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3778</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3201.59</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1010.56</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2165.4899999999998</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25.54</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14190.43</v>
      </c>
      <c r="G35" s="1291"/>
      <c r="H35" s="2469"/>
      <c r="I35" s="1304"/>
      <c r="J35" s="1305"/>
      <c r="K35" s="2473"/>
      <c r="L35" s="2472"/>
      <c r="M35" s="2472"/>
    </row>
    <row r="36" spans="1:18" ht="18" customHeight="1">
      <c r="A36" s="1038" t="s">
        <v>402</v>
      </c>
      <c r="B36" s="293" t="s">
        <v>738</v>
      </c>
      <c r="C36" s="20">
        <f ca="1">ROUND(C29*F36,2)</f>
        <v>331.59</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55.04</v>
      </c>
      <c r="D37" s="1255" t="s">
        <v>743</v>
      </c>
      <c r="E37" s="293" t="s">
        <v>712</v>
      </c>
      <c r="F37" s="320">
        <f ca="1">INDIRECT("'数据-取费表'!Al"&amp;$G$1)</f>
        <v>1E-3</v>
      </c>
      <c r="G37" s="1291"/>
      <c r="H37" s="2472"/>
      <c r="I37" s="1304"/>
      <c r="J37" s="1305"/>
      <c r="K37" s="2330"/>
      <c r="L37" s="2472"/>
      <c r="M37" s="2472"/>
    </row>
    <row r="38" spans="1:18" ht="18" customHeight="1" thickBot="1">
      <c r="A38" s="1025" t="s">
        <v>683</v>
      </c>
      <c r="B38" s="1026" t="s">
        <v>728</v>
      </c>
      <c r="C38" s="1027">
        <f ca="1">ROUND(C5*F38,2)</f>
        <v>189.72</v>
      </c>
      <c r="D38" s="1028" t="s">
        <v>748</v>
      </c>
      <c r="E38" s="1026" t="s">
        <v>712</v>
      </c>
      <c r="F38" s="1022">
        <f ca="1">INDIRECT("'数据-取费表'!Am"&amp;$G$1)</f>
        <v>0.01</v>
      </c>
      <c r="G38" s="1291"/>
      <c r="H38" s="2472"/>
      <c r="I38" s="1304"/>
      <c r="J38" s="1305"/>
      <c r="K38" s="2470"/>
      <c r="L38" s="2472"/>
      <c r="M38" s="2472"/>
    </row>
    <row r="39" spans="1:18" ht="24.6" customHeight="1" thickTop="1">
      <c r="A39" s="1015" t="s">
        <v>394</v>
      </c>
      <c r="B39" s="1030" t="s">
        <v>752</v>
      </c>
      <c r="C39" s="301">
        <f ca="1">C5-C30</f>
        <v>15194</v>
      </c>
      <c r="D39" s="1031" t="s">
        <v>753</v>
      </c>
      <c r="E39" s="1032"/>
      <c r="F39" s="1033"/>
      <c r="G39" s="1291"/>
      <c r="H39" s="2472"/>
      <c r="I39" s="1304"/>
      <c r="J39" s="1305"/>
      <c r="K39" s="2470"/>
      <c r="L39" s="2472"/>
      <c r="M39" s="2472"/>
    </row>
    <row r="40" spans="1:18" ht="18" customHeight="1">
      <c r="A40" s="290" t="s">
        <v>395</v>
      </c>
      <c r="B40" s="291" t="s">
        <v>774</v>
      </c>
      <c r="C40" s="292">
        <f ca="1">ROUND(C39*(1-((1+F42)/(1+F40))^F41)/(F40-F42),0)</f>
        <v>264752</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31.04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36720</v>
      </c>
      <c r="D43" s="327" t="s">
        <v>777</v>
      </c>
      <c r="E43" s="328" t="s">
        <v>778</v>
      </c>
      <c r="F43" s="329">
        <f ca="1">INDIRECT("'数据-取费表'!k"&amp;$G$1)</f>
        <v>72100.340000000011</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-270507</v>
      </c>
      <c r="D46" s="1312" t="str">
        <f>C2</f>
        <v>万元</v>
      </c>
      <c r="E46" s="1306"/>
      <c r="F46" s="1306"/>
      <c r="I46" s="1313" t="s">
        <v>810</v>
      </c>
      <c r="J46" s="1314"/>
      <c r="K46" s="1315"/>
      <c r="L46" s="1316">
        <f ca="1">IF(M47="住宅",0,IF(L48&gt;J51,L60,J60))</f>
        <v>2810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50</v>
      </c>
      <c r="M47" s="1287" t="str">
        <f>IF(ISNUMBER(FIND("住宅",C1)),"住宅","非住宅")</f>
        <v>非住宅</v>
      </c>
      <c r="O47" s="1324" t="s">
        <v>403</v>
      </c>
      <c r="P47" s="1325" t="s">
        <v>817</v>
      </c>
      <c r="Q47" s="1326">
        <f ca="1">C40+J29</f>
        <v>264752</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31.04</v>
      </c>
      <c r="O48" s="1324" t="s">
        <v>404</v>
      </c>
      <c r="P48" s="1325" t="s">
        <v>821</v>
      </c>
      <c r="Q48" s="1326">
        <f ca="1">J60</f>
        <v>2810</v>
      </c>
      <c r="R48" s="1326" t="s">
        <v>822</v>
      </c>
    </row>
    <row r="49" spans="1:18" s="1291" customFormat="1" ht="13.5" thickBot="1">
      <c r="A49" s="920" t="s">
        <v>439</v>
      </c>
      <c r="B49" s="1278" t="s">
        <v>779</v>
      </c>
      <c r="C49" s="1050">
        <f ca="1">ROUND(F49*F51*F50*(1-F52)/10000,0)</f>
        <v>0</v>
      </c>
      <c r="D49" s="991" t="s">
        <v>2106</v>
      </c>
      <c r="E49" s="1279" t="s">
        <v>780</v>
      </c>
      <c r="F49" s="996"/>
      <c r="H49" s="681"/>
      <c r="I49" s="1327" t="s">
        <v>823</v>
      </c>
      <c r="J49" s="1331">
        <v>2009</v>
      </c>
      <c r="K49" s="1329" t="s">
        <v>824</v>
      </c>
      <c r="L49" s="1332"/>
      <c r="O49" s="1333" t="s">
        <v>405</v>
      </c>
      <c r="P49" s="1325" t="s">
        <v>825</v>
      </c>
      <c r="Q49" s="1326">
        <f ca="1">C29</f>
        <v>66318</v>
      </c>
      <c r="R49" s="1326" t="s">
        <v>818</v>
      </c>
    </row>
    <row r="50" spans="1:18" s="1291" customFormat="1" ht="13.5" thickBot="1">
      <c r="A50" s="921"/>
      <c r="B50" s="924"/>
      <c r="C50" s="1054"/>
      <c r="D50" s="898"/>
      <c r="E50" s="992" t="s">
        <v>697</v>
      </c>
      <c r="F50" s="993">
        <f ca="1">F7</f>
        <v>72100.340000000011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187666</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31.04</v>
      </c>
      <c r="K53" s="3462" t="s">
        <v>837</v>
      </c>
      <c r="L53" s="3463"/>
      <c r="O53" s="1324" t="s">
        <v>409</v>
      </c>
      <c r="P53" s="1325" t="s">
        <v>838</v>
      </c>
      <c r="Q53" s="1326">
        <f ca="1">Q47+Q48</f>
        <v>267562</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0.23300000000000001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55044</v>
      </c>
      <c r="D56" s="1351"/>
      <c r="E56" s="1352"/>
      <c r="F56" s="1344"/>
      <c r="I56" s="1353" t="s">
        <v>842</v>
      </c>
      <c r="J56" s="1354" t="s">
        <v>3609</v>
      </c>
      <c r="K56" s="1327" t="s">
        <v>843</v>
      </c>
      <c r="L56" s="1330" t="str">
        <f ca="1">IF(L48&lt;J51,"——",L48-J53)</f>
        <v>——</v>
      </c>
      <c r="O56" s="1324" t="s">
        <v>403</v>
      </c>
      <c r="P56" s="1325" t="s">
        <v>817</v>
      </c>
      <c r="Q56" s="1326">
        <f ca="1">C40+J29</f>
        <v>264752</v>
      </c>
      <c r="R56" s="1326" t="s">
        <v>818</v>
      </c>
    </row>
    <row r="57" spans="1:18" s="1291" customFormat="1" ht="24.75" thickBot="1">
      <c r="A57" s="1355"/>
      <c r="B57" s="895" t="s">
        <v>767</v>
      </c>
      <c r="C57" s="229">
        <f ca="1">C29</f>
        <v>66318</v>
      </c>
      <c r="D57" s="1356"/>
      <c r="E57" s="1357"/>
      <c r="F57" s="1358"/>
      <c r="I57" s="1359" t="s">
        <v>844</v>
      </c>
      <c r="J57" s="1360">
        <f ca="1">IF(OR(M47="住宅",J51&lt;L48,J56="是"),"——",J51-L48)</f>
        <v>13.96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413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26</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26527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2810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0">
        <f ca="1">IF(项目基本情况!B11="自然人","——",IF(D61="按租金收入计税",ROUND(C49*F61/(1+'数据-取费表'!C42),2),IF(D61="按房产原值计税",ROUND(C57*F61*0.7,2),INDIRECT("'数据-取费表'!Aj"&amp;$G$1))))</f>
        <v>0</v>
      </c>
      <c r="D61" s="1277" t="s">
        <v>3326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1">
        <f ca="1">IF(项目基本情况!B11="自然人","——",ROUND(F62*F63/10000,2))</f>
        <v>25.54</v>
      </c>
      <c r="D62" s="910" t="s">
        <v>731</v>
      </c>
      <c r="E62" s="895" t="s">
        <v>732</v>
      </c>
      <c r="F62" s="316">
        <f t="shared" si="0"/>
        <v>18</v>
      </c>
      <c r="I62" s="1366" t="s">
        <v>858</v>
      </c>
      <c r="J62" s="609" t="s">
        <v>859</v>
      </c>
      <c r="K62" s="609" t="s">
        <v>860</v>
      </c>
      <c r="L62" s="609" t="s">
        <v>861</v>
      </c>
      <c r="M62" s="1367" t="s">
        <v>862</v>
      </c>
      <c r="O62" s="1324" t="s">
        <v>409</v>
      </c>
      <c r="P62" s="1325" t="s">
        <v>838</v>
      </c>
      <c r="Q62" s="1326">
        <f ca="1">Q56+Q57</f>
        <v>264752</v>
      </c>
      <c r="R62" s="1326" t="s">
        <v>410</v>
      </c>
    </row>
    <row r="63" spans="1:18" s="1291" customFormat="1" ht="13.5" thickBot="1">
      <c r="A63" s="317"/>
      <c r="B63" s="901"/>
      <c r="C63" s="25"/>
      <c r="D63" s="911"/>
      <c r="E63" s="895" t="s">
        <v>736</v>
      </c>
      <c r="F63" s="294">
        <f t="shared" ca="1" si="0"/>
        <v>14190.43</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0">
        <f ca="1">ROUND(C57*F64,2)</f>
        <v>331.59</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55.04</v>
      </c>
      <c r="D65" s="909" t="s">
        <v>743</v>
      </c>
      <c r="E65" s="895" t="s">
        <v>712</v>
      </c>
      <c r="F65" s="320">
        <f t="shared" ca="1" si="0"/>
        <v>1E-3</v>
      </c>
      <c r="I65" s="1366" t="s">
        <v>867</v>
      </c>
      <c r="J65" s="609">
        <v>40</v>
      </c>
      <c r="K65" s="609">
        <v>30</v>
      </c>
      <c r="L65" s="609">
        <v>50</v>
      </c>
      <c r="M65" s="1368">
        <v>0.02</v>
      </c>
      <c r="O65" s="1324" t="s">
        <v>403</v>
      </c>
      <c r="P65" s="1325" t="s">
        <v>817</v>
      </c>
      <c r="Q65" s="1326">
        <f ca="1">C40+J29</f>
        <v>264752</v>
      </c>
      <c r="R65" s="1326" t="s">
        <v>818</v>
      </c>
    </row>
    <row r="66" spans="1:18" s="1291" customFormat="1" ht="16.5" thickBot="1">
      <c r="A66" s="927" t="s">
        <v>793</v>
      </c>
      <c r="B66" s="895" t="s">
        <v>728</v>
      </c>
      <c r="C66" s="20">
        <f ca="1">ROUND(C48*F66,2)</f>
        <v>0</v>
      </c>
      <c r="D66" s="909" t="s">
        <v>748</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-413</v>
      </c>
      <c r="D67" s="908" t="s">
        <v>753</v>
      </c>
      <c r="E67" s="913"/>
      <c r="F67" s="914"/>
      <c r="O67" s="1333" t="s">
        <v>405</v>
      </c>
      <c r="P67" s="1325" t="s">
        <v>850</v>
      </c>
      <c r="Q67" s="1369">
        <f ca="1">L51</f>
        <v>187666</v>
      </c>
      <c r="R67" s="1326" t="s">
        <v>870</v>
      </c>
    </row>
    <row r="68" spans="1:18" s="1291" customFormat="1" ht="16.5" thickBot="1">
      <c r="A68" s="892" t="s">
        <v>395</v>
      </c>
      <c r="B68" s="893" t="s">
        <v>774</v>
      </c>
      <c r="C68" s="292">
        <f ca="1">ROUND(C67*(1-((1+F70)/(1+F68))^F69)/(F68-F70),0)</f>
        <v>-5755</v>
      </c>
      <c r="D68" s="910" t="s">
        <v>758</v>
      </c>
      <c r="E68" s="895" t="s">
        <v>759</v>
      </c>
      <c r="F68" s="303">
        <f ca="1">F40</f>
        <v>0.06</v>
      </c>
      <c r="O68" s="1333" t="s">
        <v>406</v>
      </c>
      <c r="P68" s="1370" t="s">
        <v>871</v>
      </c>
      <c r="Q68" s="1326">
        <f ca="1">ROUND(Q69-Q70*Q71,0)</f>
        <v>11341</v>
      </c>
      <c r="R68" s="1326" t="s">
        <v>414</v>
      </c>
    </row>
    <row r="69" spans="1:18" s="1291" customFormat="1" ht="13.5" thickBot="1">
      <c r="A69" s="896"/>
      <c r="B69" s="897"/>
      <c r="C69" s="297"/>
      <c r="D69" s="915" t="s">
        <v>762</v>
      </c>
      <c r="E69" s="895" t="s">
        <v>763</v>
      </c>
      <c r="F69" s="323">
        <f ca="1">F41</f>
        <v>31.04</v>
      </c>
      <c r="O69" s="1333" t="s">
        <v>411</v>
      </c>
      <c r="P69" s="1370" t="s">
        <v>872</v>
      </c>
      <c r="Q69" s="1326">
        <f ca="1">C39</f>
        <v>15194</v>
      </c>
      <c r="R69" s="1326" t="s">
        <v>818</v>
      </c>
    </row>
    <row r="70" spans="1:18" s="1291" customFormat="1" ht="13.5" thickBot="1">
      <c r="A70" s="899"/>
      <c r="B70" s="900"/>
      <c r="C70" s="301"/>
      <c r="D70" s="911"/>
      <c r="E70" s="895" t="s">
        <v>766</v>
      </c>
      <c r="F70" s="990"/>
      <c r="O70" s="1333" t="s">
        <v>412</v>
      </c>
      <c r="P70" s="1370" t="s">
        <v>873</v>
      </c>
      <c r="Q70" s="1326">
        <f ca="1">C13</f>
        <v>55044</v>
      </c>
      <c r="R70" s="1326" t="s">
        <v>818</v>
      </c>
    </row>
    <row r="71" spans="1:18" s="1291" customFormat="1" ht="13.5" thickBot="1">
      <c r="A71" s="916" t="s">
        <v>396</v>
      </c>
      <c r="B71" s="917" t="s">
        <v>776</v>
      </c>
      <c r="C71" s="326">
        <f ca="1">ROUND(C68*10000/F71,0)</f>
        <v>-798</v>
      </c>
      <c r="D71" s="918" t="s">
        <v>777</v>
      </c>
      <c r="E71" s="919" t="s">
        <v>778</v>
      </c>
      <c r="F71" s="329">
        <f ca="1">F43</f>
        <v>72100.340000000011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3853</v>
      </c>
      <c r="D75" s="1291"/>
      <c r="E75" s="1291"/>
      <c r="F75" s="1291"/>
      <c r="K75" s="1308"/>
      <c r="L75" s="1291"/>
      <c r="O75" s="1324" t="s">
        <v>409</v>
      </c>
      <c r="P75" s="1325" t="s">
        <v>838</v>
      </c>
      <c r="Q75" s="1326">
        <f ca="1">Q65+Q66</f>
        <v>264752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0.746</v>
      </c>
    </row>
    <row r="80" spans="1:18">
      <c r="B80" s="330" t="s">
        <v>800</v>
      </c>
      <c r="C80" s="265">
        <f ca="1">ROUND(C75/C39,3)</f>
        <v>0.254</v>
      </c>
    </row>
    <row r="81" spans="2:3">
      <c r="B81" s="261" t="s">
        <v>801</v>
      </c>
      <c r="C81" s="229"/>
    </row>
    <row r="82" spans="2:3">
      <c r="B82" s="264" t="s">
        <v>802</v>
      </c>
      <c r="C82" s="266">
        <f ca="1">1-C83</f>
        <v>0.79200000000000004</v>
      </c>
    </row>
    <row r="83" spans="2:3">
      <c r="B83" s="264" t="s">
        <v>803</v>
      </c>
      <c r="C83" s="265">
        <f ca="1">ROUND(C13/C40,3)</f>
        <v>0.20799999999999999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xr:uid="{13651C79-1101-42DD-90E0-B79616A6EFF6}">
      <formula1>"在建（套用方法）,土地（套用方法）,——"</formula1>
    </dataValidation>
    <dataValidation type="list" allowBlank="1" showInputMessage="1" showErrorMessage="1" sqref="M10 F10 F53" xr:uid="{DE86A030-F3C6-4EAA-B53B-AEADDE6B852D}">
      <formula1>"押一,押二,押三,自定义"</formula1>
    </dataValidation>
    <dataValidation type="list" allowBlank="1" showInputMessage="1" showErrorMessage="1" sqref="L55" xr:uid="{E72A9716-4FCC-40BA-8C7C-279EA1C9DC57}">
      <formula1>"比较法,基准地价,收益还原"</formula1>
    </dataValidation>
    <dataValidation type="list" allowBlank="1" showInputMessage="1" showErrorMessage="1" sqref="J56" xr:uid="{31615681-C891-428D-AA46-D6F343229830}">
      <formula1>估价范围判定</formula1>
    </dataValidation>
    <dataValidation type="list" allowBlank="1" showInputMessage="1" showErrorMessage="1" sqref="J48" xr:uid="{000F13CE-8669-40B1-BF99-985BB8DD9C73}">
      <formula1>"非生产用房,生产用房,受腐蚀的生产用房"</formula1>
    </dataValidation>
    <dataValidation type="list" allowBlank="1" showInputMessage="1" showErrorMessage="1" sqref="J47" xr:uid="{3BF64951-15FB-4AD5-9A5B-415D17BB7069}">
      <formula1>"钢,钢混,砖混"</formula1>
    </dataValidation>
    <dataValidation type="list" allowBlank="1" showInputMessage="1" showErrorMessage="1" sqref="C1" xr:uid="{B0CBCCE9-FF39-4C29-AE30-F8A9011568A5}">
      <formula1>项目类型</formula1>
    </dataValidation>
    <dataValidation type="list" allowBlank="1" showInputMessage="1" showErrorMessage="1" sqref="D33 D61" xr:uid="{061460B7-1215-41AE-A5CA-7D80F7D057A4}">
      <formula1>"按租金收入计税,按房产原值计税,按票据"</formula1>
    </dataValidation>
    <dataValidation type="list" allowBlank="1" showInputMessage="1" showErrorMessage="1" sqref="K19" xr:uid="{41D1135B-ACB3-4478-A3C1-5F39954936C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D7" sqref="D7"/>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75">
      <c r="A2" s="1727" t="s">
        <v>1462</v>
      </c>
      <c r="B2" s="810">
        <f ca="1">SUMIF(B6:B13,"&lt;&gt;#ref!",B6:B13)</f>
        <v>333214</v>
      </c>
      <c r="C2" s="1728" t="s">
        <v>1651</v>
      </c>
      <c r="D2" s="1729" t="s">
        <v>1652</v>
      </c>
      <c r="E2" s="2392">
        <f>SUM(E6:E13)</f>
        <v>98928.560000000012</v>
      </c>
      <c r="F2" s="2478"/>
      <c r="G2" s="458"/>
      <c r="H2" s="458"/>
      <c r="I2" s="458"/>
      <c r="J2" s="458"/>
      <c r="K2" s="458"/>
      <c r="L2" s="458"/>
      <c r="M2" s="458"/>
      <c r="N2" s="458"/>
      <c r="O2" s="458"/>
      <c r="P2" s="458"/>
      <c r="Q2" s="458"/>
      <c r="R2" s="458"/>
      <c r="S2" s="458"/>
    </row>
    <row r="3" spans="1:22" ht="15.75">
      <c r="A3" s="1727" t="s">
        <v>686</v>
      </c>
      <c r="B3" s="2386">
        <f ca="1">ROUND(B2*10000/E2,0)</f>
        <v>33682</v>
      </c>
      <c r="C3" s="1728"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8" t="s">
        <v>1653</v>
      </c>
      <c r="B5" s="3489" t="s">
        <v>1654</v>
      </c>
      <c r="C5" s="3490"/>
      <c r="D5" s="2479"/>
      <c r="E5" s="1730" t="s">
        <v>1655</v>
      </c>
      <c r="F5" s="128" t="s">
        <v>1656</v>
      </c>
      <c r="G5" s="458"/>
      <c r="H5" s="458"/>
      <c r="I5" s="458"/>
      <c r="J5" s="458"/>
      <c r="K5" s="458"/>
      <c r="L5" s="458"/>
      <c r="M5" s="458"/>
      <c r="N5" s="458"/>
      <c r="O5" s="458"/>
      <c r="P5" s="458"/>
      <c r="Q5" s="458"/>
      <c r="R5" s="458"/>
      <c r="S5" s="458"/>
    </row>
    <row r="6" spans="1:22">
      <c r="A6" s="2389" t="str">
        <f>'数据-取费表'!AN6</f>
        <v>收益法-商业</v>
      </c>
      <c r="B6" s="2387">
        <f ca="1">IF(F6="是",'数据-取费表'!AO6,0)</f>
        <v>65652</v>
      </c>
      <c r="C6" s="1728" t="s">
        <v>1651</v>
      </c>
      <c r="D6" s="2478"/>
      <c r="E6" s="2391">
        <f>IF(OR(A6=0,F6="否"),0,'数据-取费表'!K6+'数据-取费表'!S6)</f>
        <v>26828.22</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267562</v>
      </c>
      <c r="C7" s="1728" t="s">
        <v>1651</v>
      </c>
      <c r="D7" s="2478"/>
      <c r="E7" s="2391">
        <f>IF(OR(A7=0,F7="否"),0,'数据-取费表'!K7+'数据-取费表'!S7)</f>
        <v>72100.340000000011</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CE90-9A58-428D-8BA2-5B2109AACB3A}">
  <sheetPr>
    <tabColor theme="0" tint="-0.14999847407452621"/>
  </sheetPr>
  <dimension ref="A1:T12"/>
  <sheetViews>
    <sheetView workbookViewId="0">
      <selection activeCell="F22" sqref="F22"/>
    </sheetView>
  </sheetViews>
  <sheetFormatPr defaultRowHeight="13.5"/>
  <cols>
    <col min="1" max="1" width="28.25" customWidth="1"/>
    <col min="2" max="2" width="8.375" customWidth="1"/>
    <col min="3" max="3" width="15.125" hidden="1" customWidth="1"/>
    <col min="4" max="4" width="11.875" customWidth="1"/>
    <col min="5" max="5" width="12.25" customWidth="1"/>
    <col min="6" max="6" width="10.875" customWidth="1"/>
    <col min="7" max="7" width="9.5" bestFit="1" customWidth="1"/>
    <col min="9" max="9" width="14.25" customWidth="1"/>
    <col min="10" max="11" width="0" hidden="1" customWidth="1"/>
    <col min="12" max="12" width="10.875" customWidth="1"/>
    <col min="14" max="14" width="12.75" customWidth="1"/>
    <col min="15" max="17" width="0" hidden="1" customWidth="1"/>
  </cols>
  <sheetData>
    <row r="1" spans="1:20" ht="14.25">
      <c r="A1" s="3491" t="s">
        <v>3624</v>
      </c>
      <c r="B1" s="3491" t="s">
        <v>3625</v>
      </c>
      <c r="C1" s="3491" t="s">
        <v>3626</v>
      </c>
      <c r="D1" s="3491" t="s">
        <v>3627</v>
      </c>
      <c r="E1" s="3491" t="s">
        <v>3628</v>
      </c>
      <c r="F1" s="3491" t="s">
        <v>3629</v>
      </c>
      <c r="G1" s="3491" t="s">
        <v>3630</v>
      </c>
      <c r="H1" s="3491" t="s">
        <v>3631</v>
      </c>
      <c r="I1" s="3491" t="s">
        <v>3632</v>
      </c>
      <c r="J1" s="3491" t="s">
        <v>3633</v>
      </c>
      <c r="K1" s="3491" t="s">
        <v>3634</v>
      </c>
      <c r="L1" s="3491" t="s">
        <v>3635</v>
      </c>
      <c r="M1" s="3491" t="s">
        <v>3636</v>
      </c>
      <c r="N1" s="3491" t="s">
        <v>3637</v>
      </c>
      <c r="O1" s="3491" t="s">
        <v>3638</v>
      </c>
      <c r="P1" s="3491" t="s">
        <v>3639</v>
      </c>
      <c r="Q1" s="3491" t="s">
        <v>3640</v>
      </c>
      <c r="R1" s="3491" t="s">
        <v>3641</v>
      </c>
      <c r="S1" s="3491" t="s">
        <v>3642</v>
      </c>
      <c r="T1" s="3491" t="s">
        <v>3643</v>
      </c>
    </row>
    <row r="2" spans="1:20" ht="14.25">
      <c r="A2" s="3491" t="s">
        <v>3617</v>
      </c>
      <c r="B2" s="3491" t="s">
        <v>3644</v>
      </c>
      <c r="C2" s="3491" t="s">
        <v>3645</v>
      </c>
      <c r="D2" s="3491" t="s">
        <v>3646</v>
      </c>
      <c r="E2" s="3491">
        <v>9999.98</v>
      </c>
      <c r="F2" s="3491">
        <v>17599.96</v>
      </c>
      <c r="G2" s="3491">
        <v>1.76</v>
      </c>
      <c r="H2" s="3491" t="s">
        <v>3647</v>
      </c>
      <c r="I2" s="3491" t="s">
        <v>3648</v>
      </c>
      <c r="J2" s="3491" t="s">
        <v>3649</v>
      </c>
      <c r="K2" s="3492">
        <v>45320.000497685185</v>
      </c>
      <c r="L2" s="3492">
        <v>45320.000497685185</v>
      </c>
      <c r="M2" s="3491" t="s">
        <v>3650</v>
      </c>
      <c r="N2" s="3491" t="s">
        <v>3651</v>
      </c>
      <c r="O2" s="3491">
        <v>37700</v>
      </c>
      <c r="P2" s="3491">
        <v>7600</v>
      </c>
      <c r="Q2" s="3492">
        <v>45320.625497685185</v>
      </c>
      <c r="R2" s="3491">
        <v>37700</v>
      </c>
      <c r="S2" s="3491">
        <v>21421</v>
      </c>
      <c r="T2" s="3491">
        <v>0</v>
      </c>
    </row>
    <row r="3" spans="1:20" ht="14.25">
      <c r="A3" s="3491" t="s">
        <v>3652</v>
      </c>
      <c r="B3" s="3491" t="s">
        <v>3644</v>
      </c>
      <c r="C3" s="3491" t="s">
        <v>3653</v>
      </c>
      <c r="D3" s="3491" t="s">
        <v>3646</v>
      </c>
      <c r="E3" s="3491">
        <v>10610.35</v>
      </c>
      <c r="F3" s="3491">
        <v>47747</v>
      </c>
      <c r="G3" s="3491">
        <v>4.5</v>
      </c>
      <c r="H3" s="3491" t="s">
        <v>3647</v>
      </c>
      <c r="I3" s="3491" t="s">
        <v>3648</v>
      </c>
      <c r="J3" s="3491" t="s">
        <v>3649</v>
      </c>
      <c r="K3" s="3492">
        <v>45114.000497685185</v>
      </c>
      <c r="L3" s="3492">
        <v>45114.000497685185</v>
      </c>
      <c r="M3" s="3491" t="s">
        <v>3650</v>
      </c>
      <c r="N3" s="3491" t="s">
        <v>3654</v>
      </c>
      <c r="O3" s="3491">
        <v>134000</v>
      </c>
      <c r="P3" s="3491">
        <v>27000</v>
      </c>
      <c r="Q3" s="3492">
        <v>45116.625497685185</v>
      </c>
      <c r="R3" s="3491">
        <v>134000</v>
      </c>
      <c r="S3" s="3491">
        <v>28065</v>
      </c>
      <c r="T3" s="3491">
        <v>0</v>
      </c>
    </row>
    <row r="4" spans="1:20" ht="14.25">
      <c r="A4" s="3491" t="s">
        <v>3655</v>
      </c>
      <c r="B4" s="3491" t="s">
        <v>3644</v>
      </c>
      <c r="C4" s="3491" t="s">
        <v>3656</v>
      </c>
      <c r="D4" s="3491" t="s">
        <v>3646</v>
      </c>
      <c r="E4" s="3491">
        <v>62796.800000000003</v>
      </c>
      <c r="F4" s="3491">
        <v>275500</v>
      </c>
      <c r="G4" s="3491">
        <v>4.3899999999999997</v>
      </c>
      <c r="H4" s="3491" t="s">
        <v>3647</v>
      </c>
      <c r="I4" s="3491" t="s">
        <v>3648</v>
      </c>
      <c r="J4" s="3491" t="s">
        <v>3649</v>
      </c>
      <c r="K4" s="3492">
        <v>44980.000497685185</v>
      </c>
      <c r="L4" s="3492">
        <v>44980.000497685185</v>
      </c>
      <c r="M4" s="3491" t="s">
        <v>3650</v>
      </c>
      <c r="N4" s="3491" t="s">
        <v>3657</v>
      </c>
      <c r="O4" s="3491">
        <v>635800</v>
      </c>
      <c r="P4" s="3491">
        <v>127500</v>
      </c>
      <c r="Q4" s="3492">
        <v>44980.625497685185</v>
      </c>
      <c r="R4" s="3491">
        <v>635800</v>
      </c>
      <c r="S4" s="3491">
        <v>23078</v>
      </c>
      <c r="T4" s="3491">
        <v>0</v>
      </c>
    </row>
    <row r="5" spans="1:20" ht="14.25">
      <c r="A5" s="3491" t="s">
        <v>3658</v>
      </c>
      <c r="B5" s="3491" t="s">
        <v>3644</v>
      </c>
      <c r="C5" s="3491" t="s">
        <v>3659</v>
      </c>
      <c r="D5" s="3491" t="s">
        <v>3646</v>
      </c>
      <c r="E5" s="3491">
        <v>7289.19</v>
      </c>
      <c r="F5" s="3491">
        <v>21867.57</v>
      </c>
      <c r="G5" s="3491" t="s">
        <v>3660</v>
      </c>
      <c r="H5" s="3491" t="s">
        <v>3647</v>
      </c>
      <c r="I5" s="3491" t="s">
        <v>3661</v>
      </c>
      <c r="J5" s="3491" t="s">
        <v>3649</v>
      </c>
      <c r="K5" s="3492">
        <v>43923.000497685185</v>
      </c>
      <c r="L5" s="3492">
        <v>43923.000497685185</v>
      </c>
      <c r="M5" s="3491" t="s">
        <v>3650</v>
      </c>
      <c r="N5" s="3491" t="s">
        <v>3662</v>
      </c>
      <c r="O5" s="3491">
        <v>35200</v>
      </c>
      <c r="P5" s="3491">
        <v>7100</v>
      </c>
      <c r="Q5" s="3492">
        <v>43922.625497685185</v>
      </c>
      <c r="R5" s="3491">
        <v>35200</v>
      </c>
      <c r="S5" s="3491">
        <v>16097</v>
      </c>
      <c r="T5" s="3491">
        <v>0</v>
      </c>
    </row>
    <row r="12" spans="1:20">
      <c r="B12" s="1404"/>
    </row>
  </sheetData>
  <mergeCells count="100">
    <mergeCell ref="Q1"/>
    <mergeCell ref="R1"/>
    <mergeCell ref="A1"/>
    <mergeCell ref="B1"/>
    <mergeCell ref="C1"/>
    <mergeCell ref="D1"/>
    <mergeCell ref="E1"/>
    <mergeCell ref="F1"/>
    <mergeCell ref="G1"/>
    <mergeCell ref="H1"/>
    <mergeCell ref="I1"/>
    <mergeCell ref="L1"/>
    <mergeCell ref="M1"/>
    <mergeCell ref="N1"/>
    <mergeCell ref="O1"/>
    <mergeCell ref="P1"/>
    <mergeCell ref="S1"/>
    <mergeCell ref="T1"/>
    <mergeCell ref="A2"/>
    <mergeCell ref="B2"/>
    <mergeCell ref="C2"/>
    <mergeCell ref="D2"/>
    <mergeCell ref="E2"/>
    <mergeCell ref="F2"/>
    <mergeCell ref="G2"/>
    <mergeCell ref="H2"/>
    <mergeCell ref="I2"/>
    <mergeCell ref="J2"/>
    <mergeCell ref="K2"/>
    <mergeCell ref="L2"/>
    <mergeCell ref="M2"/>
    <mergeCell ref="N2"/>
    <mergeCell ref="T2"/>
    <mergeCell ref="J1"/>
    <mergeCell ref="K1"/>
    <mergeCell ref="L3"/>
    <mergeCell ref="M3"/>
    <mergeCell ref="N3"/>
    <mergeCell ref="O3"/>
    <mergeCell ref="P3"/>
    <mergeCell ref="Q3"/>
    <mergeCell ref="R3"/>
    <mergeCell ref="T3"/>
    <mergeCell ref="O2"/>
    <mergeCell ref="P2"/>
    <mergeCell ref="Q2"/>
    <mergeCell ref="R2"/>
    <mergeCell ref="S2"/>
    <mergeCell ref="A3"/>
    <mergeCell ref="B3"/>
    <mergeCell ref="C3"/>
    <mergeCell ref="D3"/>
    <mergeCell ref="E3"/>
    <mergeCell ref="F3"/>
    <mergeCell ref="G3"/>
    <mergeCell ref="H3"/>
    <mergeCell ref="I3"/>
    <mergeCell ref="S3"/>
    <mergeCell ref="J3"/>
    <mergeCell ref="K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5"/>
    <mergeCell ref="B5"/>
    <mergeCell ref="C5"/>
    <mergeCell ref="D5"/>
    <mergeCell ref="E5"/>
    <mergeCell ref="F5"/>
    <mergeCell ref="G5"/>
    <mergeCell ref="H5"/>
    <mergeCell ref="I5"/>
    <mergeCell ref="S5"/>
    <mergeCell ref="T5"/>
    <mergeCell ref="J5"/>
    <mergeCell ref="K5"/>
    <mergeCell ref="L5"/>
    <mergeCell ref="M5"/>
    <mergeCell ref="N5"/>
    <mergeCell ref="O5"/>
    <mergeCell ref="P5"/>
    <mergeCell ref="Q5"/>
    <mergeCell ref="R5"/>
  </mergeCells>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97" t="s">
        <v>1770</v>
      </c>
      <c r="D4" s="3398"/>
      <c r="E4" s="3399" t="s">
        <v>1771</v>
      </c>
      <c r="F4" s="3400"/>
      <c r="G4" s="3397" t="s">
        <v>1772</v>
      </c>
      <c r="H4" s="3398"/>
      <c r="I4" s="3397" t="s">
        <v>1773</v>
      </c>
      <c r="J4" s="3398"/>
      <c r="K4" s="536" t="s">
        <v>1774</v>
      </c>
      <c r="L4" s="2485"/>
      <c r="M4" s="2486"/>
      <c r="N4" s="2486"/>
      <c r="O4" s="2486"/>
      <c r="P4" s="3433" t="s">
        <v>1775</v>
      </c>
      <c r="Q4" s="3434"/>
      <c r="R4" s="3430" t="s">
        <v>1771</v>
      </c>
      <c r="S4" s="3431"/>
      <c r="T4" s="3430" t="s">
        <v>1772</v>
      </c>
      <c r="U4" s="3431"/>
      <c r="V4" s="3410" t="s">
        <v>1773</v>
      </c>
      <c r="W4" s="3410"/>
      <c r="X4" s="1264"/>
      <c r="Y4" s="3430" t="s">
        <v>1775</v>
      </c>
      <c r="Z4" s="3431"/>
      <c r="AA4" s="3429" t="s">
        <v>1771</v>
      </c>
      <c r="AB4" s="3377" t="s">
        <v>1772</v>
      </c>
      <c r="AC4" s="3429" t="s">
        <v>1773</v>
      </c>
    </row>
    <row r="5" spans="1:29" ht="15">
      <c r="A5" s="347"/>
      <c r="B5" s="348"/>
      <c r="C5" s="3432" t="s">
        <v>1673</v>
      </c>
      <c r="D5" s="3388"/>
      <c r="E5" s="3486" t="s">
        <v>1674</v>
      </c>
      <c r="F5" s="3386"/>
      <c r="G5" s="3432" t="s">
        <v>1675</v>
      </c>
      <c r="H5" s="3388"/>
      <c r="I5" s="3432" t="s">
        <v>1676</v>
      </c>
      <c r="J5" s="3388"/>
      <c r="K5" s="536"/>
      <c r="L5" s="2485"/>
      <c r="M5" s="2486"/>
      <c r="N5" s="2486"/>
      <c r="O5" s="2486"/>
      <c r="P5" s="3435"/>
      <c r="Q5" s="3404"/>
      <c r="R5" s="3383"/>
      <c r="S5" s="3384"/>
      <c r="T5" s="3383"/>
      <c r="U5" s="3384"/>
      <c r="V5" s="3410"/>
      <c r="W5" s="3410"/>
      <c r="X5" s="1264"/>
      <c r="Y5" s="3383"/>
      <c r="Z5" s="3384"/>
      <c r="AA5" s="3377"/>
      <c r="AB5" s="3377"/>
      <c r="AC5" s="3377"/>
    </row>
    <row r="6" spans="1:29" ht="15.75" thickBot="1">
      <c r="A6" s="349"/>
      <c r="B6" s="350"/>
      <c r="C6" s="3493" t="s">
        <v>1918</v>
      </c>
      <c r="D6" s="3494"/>
      <c r="E6" s="3495" t="s">
        <v>1918</v>
      </c>
      <c r="F6" s="3496"/>
      <c r="G6" s="3493" t="s">
        <v>1918</v>
      </c>
      <c r="H6" s="3494"/>
      <c r="I6" s="3493" t="s">
        <v>1918</v>
      </c>
      <c r="J6" s="3494"/>
      <c r="K6" s="536" t="s">
        <v>1678</v>
      </c>
      <c r="L6" s="2485"/>
      <c r="M6" s="2486"/>
      <c r="N6" s="2486"/>
      <c r="O6" s="2486"/>
      <c r="P6" s="3436"/>
      <c r="Q6" s="3406"/>
      <c r="R6" s="3383"/>
      <c r="S6" s="3384"/>
      <c r="T6" s="3407"/>
      <c r="U6" s="3408"/>
      <c r="V6" s="3410"/>
      <c r="W6" s="3410"/>
      <c r="X6" s="1264"/>
      <c r="Y6" s="3407"/>
      <c r="Z6" s="3408"/>
      <c r="AA6" s="3378"/>
      <c r="AB6" s="3378"/>
      <c r="AC6" s="3378"/>
    </row>
    <row r="7" spans="1:29" s="101" customFormat="1" ht="15.75" thickBot="1">
      <c r="A7" s="351" t="s">
        <v>1679</v>
      </c>
      <c r="B7" s="352"/>
      <c r="C7" s="353">
        <f>'数据-取费表'!B2</f>
        <v>45600</v>
      </c>
      <c r="D7" s="354">
        <v>100</v>
      </c>
      <c r="E7" s="355"/>
      <c r="F7" s="356">
        <f>SUMIF(65:65,YEAR(E7)&amp;"-"&amp;INT((MONTH(E7)+2)/3),66:66)</f>
        <v>0</v>
      </c>
      <c r="G7" s="1821"/>
      <c r="H7" s="354">
        <f>SUMIF(65:65,YEAR(G7)&amp;"-"&amp;INT((MONTH(G7)+2)/3),66:66)</f>
        <v>0</v>
      </c>
      <c r="I7" s="1821"/>
      <c r="J7" s="354">
        <f>SUMIF(65:65,YEAR(I7)&amp;"-"&amp;INT((MONTH(I7)+2)/3),66:66)</f>
        <v>0</v>
      </c>
      <c r="K7" s="37"/>
      <c r="L7" s="2487"/>
      <c r="M7" s="2439"/>
      <c r="N7" s="2439"/>
      <c r="O7" s="2439"/>
      <c r="P7" s="3379" t="s">
        <v>1680</v>
      </c>
      <c r="Q7" s="3412"/>
      <c r="R7" s="663" t="s">
        <v>14</v>
      </c>
      <c r="S7" s="664">
        <f t="shared" ref="S7:S15" si="0">F7</f>
        <v>0</v>
      </c>
      <c r="T7" s="663" t="s">
        <v>14</v>
      </c>
      <c r="U7" s="664">
        <f t="shared" ref="U7:U15" si="1">H7</f>
        <v>0</v>
      </c>
      <c r="V7" s="663" t="s">
        <v>14</v>
      </c>
      <c r="W7" s="664">
        <f t="shared" ref="W7:W15" si="2">J7</f>
        <v>0</v>
      </c>
      <c r="X7" s="665"/>
      <c r="Y7" s="3379" t="s">
        <v>1680</v>
      </c>
      <c r="Z7" s="3380"/>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7"/>
      <c r="M8" s="2439"/>
      <c r="N8" s="2439"/>
      <c r="O8" s="2439"/>
      <c r="P8" s="3379" t="s">
        <v>1683</v>
      </c>
      <c r="Q8" s="3380"/>
      <c r="R8" s="663" t="s">
        <v>14</v>
      </c>
      <c r="S8" s="664">
        <f t="shared" si="0"/>
        <v>0</v>
      </c>
      <c r="T8" s="663" t="s">
        <v>14</v>
      </c>
      <c r="U8" s="664">
        <f t="shared" si="1"/>
        <v>0</v>
      </c>
      <c r="V8" s="663" t="s">
        <v>14</v>
      </c>
      <c r="W8" s="664">
        <f t="shared" si="2"/>
        <v>0</v>
      </c>
      <c r="X8" s="665"/>
      <c r="Y8" s="3379" t="s">
        <v>1683</v>
      </c>
      <c r="Z8" s="3380"/>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7"/>
      <c r="M9" s="2439"/>
      <c r="N9" s="2439"/>
      <c r="O9" s="2539"/>
      <c r="P9" s="3422" t="s">
        <v>1686</v>
      </c>
      <c r="Q9" s="529" t="str">
        <f t="shared" ref="Q9:Q15" si="6">B9</f>
        <v>用途</v>
      </c>
      <c r="R9" s="663" t="s">
        <v>14</v>
      </c>
      <c r="S9" s="664">
        <f t="shared" si="0"/>
        <v>100</v>
      </c>
      <c r="T9" s="663" t="s">
        <v>14</v>
      </c>
      <c r="U9" s="664">
        <f t="shared" si="1"/>
        <v>100</v>
      </c>
      <c r="V9" s="663" t="s">
        <v>14</v>
      </c>
      <c r="W9" s="664">
        <f t="shared" si="2"/>
        <v>100</v>
      </c>
      <c r="X9" s="665"/>
      <c r="Y9" s="3352"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119</v>
      </c>
      <c r="G10" s="370"/>
      <c r="H10" s="118">
        <f>ROUND(100/'数据-取费表'!G16,0)</f>
        <v>119</v>
      </c>
      <c r="I10" s="370"/>
      <c r="J10" s="118">
        <f>ROUND(100/'数据-取费表'!G16,0)</f>
        <v>119</v>
      </c>
      <c r="K10" s="591"/>
      <c r="L10" s="2488"/>
      <c r="M10" s="2489"/>
      <c r="N10" s="2489"/>
      <c r="O10" s="2540"/>
      <c r="P10" s="3422"/>
      <c r="Q10" s="529" t="str">
        <f t="shared" si="6"/>
        <v>土地使用年限（年）</v>
      </c>
      <c r="R10" s="663" t="s">
        <v>14</v>
      </c>
      <c r="S10" s="664">
        <f t="shared" si="0"/>
        <v>119</v>
      </c>
      <c r="T10" s="663" t="s">
        <v>14</v>
      </c>
      <c r="U10" s="664">
        <f t="shared" si="1"/>
        <v>119</v>
      </c>
      <c r="V10" s="663" t="s">
        <v>14</v>
      </c>
      <c r="W10" s="664">
        <f t="shared" si="2"/>
        <v>119</v>
      </c>
      <c r="X10" s="665"/>
      <c r="Y10" s="3352"/>
      <c r="Z10" s="49" t="str">
        <f t="shared" si="7"/>
        <v>土地使用年限（年）</v>
      </c>
      <c r="AA10" s="49">
        <f t="shared" si="3"/>
        <v>0.84033613445378152</v>
      </c>
      <c r="AB10" s="49">
        <f t="shared" si="4"/>
        <v>0.84033613445378152</v>
      </c>
      <c r="AC10" s="49">
        <f t="shared" si="5"/>
        <v>0.84033613445378152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22"/>
      <c r="Q11" s="529" t="str">
        <f t="shared" si="6"/>
        <v>容积率</v>
      </c>
      <c r="R11" s="663" t="s">
        <v>14</v>
      </c>
      <c r="S11" s="664" t="e">
        <f t="shared" si="0"/>
        <v>#N/A</v>
      </c>
      <c r="T11" s="663" t="s">
        <v>14</v>
      </c>
      <c r="U11" s="664" t="e">
        <f t="shared" si="1"/>
        <v>#N/A</v>
      </c>
      <c r="V11" s="663" t="s">
        <v>14</v>
      </c>
      <c r="W11" s="664" t="e">
        <f t="shared" si="2"/>
        <v>#N/A</v>
      </c>
      <c r="X11" s="665"/>
      <c r="Y11" s="3352"/>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22"/>
      <c r="Q12" s="529">
        <f t="shared" si="6"/>
        <v>111</v>
      </c>
      <c r="R12" s="663" t="s">
        <v>14</v>
      </c>
      <c r="S12" s="664">
        <f t="shared" si="0"/>
        <v>100</v>
      </c>
      <c r="T12" s="663" t="s">
        <v>14</v>
      </c>
      <c r="U12" s="664">
        <f t="shared" si="1"/>
        <v>100</v>
      </c>
      <c r="V12" s="663" t="s">
        <v>14</v>
      </c>
      <c r="W12" s="664">
        <f t="shared" si="2"/>
        <v>100</v>
      </c>
      <c r="X12" s="665"/>
      <c r="Y12" s="3352"/>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22"/>
      <c r="Q13" s="529">
        <f t="shared" si="6"/>
        <v>111</v>
      </c>
      <c r="R13" s="663" t="s">
        <v>14</v>
      </c>
      <c r="S13" s="664">
        <f t="shared" si="0"/>
        <v>100</v>
      </c>
      <c r="T13" s="663" t="s">
        <v>14</v>
      </c>
      <c r="U13" s="664">
        <f t="shared" si="1"/>
        <v>100</v>
      </c>
      <c r="V13" s="663" t="s">
        <v>14</v>
      </c>
      <c r="W13" s="664">
        <f t="shared" si="2"/>
        <v>100</v>
      </c>
      <c r="X13" s="665"/>
      <c r="Y13" s="3352"/>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22"/>
      <c r="Q14" s="529">
        <f t="shared" si="6"/>
        <v>111</v>
      </c>
      <c r="R14" s="663" t="s">
        <v>14</v>
      </c>
      <c r="S14" s="664">
        <f t="shared" si="0"/>
        <v>100</v>
      </c>
      <c r="T14" s="663" t="s">
        <v>14</v>
      </c>
      <c r="U14" s="664">
        <f t="shared" si="1"/>
        <v>100</v>
      </c>
      <c r="V14" s="663" t="s">
        <v>14</v>
      </c>
      <c r="W14" s="664">
        <f t="shared" si="2"/>
        <v>100</v>
      </c>
      <c r="X14" s="665"/>
      <c r="Y14" s="3352"/>
      <c r="Z14" s="49">
        <f t="shared" si="7"/>
        <v>111</v>
      </c>
      <c r="AA14" s="49">
        <f t="shared" si="3"/>
        <v>1</v>
      </c>
      <c r="AB14" s="49">
        <f t="shared" si="4"/>
        <v>1</v>
      </c>
      <c r="AC14" s="49">
        <f t="shared" si="5"/>
        <v>1</v>
      </c>
    </row>
    <row r="15" spans="1:29" ht="15">
      <c r="A15" s="378" t="s">
        <v>1690</v>
      </c>
      <c r="B15" s="553" t="s">
        <v>1919</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15" t="s">
        <v>1691</v>
      </c>
      <c r="Q15" s="1262" t="str">
        <f t="shared" si="6"/>
        <v>产业集聚程度</v>
      </c>
      <c r="R15" s="666" t="s">
        <v>14</v>
      </c>
      <c r="S15" s="667">
        <f t="shared" si="0"/>
        <v>100</v>
      </c>
      <c r="T15" s="666" t="s">
        <v>14</v>
      </c>
      <c r="U15" s="667">
        <f t="shared" si="1"/>
        <v>100</v>
      </c>
      <c r="V15" s="666" t="s">
        <v>14</v>
      </c>
      <c r="W15" s="667">
        <f t="shared" si="2"/>
        <v>100</v>
      </c>
      <c r="X15" s="1264"/>
      <c r="Y15" s="3415"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16"/>
      <c r="Q16" s="1262"/>
      <c r="R16" s="666"/>
      <c r="S16" s="667"/>
      <c r="T16" s="666"/>
      <c r="U16" s="667"/>
      <c r="V16" s="666"/>
      <c r="W16" s="667"/>
      <c r="X16" s="1264"/>
      <c r="Y16" s="3416"/>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16"/>
      <c r="Q17" s="1262" t="str">
        <f>B17</f>
        <v>交通便捷度</v>
      </c>
      <c r="R17" s="666" t="s">
        <v>14</v>
      </c>
      <c r="S17" s="667">
        <f>F17</f>
        <v>100</v>
      </c>
      <c r="T17" s="666" t="s">
        <v>14</v>
      </c>
      <c r="U17" s="667">
        <f>H17</f>
        <v>100</v>
      </c>
      <c r="V17" s="666" t="s">
        <v>14</v>
      </c>
      <c r="W17" s="667">
        <f>J17</f>
        <v>100</v>
      </c>
      <c r="X17" s="1264"/>
      <c r="Y17" s="3416"/>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16"/>
      <c r="Q18" s="1262"/>
      <c r="R18" s="666"/>
      <c r="S18" s="667"/>
      <c r="T18" s="666"/>
      <c r="U18" s="667"/>
      <c r="V18" s="666"/>
      <c r="W18" s="667"/>
      <c r="X18" s="1264"/>
      <c r="Y18" s="3416"/>
      <c r="Z18" s="1263"/>
      <c r="AA18" s="1263">
        <v>1</v>
      </c>
      <c r="AB18" s="1263">
        <v>1</v>
      </c>
      <c r="AC18" s="1263">
        <v>1</v>
      </c>
    </row>
    <row r="19" spans="1:29" ht="15">
      <c r="A19" s="366"/>
      <c r="B19" s="555" t="s">
        <v>1870</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16"/>
      <c r="Q19" s="1262" t="str">
        <f t="shared" ref="Q19:Q33" si="8">B19</f>
        <v>区域土地利用方向</v>
      </c>
      <c r="R19" s="666" t="s">
        <v>14</v>
      </c>
      <c r="S19" s="667">
        <f>F19</f>
        <v>100</v>
      </c>
      <c r="T19" s="666" t="s">
        <v>14</v>
      </c>
      <c r="U19" s="667">
        <f>H19</f>
        <v>100</v>
      </c>
      <c r="V19" s="666" t="s">
        <v>14</v>
      </c>
      <c r="W19" s="667">
        <f>J19</f>
        <v>100</v>
      </c>
      <c r="X19" s="1264"/>
      <c r="Y19" s="3416"/>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16"/>
      <c r="Q20" s="1262"/>
      <c r="R20" s="666"/>
      <c r="S20" s="667"/>
      <c r="T20" s="666"/>
      <c r="U20" s="667"/>
      <c r="V20" s="666"/>
      <c r="W20" s="667"/>
      <c r="X20" s="1264"/>
      <c r="Y20" s="3416"/>
      <c r="Z20" s="1263"/>
      <c r="AA20" s="1263"/>
      <c r="AB20" s="1263"/>
      <c r="AC20" s="1263"/>
    </row>
    <row r="21" spans="1:29" ht="15">
      <c r="A21" s="347"/>
      <c r="B21" s="555" t="s">
        <v>1920</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16"/>
      <c r="Q21" s="1262" t="str">
        <f t="shared" si="8"/>
        <v>环境状况</v>
      </c>
      <c r="R21" s="666" t="s">
        <v>14</v>
      </c>
      <c r="S21" s="667">
        <f>F21</f>
        <v>100</v>
      </c>
      <c r="T21" s="666" t="s">
        <v>14</v>
      </c>
      <c r="U21" s="667">
        <f>H21</f>
        <v>100</v>
      </c>
      <c r="V21" s="666" t="s">
        <v>14</v>
      </c>
      <c r="W21" s="667">
        <f>J21</f>
        <v>100</v>
      </c>
      <c r="X21" s="1264"/>
      <c r="Y21" s="3416"/>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16"/>
      <c r="Q22" s="1262"/>
      <c r="R22" s="666"/>
      <c r="S22" s="667"/>
      <c r="T22" s="666"/>
      <c r="U22" s="667"/>
      <c r="V22" s="666"/>
      <c r="W22" s="667"/>
      <c r="X22" s="1264"/>
      <c r="Y22" s="3416"/>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16"/>
      <c r="Q23" s="529" t="str">
        <f t="shared" si="8"/>
        <v>公共配套设施</v>
      </c>
      <c r="R23" s="663" t="s">
        <v>14</v>
      </c>
      <c r="S23" s="664">
        <f>F23</f>
        <v>100</v>
      </c>
      <c r="T23" s="663" t="s">
        <v>14</v>
      </c>
      <c r="U23" s="664">
        <f>H23</f>
        <v>100</v>
      </c>
      <c r="V23" s="663" t="s">
        <v>14</v>
      </c>
      <c r="W23" s="664">
        <f>J23</f>
        <v>100</v>
      </c>
      <c r="X23" s="665"/>
      <c r="Y23" s="3416"/>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7"/>
      <c r="M24" s="2439"/>
      <c r="N24" s="2439"/>
      <c r="O24" s="2539"/>
      <c r="P24" s="3416"/>
      <c r="Q24" s="529"/>
      <c r="R24" s="663"/>
      <c r="S24" s="664"/>
      <c r="T24" s="663"/>
      <c r="U24" s="664"/>
      <c r="V24" s="663"/>
      <c r="W24" s="664"/>
      <c r="X24" s="665"/>
      <c r="Y24" s="3416"/>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16"/>
      <c r="Q25" s="529" t="str">
        <f t="shared" ref="Q25" si="9">B25</f>
        <v>基础设施水平</v>
      </c>
      <c r="R25" s="663" t="s">
        <v>14</v>
      </c>
      <c r="S25" s="664">
        <f>F25</f>
        <v>100</v>
      </c>
      <c r="T25" s="663" t="s">
        <v>14</v>
      </c>
      <c r="U25" s="664">
        <f>H25</f>
        <v>100</v>
      </c>
      <c r="V25" s="663" t="s">
        <v>14</v>
      </c>
      <c r="W25" s="664">
        <f>J25</f>
        <v>100</v>
      </c>
      <c r="X25" s="665"/>
      <c r="Y25" s="3416"/>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7"/>
      <c r="M26" s="2439"/>
      <c r="N26" s="2439"/>
      <c r="O26" s="2539"/>
      <c r="P26" s="3416"/>
      <c r="Q26" s="529"/>
      <c r="R26" s="663"/>
      <c r="S26" s="664"/>
      <c r="T26" s="663"/>
      <c r="U26" s="664"/>
      <c r="V26" s="663"/>
      <c r="W26" s="664"/>
      <c r="X26" s="665"/>
      <c r="Y26" s="3416"/>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1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6"/>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16"/>
      <c r="Q28" s="1262" t="str">
        <f t="shared" si="8"/>
        <v>毗邻道路的类型与等级</v>
      </c>
      <c r="R28" s="666" t="s">
        <v>14</v>
      </c>
      <c r="S28" s="667">
        <f t="shared" si="10"/>
        <v>100</v>
      </c>
      <c r="T28" s="666" t="s">
        <v>14</v>
      </c>
      <c r="U28" s="667">
        <f t="shared" si="11"/>
        <v>100</v>
      </c>
      <c r="V28" s="666" t="s">
        <v>14</v>
      </c>
      <c r="W28" s="667">
        <f t="shared" si="12"/>
        <v>100</v>
      </c>
      <c r="X28" s="1264"/>
      <c r="Y28" s="3416"/>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16"/>
      <c r="Q29" s="1262"/>
      <c r="R29" s="666"/>
      <c r="S29" s="667"/>
      <c r="T29" s="666"/>
      <c r="U29" s="667"/>
      <c r="V29" s="666"/>
      <c r="W29" s="667"/>
      <c r="X29" s="1264"/>
      <c r="Y29" s="3416"/>
      <c r="Z29" s="1263"/>
      <c r="AA29" s="1263">
        <v>1</v>
      </c>
      <c r="AB29" s="1263">
        <v>1</v>
      </c>
      <c r="AC29" s="1263">
        <v>1</v>
      </c>
    </row>
    <row r="30" spans="1:29" ht="15">
      <c r="A30" s="366"/>
      <c r="B30" s="118" t="s">
        <v>1872</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16"/>
      <c r="Q30" s="1262" t="str">
        <f t="shared" si="8"/>
        <v>土地级别</v>
      </c>
      <c r="R30" s="666" t="s">
        <v>14</v>
      </c>
      <c r="S30" s="667">
        <f t="shared" si="10"/>
        <v>100</v>
      </c>
      <c r="T30" s="666" t="s">
        <v>14</v>
      </c>
      <c r="U30" s="667">
        <f t="shared" si="11"/>
        <v>100</v>
      </c>
      <c r="V30" s="666" t="s">
        <v>14</v>
      </c>
      <c r="W30" s="667">
        <f t="shared" si="12"/>
        <v>100</v>
      </c>
      <c r="X30" s="1264"/>
      <c r="Y30" s="3416"/>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16"/>
      <c r="Q31" s="1262">
        <f t="shared" si="8"/>
        <v>111</v>
      </c>
      <c r="R31" s="666" t="s">
        <v>14</v>
      </c>
      <c r="S31" s="667">
        <f t="shared" si="10"/>
        <v>100</v>
      </c>
      <c r="T31" s="666" t="s">
        <v>14</v>
      </c>
      <c r="U31" s="667">
        <f t="shared" si="11"/>
        <v>100</v>
      </c>
      <c r="V31" s="666" t="s">
        <v>14</v>
      </c>
      <c r="W31" s="667">
        <f t="shared" si="12"/>
        <v>100</v>
      </c>
      <c r="X31" s="1264"/>
      <c r="Y31" s="3416"/>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37" t="s">
        <v>1696</v>
      </c>
      <c r="Q32" s="1262">
        <f t="shared" si="8"/>
        <v>111</v>
      </c>
      <c r="R32" s="666" t="s">
        <v>14</v>
      </c>
      <c r="S32" s="667">
        <f t="shared" si="10"/>
        <v>100</v>
      </c>
      <c r="T32" s="666" t="s">
        <v>14</v>
      </c>
      <c r="U32" s="667">
        <f t="shared" si="11"/>
        <v>100</v>
      </c>
      <c r="V32" s="666" t="s">
        <v>14</v>
      </c>
      <c r="W32" s="667">
        <f t="shared" si="12"/>
        <v>100</v>
      </c>
      <c r="X32" s="1264"/>
      <c r="Y32" s="3420"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20"/>
      <c r="Q33" s="1262">
        <f t="shared" si="8"/>
        <v>111</v>
      </c>
      <c r="R33" s="668" t="s">
        <v>14</v>
      </c>
      <c r="S33" s="669">
        <f t="shared" si="10"/>
        <v>100</v>
      </c>
      <c r="T33" s="668" t="s">
        <v>14</v>
      </c>
      <c r="U33" s="669">
        <f t="shared" si="11"/>
        <v>100</v>
      </c>
      <c r="V33" s="668" t="s">
        <v>14</v>
      </c>
      <c r="W33" s="669">
        <f t="shared" si="12"/>
        <v>100</v>
      </c>
      <c r="X33" s="670"/>
      <c r="Y33" s="3420"/>
      <c r="Z33" s="671">
        <f t="shared" si="13"/>
        <v>111</v>
      </c>
      <c r="AA33" s="1263">
        <f t="shared" si="3"/>
        <v>1</v>
      </c>
      <c r="AB33" s="1263">
        <f t="shared" si="4"/>
        <v>1</v>
      </c>
      <c r="AC33" s="1263">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20"/>
      <c r="Q34" s="1262" t="str">
        <f>B34</f>
        <v>宗地面积</v>
      </c>
      <c r="R34" s="666" t="s">
        <v>14</v>
      </c>
      <c r="S34" s="667" t="e">
        <f t="shared" si="10"/>
        <v>#N/A</v>
      </c>
      <c r="T34" s="666" t="s">
        <v>14</v>
      </c>
      <c r="U34" s="667" t="e">
        <f t="shared" si="11"/>
        <v>#N/A</v>
      </c>
      <c r="V34" s="666" t="s">
        <v>14</v>
      </c>
      <c r="W34" s="667" t="e">
        <f t="shared" si="12"/>
        <v>#N/A</v>
      </c>
      <c r="X34" s="1264"/>
      <c r="Y34" s="3420"/>
      <c r="Z34" s="1263" t="str">
        <f t="shared" si="13"/>
        <v>宗地面积</v>
      </c>
      <c r="AA34" s="1263" t="e">
        <f t="shared" si="3"/>
        <v>#N/A</v>
      </c>
      <c r="AB34" s="1263" t="e">
        <f t="shared" si="4"/>
        <v>#N/A</v>
      </c>
      <c r="AC34" s="1263" t="e">
        <f t="shared" si="5"/>
        <v>#N/A</v>
      </c>
    </row>
    <row r="35" spans="1:31" ht="15">
      <c r="A35" s="408"/>
      <c r="B35" s="363" t="s">
        <v>1874</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20"/>
      <c r="Q35" s="1262" t="str">
        <f t="shared" ref="Q35:Q40" si="14">B35</f>
        <v>宗地形状</v>
      </c>
      <c r="R35" s="666" t="s">
        <v>14</v>
      </c>
      <c r="S35" s="667">
        <f t="shared" si="10"/>
        <v>100</v>
      </c>
      <c r="T35" s="666" t="s">
        <v>14</v>
      </c>
      <c r="U35" s="667">
        <f t="shared" si="11"/>
        <v>100</v>
      </c>
      <c r="V35" s="666" t="s">
        <v>14</v>
      </c>
      <c r="W35" s="667">
        <f t="shared" si="12"/>
        <v>100</v>
      </c>
      <c r="X35" s="1264"/>
      <c r="Y35" s="3420"/>
      <c r="Z35" s="1263" t="str">
        <f t="shared" si="13"/>
        <v>宗地形状</v>
      </c>
      <c r="AA35" s="1263">
        <f t="shared" si="3"/>
        <v>1</v>
      </c>
      <c r="AB35" s="1263">
        <f t="shared" si="4"/>
        <v>1</v>
      </c>
      <c r="AC35" s="1263">
        <f t="shared" si="5"/>
        <v>1</v>
      </c>
    </row>
    <row r="36" spans="1:31" s="101" customFormat="1" ht="15">
      <c r="A36" s="409"/>
      <c r="B36" s="363" t="s">
        <v>1876</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20"/>
      <c r="Q36" s="1262" t="str">
        <f t="shared" si="14"/>
        <v>宗地开发程度</v>
      </c>
      <c r="R36" s="663" t="s">
        <v>14</v>
      </c>
      <c r="S36" s="664">
        <f t="shared" si="10"/>
        <v>100</v>
      </c>
      <c r="T36" s="663" t="s">
        <v>14</v>
      </c>
      <c r="U36" s="664">
        <f t="shared" si="11"/>
        <v>100</v>
      </c>
      <c r="V36" s="663" t="s">
        <v>14</v>
      </c>
      <c r="W36" s="664">
        <f t="shared" si="12"/>
        <v>100</v>
      </c>
      <c r="X36" s="665"/>
      <c r="Y36" s="3420"/>
      <c r="Z36" s="49" t="str">
        <f t="shared" si="13"/>
        <v>宗地开发程度</v>
      </c>
      <c r="AA36" s="49">
        <f t="shared" si="3"/>
        <v>1</v>
      </c>
      <c r="AB36" s="49">
        <f t="shared" si="4"/>
        <v>1</v>
      </c>
      <c r="AC36" s="49">
        <f t="shared" si="5"/>
        <v>1</v>
      </c>
    </row>
    <row r="37" spans="1:31" ht="15">
      <c r="A37" s="408"/>
      <c r="B37" s="363" t="s">
        <v>1877</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20" t="s">
        <v>1696</v>
      </c>
      <c r="Q37" s="1262" t="str">
        <f t="shared" si="14"/>
        <v>工程地质条件</v>
      </c>
      <c r="R37" s="666" t="s">
        <v>14</v>
      </c>
      <c r="S37" s="667">
        <f t="shared" si="10"/>
        <v>100</v>
      </c>
      <c r="T37" s="666" t="s">
        <v>14</v>
      </c>
      <c r="U37" s="667">
        <f t="shared" si="11"/>
        <v>100</v>
      </c>
      <c r="V37" s="666" t="s">
        <v>14</v>
      </c>
      <c r="W37" s="667">
        <f t="shared" si="12"/>
        <v>100</v>
      </c>
      <c r="X37" s="1264"/>
      <c r="Y37" s="3420"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20"/>
      <c r="Q38" s="1262">
        <f t="shared" si="14"/>
        <v>111</v>
      </c>
      <c r="R38" s="666" t="s">
        <v>14</v>
      </c>
      <c r="S38" s="667">
        <f t="shared" si="10"/>
        <v>100</v>
      </c>
      <c r="T38" s="666" t="s">
        <v>14</v>
      </c>
      <c r="U38" s="667">
        <f t="shared" si="11"/>
        <v>100</v>
      </c>
      <c r="V38" s="666" t="s">
        <v>14</v>
      </c>
      <c r="W38" s="667">
        <f t="shared" si="12"/>
        <v>100</v>
      </c>
      <c r="X38" s="1264"/>
      <c r="Y38" s="3420"/>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20"/>
      <c r="Q39" s="1262">
        <f t="shared" si="14"/>
        <v>111</v>
      </c>
      <c r="R39" s="666" t="s">
        <v>14</v>
      </c>
      <c r="S39" s="667">
        <f t="shared" si="10"/>
        <v>100</v>
      </c>
      <c r="T39" s="666" t="s">
        <v>14</v>
      </c>
      <c r="U39" s="667">
        <f t="shared" si="11"/>
        <v>100</v>
      </c>
      <c r="V39" s="666" t="s">
        <v>14</v>
      </c>
      <c r="W39" s="667">
        <f t="shared" si="12"/>
        <v>100</v>
      </c>
      <c r="X39" s="1264"/>
      <c r="Y39" s="3420"/>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20"/>
      <c r="Q40" s="1262">
        <f t="shared" si="14"/>
        <v>111</v>
      </c>
      <c r="R40" s="668" t="s">
        <v>14</v>
      </c>
      <c r="S40" s="669">
        <f t="shared" si="10"/>
        <v>100</v>
      </c>
      <c r="T40" s="668" t="s">
        <v>14</v>
      </c>
      <c r="U40" s="669">
        <f t="shared" si="11"/>
        <v>100</v>
      </c>
      <c r="V40" s="668" t="s">
        <v>14</v>
      </c>
      <c r="W40" s="669">
        <f t="shared" si="12"/>
        <v>100</v>
      </c>
      <c r="X40" s="670"/>
      <c r="Y40" s="3420"/>
      <c r="Z40" s="671">
        <f t="shared" si="13"/>
        <v>111</v>
      </c>
      <c r="AA40" s="1263">
        <f t="shared" si="3"/>
        <v>1</v>
      </c>
      <c r="AB40" s="1263">
        <f t="shared" si="4"/>
        <v>1</v>
      </c>
      <c r="AC40" s="1263">
        <f t="shared" si="5"/>
        <v>1</v>
      </c>
    </row>
    <row r="41" spans="1:31" ht="15">
      <c r="A41" s="415" t="s">
        <v>1844</v>
      </c>
      <c r="B41" s="1829" t="s">
        <v>1921</v>
      </c>
      <c r="C41" s="601" t="s">
        <v>0</v>
      </c>
      <c r="D41" s="417"/>
      <c r="E41" s="418"/>
      <c r="F41" s="419"/>
      <c r="G41" s="420"/>
      <c r="H41" s="421"/>
      <c r="I41" s="418"/>
      <c r="J41" s="421"/>
      <c r="K41" s="673"/>
      <c r="L41" s="2493"/>
      <c r="M41" s="2486"/>
      <c r="N41" s="2486"/>
      <c r="O41" s="2486"/>
      <c r="P41" s="3422" t="str">
        <f>A41</f>
        <v>成交单价</v>
      </c>
      <c r="Q41" s="3422"/>
      <c r="R41" s="3410">
        <f>E41</f>
        <v>0</v>
      </c>
      <c r="S41" s="3410"/>
      <c r="T41" s="3410">
        <f>G41</f>
        <v>0</v>
      </c>
      <c r="U41" s="3410"/>
      <c r="V41" s="3410">
        <f>I41</f>
        <v>0</v>
      </c>
      <c r="W41" s="3410"/>
      <c r="X41" s="384"/>
      <c r="Y41" s="672"/>
      <c r="Z41" s="384"/>
      <c r="AA41" s="384"/>
      <c r="AB41" s="384"/>
      <c r="AC41" s="384"/>
    </row>
    <row r="42" spans="1:31" ht="15.75" thickBot="1">
      <c r="A42" s="422" t="s">
        <v>1793</v>
      </c>
      <c r="B42" s="602"/>
      <c r="C42" s="425" t="e">
        <f>R43</f>
        <v>#DIV/0!</v>
      </c>
      <c r="D42" s="2140" t="s">
        <v>2136</v>
      </c>
      <c r="E42" s="425" t="e">
        <f>R42</f>
        <v>#DIV/0!</v>
      </c>
      <c r="F42" s="2141"/>
      <c r="G42" s="424" t="e">
        <f>T42</f>
        <v>#DIV/0!</v>
      </c>
      <c r="H42" s="2141"/>
      <c r="I42" s="425" t="e">
        <f>V42</f>
        <v>#DIV/0!</v>
      </c>
      <c r="J42" s="2141"/>
      <c r="K42" s="2143">
        <f>F42+H42+J42</f>
        <v>0</v>
      </c>
      <c r="L42" s="2493"/>
      <c r="M42" s="2486"/>
      <c r="N42" s="2486"/>
      <c r="O42" s="2486"/>
      <c r="P42" s="3422" t="str">
        <f>A42</f>
        <v>比较价值（元/平方米）</v>
      </c>
      <c r="Q42" s="3422"/>
      <c r="R42" s="3438" t="e">
        <f>ROUND(PRODUCT(R41,AA7:AA40),0)</f>
        <v>#DIV/0!</v>
      </c>
      <c r="S42" s="3438"/>
      <c r="T42" s="3438" t="e">
        <f>ROUND(PRODUCT(T41,AB7:AB40),0)</f>
        <v>#DIV/0!</v>
      </c>
      <c r="U42" s="3438"/>
      <c r="V42" s="3438" t="e">
        <f>ROUND(PRODUCT(V41,AC7:AC40),0)</f>
        <v>#DIV/0!</v>
      </c>
      <c r="W42" s="3438"/>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3"/>
      <c r="M43" s="2486"/>
      <c r="N43" s="2486"/>
      <c r="O43" s="2486"/>
      <c r="P43" s="3439" t="str">
        <f>A43</f>
        <v>估价对象XX用房的比较价值（楼面单价，元/平方米）</v>
      </c>
      <c r="Q43" s="3440"/>
      <c r="R43" s="3441" t="e">
        <f>ROUND(IF(D42="简单平均",AVERAGE(R42:W42),R42*F42+T42*H42+V42*J42),0)</f>
        <v>#DIV/0!</v>
      </c>
      <c r="S43" s="3441"/>
      <c r="T43" s="3441"/>
      <c r="U43" s="3441"/>
      <c r="V43" s="3441"/>
      <c r="W43" s="3441"/>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1880</v>
      </c>
      <c r="B50" s="604" t="s">
        <v>1881</v>
      </c>
      <c r="C50" s="1830" t="s">
        <v>1882</v>
      </c>
      <c r="D50" s="1831" t="s">
        <v>1883</v>
      </c>
      <c r="E50" s="605" t="s">
        <v>1884</v>
      </c>
      <c r="F50" s="606" t="s">
        <v>1885</v>
      </c>
      <c r="G50" s="3397" t="s">
        <v>1886</v>
      </c>
      <c r="H50" s="3442"/>
      <c r="I50" s="1263" t="s">
        <v>1922</v>
      </c>
      <c r="J50" s="1263">
        <f>项目基本情况!F35</f>
        <v>0</v>
      </c>
      <c r="K50" s="1833"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98928.560000000012</v>
      </c>
      <c r="F51" s="610" t="e">
        <f t="shared" ref="F51:F60" si="15">ROUND(B51*E51/10000,0)</f>
        <v>#DIV/0!</v>
      </c>
      <c r="G51" s="3393"/>
      <c r="H51" s="3422"/>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09" t="e">
        <f>ROUND($C$43*C52*D52,0)</f>
        <v>#DIV/0!</v>
      </c>
      <c r="C52" s="162">
        <f t="shared" ref="C52:C60" si="16">IF($C$50="北京市系数",I52,J52)</f>
        <v>0.6</v>
      </c>
      <c r="D52" s="890">
        <v>0.25</v>
      </c>
      <c r="E52" s="613"/>
      <c r="F52" s="610" t="e">
        <f t="shared" si="15"/>
        <v>#DIV/0!</v>
      </c>
      <c r="G52" s="2749" t="s">
        <v>1891</v>
      </c>
      <c r="H52" s="833" t="str">
        <f>项目基本情况!B37</f>
        <v>三级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09" t="e">
        <f t="shared" ref="B53:B60" si="17">ROUND($C$43*C53*D53,0)</f>
        <v>#DIV/0!</v>
      </c>
      <c r="C53" s="162">
        <f t="shared" si="16"/>
        <v>0.3</v>
      </c>
      <c r="D53" s="890">
        <v>0.25</v>
      </c>
      <c r="E53" s="613"/>
      <c r="F53" s="610" t="e">
        <f t="shared" si="15"/>
        <v>#DIV/0!</v>
      </c>
      <c r="G53" s="2750"/>
      <c r="H53" s="833" t="str">
        <f>项目基本情况!B37</f>
        <v>三级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09" t="e">
        <f t="shared" si="17"/>
        <v>#DIV/0!</v>
      </c>
      <c r="C54" s="162">
        <f t="shared" si="16"/>
        <v>0.25</v>
      </c>
      <c r="D54" s="890">
        <v>0.25</v>
      </c>
      <c r="E54" s="613"/>
      <c r="F54" s="610" t="e">
        <f t="shared" si="15"/>
        <v>#DIV/0!</v>
      </c>
      <c r="G54" s="2750"/>
      <c r="H54" s="833" t="str">
        <f>项目基本情况!B37</f>
        <v>三级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09" t="e">
        <f t="shared" si="17"/>
        <v>#DIV/0!</v>
      </c>
      <c r="C56" s="162">
        <f t="shared" si="16"/>
        <v>0.25</v>
      </c>
      <c r="D56" s="890">
        <v>0.25</v>
      </c>
      <c r="E56" s="208">
        <f>'数据-汇总表'!E11</f>
        <v>0</v>
      </c>
      <c r="F56" s="610" t="e">
        <f t="shared" si="15"/>
        <v>#DIV/0!</v>
      </c>
      <c r="G56" s="1834" t="s">
        <v>1895</v>
      </c>
      <c r="H56" s="833" t="str">
        <f>项目基本情况!C37</f>
        <v>三级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三级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09" t="e">
        <f t="shared" si="17"/>
        <v>#DIV/0!</v>
      </c>
      <c r="C59" s="162">
        <f t="shared" si="16"/>
        <v>0.15</v>
      </c>
      <c r="D59" s="890">
        <v>0.25</v>
      </c>
      <c r="E59" s="208">
        <f>'数据-汇总表'!E14</f>
        <v>0</v>
      </c>
      <c r="F59" s="610" t="e">
        <f t="shared" si="15"/>
        <v>#DIV/0!</v>
      </c>
      <c r="G59" s="1834" t="s">
        <v>1891</v>
      </c>
      <c r="H59" s="833" t="str">
        <f>项目基本情况!B37</f>
        <v>三级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1901</v>
      </c>
      <c r="B60" s="209" t="e">
        <f t="shared" si="17"/>
        <v>#DIV/0!</v>
      </c>
      <c r="C60" s="162">
        <f t="shared" si="16"/>
        <v>0.15</v>
      </c>
      <c r="D60" s="890">
        <v>0.25</v>
      </c>
      <c r="E60" s="208">
        <f>'数据-汇总表'!E15</f>
        <v>0</v>
      </c>
      <c r="F60" s="610" t="e">
        <f t="shared" si="15"/>
        <v>#DIV/0!</v>
      </c>
      <c r="G60" s="1835" t="s">
        <v>1895</v>
      </c>
      <c r="H60" s="843" t="str">
        <f>项目基本情况!C37</f>
        <v>三级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1902</v>
      </c>
      <c r="B61" s="615" t="s">
        <v>22</v>
      </c>
      <c r="C61" s="615" t="s">
        <v>23</v>
      </c>
      <c r="D61" s="615" t="s">
        <v>392</v>
      </c>
      <c r="E61" s="615">
        <f>IF(B41="楼面地价",SUM(E51:E60),'数据-汇总表'!D3)</f>
        <v>19470.62</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1923</v>
      </c>
      <c r="B66" s="279" t="str">
        <f>"北京市平均增长率"&amp;TEXT('基准地价修正-商业'!P28,"0.00%")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15.75" thickTop="1">
      <c r="A87" s="369"/>
      <c r="B87" s="468" t="s">
        <v>1906</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1872</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1913</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1915</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1916</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90"/>
      <c r="B4" s="3198" t="s">
        <v>917</v>
      </c>
      <c r="C4" s="3198"/>
      <c r="D4" s="3198"/>
      <c r="E4" s="1390"/>
    </row>
    <row r="5" spans="1:5" ht="16.5" thickTop="1">
      <c r="B5" s="3196" t="s">
        <v>909</v>
      </c>
      <c r="C5" s="1391" t="s">
        <v>910</v>
      </c>
      <c r="D5" s="796">
        <f ca="1">结果表!H101</f>
        <v>461910</v>
      </c>
    </row>
    <row r="6" spans="1:5" ht="15.75">
      <c r="B6" s="3196"/>
      <c r="C6" s="1391" t="s">
        <v>911</v>
      </c>
      <c r="D6" s="796" t="str">
        <f ca="1">NUMBERSTRING(INT(D5*10000),2)&amp;"元整"</f>
        <v>肆拾陆亿壹仟玖佰壹拾万元整</v>
      </c>
    </row>
    <row r="7" spans="1:5" ht="15.75">
      <c r="B7" s="3201"/>
      <c r="C7" s="1392" t="s">
        <v>912</v>
      </c>
      <c r="D7" s="797">
        <f ca="1">结果表!H102</f>
        <v>46691</v>
      </c>
    </row>
    <row r="8" spans="1:5" ht="15.75">
      <c r="B8" s="3202" t="str">
        <f>结果表!E103</f>
        <v>2.估价师知悉的法定优先受偿款</v>
      </c>
      <c r="C8" s="1393" t="s">
        <v>913</v>
      </c>
      <c r="D8" s="797">
        <f>结果表!H103</f>
        <v>0</v>
      </c>
    </row>
    <row r="9" spans="1:5" ht="15.75">
      <c r="B9" s="320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95" t="str">
        <f>结果表!E107</f>
        <v>3.房地产抵押价值</v>
      </c>
      <c r="C13" s="1396" t="s">
        <v>910</v>
      </c>
      <c r="D13" s="799">
        <f ca="1">结果表!H107</f>
        <v>461910</v>
      </c>
    </row>
    <row r="14" spans="1:5" ht="15.75">
      <c r="B14" s="3196"/>
      <c r="C14" s="1391" t="s">
        <v>911</v>
      </c>
      <c r="D14" s="796" t="str">
        <f ca="1">NUMBERSTRING(INT(D13*10000),2)&amp;"元整"</f>
        <v>肆拾陆亿壹仟玖佰壹拾万元整</v>
      </c>
    </row>
    <row r="15" spans="1:5" ht="15">
      <c r="B15" s="3201"/>
      <c r="C15" s="1392" t="s">
        <v>921</v>
      </c>
      <c r="D15" s="805">
        <f ca="1">结果表!H108</f>
        <v>46691</v>
      </c>
    </row>
    <row r="16" spans="1:5" ht="15">
      <c r="B16" s="3202" t="str">
        <f>结果表!E109</f>
        <v>——</v>
      </c>
      <c r="C16" s="1396" t="s">
        <v>922</v>
      </c>
      <c r="D16" s="1397" t="str">
        <f>结果表!H109</f>
        <v>——</v>
      </c>
    </row>
    <row r="17" spans="1:5" ht="15.75">
      <c r="B17" s="3203"/>
      <c r="C17" s="1391" t="s">
        <v>923</v>
      </c>
      <c r="D17" s="796" t="e">
        <f>NUMBERSTRING(INT(D16*10000),2)&amp;"元整"</f>
        <v>#VALUE!</v>
      </c>
    </row>
    <row r="18" spans="1:5" ht="15">
      <c r="B18" s="3204"/>
      <c r="C18" s="1392" t="s">
        <v>912</v>
      </c>
      <c r="D18" s="805" t="str">
        <f>结果表!H110</f>
        <v>——</v>
      </c>
    </row>
    <row r="19" spans="1:5" ht="15.75">
      <c r="B19" s="3195" t="str">
        <f>结果表!E111</f>
        <v>4.抵押净值</v>
      </c>
      <c r="C19" s="1396" t="s">
        <v>910</v>
      </c>
      <c r="D19" s="797">
        <f ca="1">结果表!H111</f>
        <v>275253</v>
      </c>
    </row>
    <row r="20" spans="1:5" ht="15.75">
      <c r="B20" s="3196"/>
      <c r="C20" s="1391" t="s">
        <v>923</v>
      </c>
      <c r="D20" s="796" t="str">
        <f ca="1">NUMBERSTRING(INT(D19*10000),2)&amp;"元整"</f>
        <v>贰拾柒亿伍仟贰佰伍拾叁万元整</v>
      </c>
    </row>
    <row r="21" spans="1:5" ht="15.75" thickBot="1">
      <c r="B21" s="3197"/>
      <c r="C21" s="1398" t="s">
        <v>921</v>
      </c>
      <c r="D21" s="806">
        <f ca="1">结果表!H112</f>
        <v>27823</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2081</v>
      </c>
      <c r="C1" s="3500" t="s">
        <v>2082</v>
      </c>
      <c r="D1" s="3501"/>
      <c r="E1" s="3501"/>
      <c r="F1" s="3501"/>
      <c r="G1" s="3501"/>
      <c r="H1" s="3501"/>
      <c r="I1" s="3501"/>
      <c r="J1" s="3501"/>
      <c r="K1" s="3501"/>
      <c r="L1" s="3501"/>
      <c r="M1" s="3501"/>
      <c r="N1" s="3501"/>
      <c r="O1" s="3501"/>
      <c r="P1" s="3501"/>
      <c r="Q1" s="3501"/>
      <c r="R1" s="3501"/>
      <c r="S1" s="3502"/>
      <c r="T1" s="928" t="s">
        <v>2083</v>
      </c>
    </row>
    <row r="2" spans="1:45" s="624" customFormat="1">
      <c r="A2" s="929"/>
      <c r="B2" s="621" t="s">
        <v>2084</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0">
        <f>SUM(B24:B10000)</f>
        <v>0</v>
      </c>
      <c r="C22" s="3497" t="s">
        <v>27</v>
      </c>
      <c r="D22" s="3498"/>
      <c r="E22" s="3498"/>
      <c r="F22" s="3498"/>
      <c r="G22" s="3498"/>
      <c r="H22" s="3498"/>
      <c r="I22" s="3498"/>
      <c r="J22" s="3498"/>
      <c r="K22" s="3498"/>
      <c r="L22" s="3498"/>
      <c r="M22" s="3498"/>
      <c r="N22" s="3498"/>
      <c r="O22" s="3498"/>
      <c r="P22" s="3498"/>
      <c r="Q22" s="3499"/>
      <c r="R22" s="20" t="e">
        <f>ROUND(S22*10000/B22,0)</f>
        <v>#DIV/0!</v>
      </c>
      <c r="S22" s="20">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7CCC4-00CD-4EA0-88C3-C8C2232D3989}">
  <dimension ref="A1:U145"/>
  <sheetViews>
    <sheetView zoomScale="85" zoomScaleNormal="85" workbookViewId="0">
      <pane ySplit="1" topLeftCell="A122" activePane="bottomLeft" state="frozen"/>
      <selection pane="bottomLeft" activeCell="L131" sqref="L131"/>
    </sheetView>
  </sheetViews>
  <sheetFormatPr defaultRowHeight="13.5"/>
  <cols>
    <col min="1" max="1" width="18.875" customWidth="1"/>
    <col min="2" max="2" width="35.5" customWidth="1"/>
    <col min="3" max="3" width="14.125" customWidth="1"/>
    <col min="4" max="4" width="11.375" customWidth="1"/>
    <col min="5" max="5" width="11" bestFit="1" customWidth="1"/>
    <col min="6" max="6" width="12.5" customWidth="1"/>
    <col min="7" max="7" width="13.875" bestFit="1" customWidth="1"/>
    <col min="8" max="8" width="15" bestFit="1" customWidth="1"/>
    <col min="9" max="11" width="11.625" bestFit="1" customWidth="1"/>
    <col min="12" max="12" width="13.375" customWidth="1"/>
    <col min="14" max="14" width="7.125" bestFit="1" customWidth="1"/>
    <col min="15" max="15" width="11.625" bestFit="1" customWidth="1"/>
    <col min="16" max="20" width="15" bestFit="1" customWidth="1"/>
    <col min="21" max="21" width="11.625" bestFit="1" customWidth="1"/>
  </cols>
  <sheetData>
    <row r="1" spans="1:21">
      <c r="A1" s="3143" t="s">
        <v>3396</v>
      </c>
      <c r="B1" s="3143" t="s">
        <v>3401</v>
      </c>
      <c r="C1" s="3143" t="s">
        <v>3402</v>
      </c>
      <c r="D1" s="3143" t="s">
        <v>3403</v>
      </c>
      <c r="E1" s="3143" t="s">
        <v>3404</v>
      </c>
      <c r="F1" s="3143" t="s">
        <v>3405</v>
      </c>
      <c r="G1" s="3143" t="s">
        <v>3406</v>
      </c>
      <c r="H1" s="3143" t="s">
        <v>3407</v>
      </c>
      <c r="I1" s="3143" t="s">
        <v>3408</v>
      </c>
      <c r="J1" s="3143" t="s">
        <v>3409</v>
      </c>
      <c r="K1" s="3143" t="s">
        <v>3590</v>
      </c>
      <c r="L1" s="3143"/>
      <c r="M1" s="3143" t="s">
        <v>3592</v>
      </c>
      <c r="N1" s="3143" t="s">
        <v>3593</v>
      </c>
      <c r="O1" s="3143" t="s">
        <v>3762</v>
      </c>
      <c r="P1" s="3143" t="s">
        <v>3763</v>
      </c>
      <c r="Q1" s="3143" t="s">
        <v>3764</v>
      </c>
      <c r="R1" s="3143" t="s">
        <v>3765</v>
      </c>
      <c r="S1" s="3143" t="s">
        <v>3766</v>
      </c>
      <c r="T1" s="3143" t="s">
        <v>3767</v>
      </c>
      <c r="U1" s="3143" t="s">
        <v>3768</v>
      </c>
    </row>
    <row r="2" spans="1:21">
      <c r="A2" s="3143"/>
      <c r="B2" s="3143"/>
      <c r="C2" s="3143"/>
      <c r="D2" s="3143"/>
      <c r="E2" s="3143"/>
      <c r="F2" s="3143"/>
      <c r="G2" s="3143"/>
      <c r="H2" s="3143"/>
      <c r="I2" s="3143"/>
      <c r="J2" s="3143"/>
      <c r="K2" s="3143"/>
      <c r="L2" s="3143"/>
      <c r="M2" s="3143"/>
      <c r="N2" s="3143"/>
      <c r="O2" s="3188">
        <v>45657</v>
      </c>
      <c r="P2" s="3188">
        <v>46022</v>
      </c>
      <c r="Q2" s="3188">
        <v>46387</v>
      </c>
      <c r="R2" s="3188">
        <v>46752</v>
      </c>
      <c r="S2" s="3188">
        <v>47118</v>
      </c>
      <c r="T2" s="3188">
        <v>47483</v>
      </c>
      <c r="U2" s="3188">
        <v>47557</v>
      </c>
    </row>
    <row r="3" spans="1:21">
      <c r="A3" s="3143" t="s">
        <v>3397</v>
      </c>
      <c r="B3" s="3144" t="s">
        <v>3400</v>
      </c>
      <c r="C3" s="3144"/>
      <c r="D3" s="3144"/>
      <c r="E3" s="3145">
        <v>6640.15</v>
      </c>
      <c r="F3" s="3145">
        <v>6640.15</v>
      </c>
      <c r="G3" s="3144"/>
      <c r="H3" s="3144"/>
      <c r="I3" s="3144"/>
      <c r="J3" s="3144"/>
      <c r="K3" s="1404" t="s">
        <v>3591</v>
      </c>
      <c r="L3" s="1404"/>
      <c r="M3">
        <v>4</v>
      </c>
      <c r="O3">
        <f>ROUND(E3*$D$129*(1-$D$128)*($O$2-$D$124),2)</f>
        <v>2895437.41</v>
      </c>
      <c r="P3">
        <f>ROUND(E3*$D$129*(1-$D$128)*(1+$D$127)*365,2)</f>
        <v>18911778.010000002</v>
      </c>
      <c r="Q3">
        <f>ROUND(E3*$D$129*(1-$D$128)*(1+$D$127)^2*365,2)</f>
        <v>19290013.57</v>
      </c>
      <c r="R3">
        <f>ROUND(E3*$D$129*(1-$D$128)*(1+$D$127)^3*365,2)</f>
        <v>19675813.850000001</v>
      </c>
      <c r="S3">
        <f>ROUND(E3*$D$129*(1-$D$128)*(1+$D$127)^4*365,2)</f>
        <v>20069330.120000001</v>
      </c>
      <c r="T3">
        <f>ROUND(E3*$D$129*(1-$D$128)*(1+$D$127)^4*365,2)</f>
        <v>20069330.120000001</v>
      </c>
      <c r="U3">
        <f>ROUND(E3*$D$129*(1-$D$128)*(1+$D$127)^5*($U$2-$T$2),2)</f>
        <v>4150227.5</v>
      </c>
    </row>
    <row r="4" spans="1:21">
      <c r="A4" s="3143" t="s">
        <v>3398</v>
      </c>
      <c r="B4" s="3144" t="s">
        <v>3400</v>
      </c>
      <c r="C4" s="3144"/>
      <c r="D4" s="3144"/>
      <c r="E4" s="3145">
        <v>6472.57</v>
      </c>
      <c r="F4" s="3145">
        <v>6472.57</v>
      </c>
      <c r="G4" s="3144"/>
      <c r="H4" s="3144"/>
      <c r="I4" s="3144"/>
      <c r="J4" s="3144"/>
      <c r="K4" s="1404" t="s">
        <v>3591</v>
      </c>
      <c r="L4" s="1404"/>
      <c r="M4">
        <v>5</v>
      </c>
      <c r="O4">
        <f>ROUND(E4*$D$129*(1-$D$128)*($O$2-$D$124),2)</f>
        <v>2822364.15</v>
      </c>
      <c r="P4">
        <f>ROUND(E4*$D$129*(1-$D$128)*(1+$D$127)*365,2)</f>
        <v>18434494.25</v>
      </c>
      <c r="Q4">
        <f>ROUND(E4*$D$129*(1-$D$128)*(1+$D$127)^2*365,2)</f>
        <v>18803184.140000001</v>
      </c>
      <c r="R4">
        <f>ROUND(E4*$D$129*(1-$D$128)*(1+$D$127)^3*365,2)</f>
        <v>19179247.82</v>
      </c>
      <c r="S4">
        <f>ROUND(E4*$D$129*(1-$D$128)*(1+$D$127)^4*365,2)</f>
        <v>19562832.780000001</v>
      </c>
      <c r="T4">
        <f>ROUND(E4*$D$129*(1-$D$128)*(1+$D$127)^4*365,2)</f>
        <v>19562832.780000001</v>
      </c>
      <c r="U4">
        <f>ROUND(E4*$D$129*(1-$D$128)*(1+$D$127)^5*($U$2-$T$2),2)</f>
        <v>4045486.62</v>
      </c>
    </row>
    <row r="5" spans="1:21">
      <c r="A5" s="3143" t="s">
        <v>3399</v>
      </c>
      <c r="B5" s="3144" t="s">
        <v>3410</v>
      </c>
      <c r="C5" s="3145">
        <v>6472.57</v>
      </c>
      <c r="D5" s="3145">
        <v>6472.57</v>
      </c>
      <c r="E5" s="3145">
        <v>6472.57</v>
      </c>
      <c r="F5" s="3145">
        <v>6472.57</v>
      </c>
      <c r="G5" s="3145">
        <v>1553416.8</v>
      </c>
      <c r="H5" s="3145">
        <v>18641001.600000001</v>
      </c>
      <c r="I5" s="3146">
        <v>44866</v>
      </c>
      <c r="J5" s="3146">
        <v>45961</v>
      </c>
      <c r="K5" s="1404" t="s">
        <v>3591</v>
      </c>
      <c r="L5" s="1404"/>
      <c r="M5">
        <v>6</v>
      </c>
      <c r="N5" s="3163">
        <f>H5/F5/365</f>
        <v>7.8904109589041109</v>
      </c>
      <c r="O5">
        <f>ROUND(H5/365*($O$2-$D$124),2)</f>
        <v>2911060.52</v>
      </c>
      <c r="P5" s="3189">
        <f>H5</f>
        <v>18641001.600000001</v>
      </c>
      <c r="Q5" s="3189">
        <f>P5</f>
        <v>18641001.600000001</v>
      </c>
      <c r="R5" s="3189">
        <f t="shared" ref="R5:T5" si="0">Q5</f>
        <v>18641001.600000001</v>
      </c>
      <c r="S5" s="3189">
        <f t="shared" si="0"/>
        <v>18641001.600000001</v>
      </c>
      <c r="T5" s="3189">
        <f t="shared" si="0"/>
        <v>18641001.600000001</v>
      </c>
      <c r="U5">
        <f>ROUND(H5/365*($U$2-$T$2),2)</f>
        <v>3779271.56</v>
      </c>
    </row>
    <row r="6" spans="1:21">
      <c r="A6" s="3144" t="s">
        <v>3411</v>
      </c>
      <c r="B6" s="3144" t="s">
        <v>3410</v>
      </c>
      <c r="C6" s="3145">
        <v>902.33</v>
      </c>
      <c r="D6" s="3145">
        <v>902.33</v>
      </c>
      <c r="E6" s="3145">
        <v>902.33</v>
      </c>
      <c r="F6" s="3145">
        <v>902.33</v>
      </c>
      <c r="G6" s="3145">
        <v>216559.2</v>
      </c>
      <c r="H6" s="3145">
        <v>2598710.4</v>
      </c>
      <c r="I6" s="3146">
        <v>44866</v>
      </c>
      <c r="J6" s="3146">
        <v>45961</v>
      </c>
      <c r="K6" s="1404" t="s">
        <v>3591</v>
      </c>
      <c r="L6" s="1404"/>
      <c r="M6">
        <v>7</v>
      </c>
      <c r="N6" s="3163">
        <f t="shared" ref="N5:N65" si="1">H6/F6/365</f>
        <v>7.8904109589041083</v>
      </c>
      <c r="O6">
        <f t="shared" ref="O5:O10" si="2">ROUND(H6/365*($O$2-$D$124),2)</f>
        <v>405826.01</v>
      </c>
      <c r="P6" s="3189">
        <f t="shared" ref="P5:P10" si="3">H6</f>
        <v>2598710.4</v>
      </c>
      <c r="Q6" s="3189">
        <f t="shared" ref="Q6:T6" si="4">P6</f>
        <v>2598710.4</v>
      </c>
      <c r="R6" s="3189">
        <f t="shared" si="4"/>
        <v>2598710.4</v>
      </c>
      <c r="S6" s="3189">
        <f t="shared" si="4"/>
        <v>2598710.4</v>
      </c>
      <c r="T6" s="3189">
        <f t="shared" si="4"/>
        <v>2598710.4</v>
      </c>
      <c r="U6">
        <f t="shared" ref="U6:U10" si="5">ROUND(H6/365*($U$2-$T$2),2)</f>
        <v>526861.82999999996</v>
      </c>
    </row>
    <row r="7" spans="1:21">
      <c r="A7" s="3144" t="s">
        <v>3412</v>
      </c>
      <c r="B7" s="3144" t="s">
        <v>3410</v>
      </c>
      <c r="C7" s="3145">
        <v>1036.3699999999999</v>
      </c>
      <c r="D7" s="3145">
        <v>1036.3699999999999</v>
      </c>
      <c r="E7" s="3145">
        <v>1036.3699999999999</v>
      </c>
      <c r="F7" s="3145">
        <v>1036.3699999999999</v>
      </c>
      <c r="G7" s="3145">
        <v>248728.8</v>
      </c>
      <c r="H7" s="3145">
        <v>2984745.6</v>
      </c>
      <c r="I7" s="3146">
        <v>44866</v>
      </c>
      <c r="J7" s="3146">
        <v>45961</v>
      </c>
      <c r="K7" s="1404" t="s">
        <v>3591</v>
      </c>
      <c r="L7" s="1404"/>
      <c r="M7">
        <v>7</v>
      </c>
      <c r="N7" s="3163">
        <f t="shared" si="1"/>
        <v>7.8904109589041109</v>
      </c>
      <c r="O7">
        <f t="shared" si="2"/>
        <v>466110.96</v>
      </c>
      <c r="P7" s="3189">
        <f t="shared" si="3"/>
        <v>2984745.6</v>
      </c>
      <c r="Q7" s="3189">
        <f t="shared" ref="Q7:T7" si="6">P7</f>
        <v>2984745.6</v>
      </c>
      <c r="R7" s="3189">
        <f t="shared" si="6"/>
        <v>2984745.6</v>
      </c>
      <c r="S7" s="3189">
        <f t="shared" si="6"/>
        <v>2984745.6</v>
      </c>
      <c r="T7" s="3189">
        <f t="shared" si="6"/>
        <v>2984745.6</v>
      </c>
      <c r="U7">
        <f t="shared" si="5"/>
        <v>605126.51</v>
      </c>
    </row>
    <row r="8" spans="1:21">
      <c r="A8" s="3143" t="s">
        <v>3413</v>
      </c>
      <c r="B8" s="3144" t="s">
        <v>3410</v>
      </c>
      <c r="C8" s="3145">
        <v>1296.98</v>
      </c>
      <c r="D8" s="3145">
        <v>1296.98</v>
      </c>
      <c r="E8" s="3145">
        <v>1296.98</v>
      </c>
      <c r="F8" s="3145">
        <v>1296.98</v>
      </c>
      <c r="G8" s="3145">
        <v>311275.2</v>
      </c>
      <c r="H8" s="3145">
        <v>3735302.4</v>
      </c>
      <c r="I8" s="3146">
        <v>45261</v>
      </c>
      <c r="J8" s="3146">
        <v>45961</v>
      </c>
      <c r="K8" s="1404" t="s">
        <v>3591</v>
      </c>
      <c r="L8" s="1404"/>
      <c r="M8">
        <v>7</v>
      </c>
      <c r="N8" s="3163">
        <f t="shared" si="1"/>
        <v>7.8904109589041092</v>
      </c>
      <c r="O8">
        <f t="shared" si="2"/>
        <v>583321.19999999995</v>
      </c>
      <c r="P8" s="3189">
        <f t="shared" si="3"/>
        <v>3735302.4</v>
      </c>
      <c r="Q8" s="3189">
        <f t="shared" ref="Q8:T8" si="7">P8</f>
        <v>3735302.4</v>
      </c>
      <c r="R8" s="3189">
        <f t="shared" si="7"/>
        <v>3735302.4</v>
      </c>
      <c r="S8" s="3189">
        <f t="shared" si="7"/>
        <v>3735302.4</v>
      </c>
      <c r="T8" s="3189">
        <f t="shared" si="7"/>
        <v>3735302.4</v>
      </c>
      <c r="U8">
        <f t="shared" si="5"/>
        <v>757294.19</v>
      </c>
    </row>
    <row r="9" spans="1:21">
      <c r="A9" s="3143" t="s">
        <v>3414</v>
      </c>
      <c r="B9" s="3144" t="s">
        <v>3410</v>
      </c>
      <c r="C9" s="3144">
        <v>683.86</v>
      </c>
      <c r="D9" s="3144">
        <v>683.86</v>
      </c>
      <c r="E9" s="3144">
        <v>683.86</v>
      </c>
      <c r="F9" s="3144">
        <v>683.86</v>
      </c>
      <c r="G9" s="3145">
        <v>164126.39999999999</v>
      </c>
      <c r="H9" s="3145">
        <v>1969516.8</v>
      </c>
      <c r="I9" s="3146">
        <v>45489</v>
      </c>
      <c r="J9" s="3146">
        <v>45961</v>
      </c>
      <c r="K9" s="1404" t="s">
        <v>3591</v>
      </c>
      <c r="L9" s="1404"/>
      <c r="M9">
        <v>7</v>
      </c>
      <c r="N9" s="3163">
        <f t="shared" si="1"/>
        <v>7.8904109589041092</v>
      </c>
      <c r="O9">
        <f t="shared" si="2"/>
        <v>307568.38</v>
      </c>
      <c r="P9" s="3189">
        <f t="shared" si="3"/>
        <v>1969516.8</v>
      </c>
      <c r="Q9" s="3189">
        <f t="shared" ref="Q9:T9" si="8">P9</f>
        <v>1969516.8</v>
      </c>
      <c r="R9" s="3189">
        <f t="shared" si="8"/>
        <v>1969516.8</v>
      </c>
      <c r="S9" s="3189">
        <f t="shared" si="8"/>
        <v>1969516.8</v>
      </c>
      <c r="T9" s="3189">
        <f t="shared" si="8"/>
        <v>1969516.8</v>
      </c>
      <c r="U9">
        <f t="shared" si="5"/>
        <v>399299.3</v>
      </c>
    </row>
    <row r="10" spans="1:21">
      <c r="A10" s="3144" t="s">
        <v>3415</v>
      </c>
      <c r="B10" s="3144" t="s">
        <v>3416</v>
      </c>
      <c r="C10" s="3145">
        <v>1864.18</v>
      </c>
      <c r="D10" s="3145">
        <v>1864.18</v>
      </c>
      <c r="E10" s="3145">
        <v>1864.18</v>
      </c>
      <c r="F10" s="3145">
        <v>1864.18</v>
      </c>
      <c r="G10" s="3145">
        <v>452995.74</v>
      </c>
      <c r="H10" s="3145">
        <v>5435948.8799999999</v>
      </c>
      <c r="I10" s="3146">
        <v>44835</v>
      </c>
      <c r="J10" s="3146">
        <v>45838</v>
      </c>
      <c r="K10" s="1404" t="s">
        <v>3591</v>
      </c>
      <c r="L10" s="1404"/>
      <c r="M10">
        <v>7</v>
      </c>
      <c r="N10" s="3163">
        <f t="shared" si="1"/>
        <v>7.9890410958904106</v>
      </c>
      <c r="O10">
        <f t="shared" si="2"/>
        <v>848901.61</v>
      </c>
      <c r="P10" s="3189">
        <f t="shared" si="3"/>
        <v>5435948.8799999999</v>
      </c>
      <c r="Q10" s="3189">
        <f t="shared" ref="Q10:T10" si="9">P10</f>
        <v>5435948.8799999999</v>
      </c>
      <c r="R10" s="3189">
        <f t="shared" si="9"/>
        <v>5435948.8799999999</v>
      </c>
      <c r="S10" s="3189">
        <f t="shared" si="9"/>
        <v>5435948.8799999999</v>
      </c>
      <c r="T10" s="3189">
        <f t="shared" si="9"/>
        <v>5435948.8799999999</v>
      </c>
      <c r="U10">
        <f t="shared" si="5"/>
        <v>1102082.79</v>
      </c>
    </row>
    <row r="11" spans="1:21">
      <c r="A11" s="3144" t="s">
        <v>3417</v>
      </c>
      <c r="B11" s="3144" t="s">
        <v>3400</v>
      </c>
      <c r="C11" s="3144"/>
      <c r="D11" s="3144"/>
      <c r="E11" s="3144">
        <v>152.22999999999999</v>
      </c>
      <c r="F11" s="3144">
        <v>152.22999999999999</v>
      </c>
      <c r="G11" s="3144"/>
      <c r="H11" s="3144"/>
      <c r="I11" s="3144"/>
      <c r="J11" s="3144"/>
      <c r="K11" s="1404" t="s">
        <v>3591</v>
      </c>
      <c r="L11" s="1404"/>
      <c r="M11">
        <v>7</v>
      </c>
      <c r="N11" s="3163"/>
      <c r="O11">
        <f t="shared" ref="O11:O15" si="10">ROUND(E11*$D$129*(1-$D$128)*($O$2-$D$124),2)</f>
        <v>66379.89</v>
      </c>
      <c r="P11">
        <f t="shared" ref="P11:P15" si="11">ROUND(E11*$D$129*(1-$D$128)*(1+$D$127)*365,2)</f>
        <v>433565.5</v>
      </c>
      <c r="Q11">
        <f t="shared" ref="Q11:Q15" si="12">ROUND(E11*$D$129*(1-$D$128)*(1+$D$127)^2*365,2)</f>
        <v>442236.81</v>
      </c>
      <c r="R11">
        <f t="shared" ref="R11:R15" si="13">ROUND(E11*$D$129*(1-$D$128)*(1+$D$127)^3*365,2)</f>
        <v>451081.55</v>
      </c>
      <c r="S11">
        <f t="shared" ref="S11:S15" si="14">ROUND(E11*$D$129*(1-$D$128)*(1+$D$127)^4*365,2)</f>
        <v>460103.18</v>
      </c>
      <c r="T11">
        <f t="shared" ref="T11:T15" si="15">ROUND(E11*$D$129*(1-$D$128)*(1+$D$127)^4*365,2)</f>
        <v>460103.18</v>
      </c>
      <c r="U11">
        <f t="shared" ref="U11:U15" si="16">ROUND(E11*$D$129*(1-$D$128)*(1+$D$127)^5*($U$2-$T$2),2)</f>
        <v>95146.82</v>
      </c>
    </row>
    <row r="12" spans="1:21">
      <c r="A12" s="3144" t="s">
        <v>3418</v>
      </c>
      <c r="B12" s="3144" t="s">
        <v>3400</v>
      </c>
      <c r="C12" s="3144"/>
      <c r="D12" s="3144"/>
      <c r="E12" s="3144">
        <v>303.27</v>
      </c>
      <c r="F12" s="3144">
        <v>303.27</v>
      </c>
      <c r="G12" s="3144"/>
      <c r="H12" s="3144"/>
      <c r="I12" s="3144"/>
      <c r="J12" s="3144"/>
      <c r="K12" s="1404" t="s">
        <v>3591</v>
      </c>
      <c r="L12" s="1404"/>
      <c r="M12">
        <v>7</v>
      </c>
      <c r="N12" s="3163"/>
      <c r="O12">
        <f t="shared" si="10"/>
        <v>132240.88</v>
      </c>
      <c r="P12">
        <f t="shared" si="11"/>
        <v>863741.77</v>
      </c>
      <c r="Q12">
        <f t="shared" si="12"/>
        <v>881016.61</v>
      </c>
      <c r="R12">
        <f t="shared" si="13"/>
        <v>898636.94</v>
      </c>
      <c r="S12">
        <f t="shared" si="14"/>
        <v>916609.68</v>
      </c>
      <c r="T12">
        <f t="shared" si="15"/>
        <v>916609.68</v>
      </c>
      <c r="U12">
        <f t="shared" si="16"/>
        <v>189549.86</v>
      </c>
    </row>
    <row r="13" spans="1:21">
      <c r="A13" s="3144" t="s">
        <v>3419</v>
      </c>
      <c r="B13" s="3144" t="s">
        <v>3400</v>
      </c>
      <c r="C13" s="3144"/>
      <c r="D13" s="3144"/>
      <c r="E13" s="3144">
        <v>233.35</v>
      </c>
      <c r="F13" s="3144">
        <v>233.35</v>
      </c>
      <c r="G13" s="3144"/>
      <c r="H13" s="3144"/>
      <c r="I13" s="3144"/>
      <c r="J13" s="3144"/>
      <c r="K13" s="1404" t="s">
        <v>3591</v>
      </c>
      <c r="L13" s="1404"/>
      <c r="M13">
        <v>7</v>
      </c>
      <c r="N13" s="3163"/>
      <c r="O13">
        <f t="shared" si="10"/>
        <v>101752.27</v>
      </c>
      <c r="P13">
        <f t="shared" si="11"/>
        <v>664602.97</v>
      </c>
      <c r="Q13">
        <f t="shared" si="12"/>
        <v>677895.03</v>
      </c>
      <c r="R13">
        <f t="shared" si="13"/>
        <v>691452.93</v>
      </c>
      <c r="S13">
        <f t="shared" si="14"/>
        <v>705281.99</v>
      </c>
      <c r="T13">
        <f t="shared" si="15"/>
        <v>705281.99</v>
      </c>
      <c r="U13">
        <f t="shared" si="16"/>
        <v>145848.45000000001</v>
      </c>
    </row>
    <row r="14" spans="1:21">
      <c r="A14" s="3144" t="s">
        <v>3420</v>
      </c>
      <c r="B14" s="3144" t="s">
        <v>3400</v>
      </c>
      <c r="C14" s="3144"/>
      <c r="D14" s="3144"/>
      <c r="E14" s="3144">
        <v>121.36</v>
      </c>
      <c r="F14" s="3144">
        <v>121.36</v>
      </c>
      <c r="G14" s="3144"/>
      <c r="H14" s="3144"/>
      <c r="I14" s="3144"/>
      <c r="J14" s="3144"/>
      <c r="K14" s="1404" t="s">
        <v>3591</v>
      </c>
      <c r="L14" s="1404"/>
      <c r="M14">
        <v>8</v>
      </c>
      <c r="N14" s="3163"/>
      <c r="O14">
        <f t="shared" si="10"/>
        <v>52919.03</v>
      </c>
      <c r="P14">
        <f t="shared" si="11"/>
        <v>345644.81</v>
      </c>
      <c r="Q14">
        <f t="shared" si="12"/>
        <v>352557.71</v>
      </c>
      <c r="R14">
        <f t="shared" si="13"/>
        <v>359608.86</v>
      </c>
      <c r="S14">
        <f t="shared" si="14"/>
        <v>366801.04</v>
      </c>
      <c r="T14">
        <f t="shared" si="15"/>
        <v>366801.04</v>
      </c>
      <c r="U14">
        <f t="shared" si="16"/>
        <v>75852.44</v>
      </c>
    </row>
    <row r="15" spans="1:21">
      <c r="A15" s="3144" t="s">
        <v>3421</v>
      </c>
      <c r="B15" s="3144" t="s">
        <v>3400</v>
      </c>
      <c r="C15" s="3144"/>
      <c r="D15" s="3144"/>
      <c r="E15" s="3144">
        <v>258.83</v>
      </c>
      <c r="F15" s="3144">
        <v>258.83</v>
      </c>
      <c r="G15" s="3144"/>
      <c r="H15" s="3144"/>
      <c r="I15" s="3144"/>
      <c r="J15" s="3144"/>
      <c r="K15" s="1404" t="s">
        <v>3591</v>
      </c>
      <c r="L15" s="1404"/>
      <c r="M15">
        <v>8</v>
      </c>
      <c r="N15" s="3163"/>
      <c r="O15">
        <f t="shared" si="10"/>
        <v>112862.82</v>
      </c>
      <c r="P15">
        <f t="shared" si="11"/>
        <v>737172.43</v>
      </c>
      <c r="Q15">
        <f t="shared" si="12"/>
        <v>751915.88</v>
      </c>
      <c r="R15">
        <f t="shared" si="13"/>
        <v>766954.19</v>
      </c>
      <c r="S15">
        <f t="shared" si="14"/>
        <v>782293.28</v>
      </c>
      <c r="T15">
        <f t="shared" si="15"/>
        <v>782293.28</v>
      </c>
      <c r="U15">
        <f t="shared" si="16"/>
        <v>161773.96</v>
      </c>
    </row>
    <row r="16" spans="1:21">
      <c r="A16" s="3144" t="s">
        <v>3422</v>
      </c>
      <c r="B16" s="3144" t="s">
        <v>3425</v>
      </c>
      <c r="C16" s="3144">
        <v>151.96</v>
      </c>
      <c r="D16" s="3144">
        <v>151.96</v>
      </c>
      <c r="E16" s="3144">
        <v>151.96</v>
      </c>
      <c r="F16" s="3144">
        <v>151.96</v>
      </c>
      <c r="G16" s="3145">
        <v>37838.04</v>
      </c>
      <c r="H16" s="3145">
        <v>454056.48</v>
      </c>
      <c r="I16" s="3146">
        <v>45184</v>
      </c>
      <c r="J16" s="3146">
        <v>46279</v>
      </c>
      <c r="K16" s="1404" t="s">
        <v>3591</v>
      </c>
      <c r="L16" s="1404"/>
      <c r="M16">
        <v>8</v>
      </c>
      <c r="N16" s="3163">
        <f t="shared" si="1"/>
        <v>8.1863013698630116</v>
      </c>
      <c r="O16">
        <f>ROUND(H16/365*($O$2-$D$124),2)</f>
        <v>70907.45</v>
      </c>
      <c r="P16" s="3189">
        <f t="shared" ref="P16:P17" si="17">H16</f>
        <v>454056.48</v>
      </c>
      <c r="Q16" s="3189">
        <f t="shared" ref="Q16:T16" si="18">P16</f>
        <v>454056.48</v>
      </c>
      <c r="R16" s="3189">
        <f t="shared" si="18"/>
        <v>454056.48</v>
      </c>
      <c r="S16" s="3189">
        <f t="shared" si="18"/>
        <v>454056.48</v>
      </c>
      <c r="T16" s="3189">
        <f t="shared" si="18"/>
        <v>454056.48</v>
      </c>
      <c r="U16">
        <f t="shared" ref="U16:U17" si="19">ROUND(H16/365*($U$2-$T$2),2)</f>
        <v>92055.29</v>
      </c>
    </row>
    <row r="17" spans="1:21">
      <c r="A17" s="3143" t="s">
        <v>3423</v>
      </c>
      <c r="B17" s="3144" t="s">
        <v>3426</v>
      </c>
      <c r="C17" s="3144">
        <v>456.11</v>
      </c>
      <c r="D17" s="3144">
        <v>456.11</v>
      </c>
      <c r="E17" s="3144">
        <v>456.11</v>
      </c>
      <c r="F17" s="3144">
        <v>456.11</v>
      </c>
      <c r="G17" s="3145">
        <v>103080.86</v>
      </c>
      <c r="H17" s="3145">
        <v>1236970.32</v>
      </c>
      <c r="I17" s="3146">
        <v>45298</v>
      </c>
      <c r="J17" s="3146">
        <v>46393</v>
      </c>
      <c r="K17" s="1404" t="s">
        <v>3591</v>
      </c>
      <c r="L17" s="1404"/>
      <c r="M17">
        <v>8</v>
      </c>
      <c r="N17" s="3163">
        <f t="shared" si="1"/>
        <v>7.4301369863013695</v>
      </c>
      <c r="O17">
        <f>ROUND(H17/365*($O$2-$D$124),2)</f>
        <v>193170.71</v>
      </c>
      <c r="P17" s="3189">
        <f t="shared" si="17"/>
        <v>1236970.32</v>
      </c>
      <c r="Q17" s="3189">
        <f t="shared" ref="Q17:T17" si="20">P17</f>
        <v>1236970.32</v>
      </c>
      <c r="R17" s="3189">
        <f t="shared" si="20"/>
        <v>1236970.32</v>
      </c>
      <c r="S17" s="3189">
        <f t="shared" si="20"/>
        <v>1236970.32</v>
      </c>
      <c r="T17" s="3189">
        <f t="shared" si="20"/>
        <v>1236970.32</v>
      </c>
      <c r="U17">
        <f t="shared" si="19"/>
        <v>250783.02</v>
      </c>
    </row>
    <row r="18" spans="1:21">
      <c r="A18" s="3144" t="s">
        <v>3424</v>
      </c>
      <c r="B18" s="3144" t="s">
        <v>3400</v>
      </c>
      <c r="C18" s="3144"/>
      <c r="D18" s="3144"/>
      <c r="E18" s="3145">
        <v>2419.66</v>
      </c>
      <c r="F18" s="3145">
        <v>2419.66</v>
      </c>
      <c r="G18" s="3144"/>
      <c r="H18" s="3144"/>
      <c r="I18" s="3144"/>
      <c r="J18" s="3144"/>
      <c r="K18" s="1404" t="s">
        <v>3591</v>
      </c>
      <c r="L18" s="1404"/>
      <c r="M18">
        <v>8</v>
      </c>
      <c r="N18" s="3163"/>
      <c r="O18">
        <f t="shared" ref="O18:O20" si="21">ROUND(E18*$D$129*(1-$D$128)*($O$2-$D$124),2)</f>
        <v>1055092.74</v>
      </c>
      <c r="P18">
        <f t="shared" ref="P18:P20" si="22">ROUND(E18*$D$129*(1-$D$128)*(1+$D$127)*365,2)</f>
        <v>6891421.5499999998</v>
      </c>
      <c r="Q18">
        <f t="shared" ref="Q18:Q20" si="23">ROUND(E18*$D$129*(1-$D$128)*(1+$D$127)^2*365,2)</f>
        <v>7029249.9800000004</v>
      </c>
      <c r="R18">
        <f t="shared" ref="R18:R20" si="24">ROUND(E18*$D$129*(1-$D$128)*(1+$D$127)^3*365,2)</f>
        <v>7169834.9800000004</v>
      </c>
      <c r="S18">
        <f t="shared" ref="S18:S20" si="25">ROUND(E18*$D$129*(1-$D$128)*(1+$D$127)^4*365,2)</f>
        <v>7313231.6799999997</v>
      </c>
      <c r="T18">
        <f t="shared" ref="T18:T20" si="26">ROUND(E18*$D$129*(1-$D$128)*(1+$D$127)^4*365,2)</f>
        <v>7313231.6799999997</v>
      </c>
      <c r="U18">
        <f t="shared" ref="U18:U20" si="27">ROUND(E18*$D$129*(1-$D$128)*(1+$D$127)^5*($U$2-$T$2),2)</f>
        <v>1512336.24</v>
      </c>
    </row>
    <row r="19" spans="1:21">
      <c r="A19" s="3144" t="s">
        <v>3427</v>
      </c>
      <c r="B19" s="3144" t="s">
        <v>3400</v>
      </c>
      <c r="C19" s="3144"/>
      <c r="D19" s="3144"/>
      <c r="E19" s="3144">
        <v>152.22999999999999</v>
      </c>
      <c r="F19" s="3144">
        <v>152.22999999999999</v>
      </c>
      <c r="G19" s="3144"/>
      <c r="H19" s="3144"/>
      <c r="I19" s="3144"/>
      <c r="J19" s="3144"/>
      <c r="K19" s="1404" t="s">
        <v>3591</v>
      </c>
      <c r="L19" s="1404"/>
      <c r="M19">
        <v>8</v>
      </c>
      <c r="N19" s="3163"/>
      <c r="O19">
        <f t="shared" si="21"/>
        <v>66379.89</v>
      </c>
      <c r="P19">
        <f t="shared" si="22"/>
        <v>433565.5</v>
      </c>
      <c r="Q19">
        <f t="shared" si="23"/>
        <v>442236.81</v>
      </c>
      <c r="R19">
        <f t="shared" si="24"/>
        <v>451081.55</v>
      </c>
      <c r="S19">
        <f t="shared" si="25"/>
        <v>460103.18</v>
      </c>
      <c r="T19">
        <f t="shared" si="26"/>
        <v>460103.18</v>
      </c>
      <c r="U19">
        <f t="shared" si="27"/>
        <v>95146.82</v>
      </c>
    </row>
    <row r="20" spans="1:21">
      <c r="A20" s="3144" t="s">
        <v>3428</v>
      </c>
      <c r="B20" s="3144" t="s">
        <v>3400</v>
      </c>
      <c r="C20" s="3144"/>
      <c r="D20" s="3144"/>
      <c r="E20" s="3144">
        <v>141.6</v>
      </c>
      <c r="F20" s="3144">
        <v>141.6</v>
      </c>
      <c r="G20" s="3144"/>
      <c r="H20" s="3144"/>
      <c r="I20" s="3144"/>
      <c r="J20" s="3144"/>
      <c r="K20" s="1404" t="s">
        <v>3591</v>
      </c>
      <c r="L20" s="1404"/>
      <c r="M20">
        <v>8</v>
      </c>
      <c r="N20" s="3163"/>
      <c r="O20">
        <f t="shared" si="21"/>
        <v>61744.68</v>
      </c>
      <c r="P20">
        <f t="shared" si="22"/>
        <v>403290.25</v>
      </c>
      <c r="Q20">
        <f t="shared" si="23"/>
        <v>411356.06</v>
      </c>
      <c r="R20">
        <f t="shared" si="24"/>
        <v>419583.18</v>
      </c>
      <c r="S20">
        <f t="shared" si="25"/>
        <v>427974.84</v>
      </c>
      <c r="T20">
        <f t="shared" si="26"/>
        <v>427974.84</v>
      </c>
      <c r="U20">
        <f t="shared" si="27"/>
        <v>88502.85</v>
      </c>
    </row>
    <row r="21" spans="1:21">
      <c r="A21" s="3144" t="s">
        <v>3429</v>
      </c>
      <c r="B21" s="3144" t="s">
        <v>3434</v>
      </c>
      <c r="C21" s="3144">
        <v>150.1</v>
      </c>
      <c r="D21" s="3144">
        <v>150.1</v>
      </c>
      <c r="E21" s="3144">
        <v>150.1</v>
      </c>
      <c r="F21" s="3144">
        <v>150.1</v>
      </c>
      <c r="G21" s="3145">
        <v>31521</v>
      </c>
      <c r="H21" s="3145">
        <v>378252</v>
      </c>
      <c r="I21" s="3146">
        <v>45432</v>
      </c>
      <c r="J21" s="3146">
        <v>45796</v>
      </c>
      <c r="K21" s="1404" t="s">
        <v>3591</v>
      </c>
      <c r="L21" s="1404"/>
      <c r="M21">
        <v>8</v>
      </c>
      <c r="N21" s="3163">
        <f t="shared" si="1"/>
        <v>6.904109589041096</v>
      </c>
      <c r="O21">
        <f t="shared" ref="O21:O52" si="28">ROUND(H21/365*($O$2-$D$124),2)</f>
        <v>59069.49</v>
      </c>
      <c r="P21">
        <v>378252</v>
      </c>
      <c r="Q21" s="3189">
        <f t="shared" ref="Q21:T21" si="29">P21</f>
        <v>378252</v>
      </c>
      <c r="R21" s="3189">
        <f t="shared" si="29"/>
        <v>378252</v>
      </c>
      <c r="S21" s="3189">
        <f t="shared" si="29"/>
        <v>378252</v>
      </c>
      <c r="T21" s="3189">
        <f t="shared" si="29"/>
        <v>378252</v>
      </c>
      <c r="U21">
        <f t="shared" ref="U21:U82" si="30">ROUND(H21/365*($U$2-$T$2),2)</f>
        <v>76686.710000000006</v>
      </c>
    </row>
    <row r="22" spans="1:21">
      <c r="A22" s="3144" t="s">
        <v>3430</v>
      </c>
      <c r="B22" s="3143" t="s">
        <v>3435</v>
      </c>
      <c r="C22" s="3144">
        <v>152.19</v>
      </c>
      <c r="D22" s="3144">
        <v>152.19</v>
      </c>
      <c r="E22" s="3144">
        <v>152.19</v>
      </c>
      <c r="F22" s="3144">
        <v>152.19</v>
      </c>
      <c r="G22" s="3145">
        <v>34242.75</v>
      </c>
      <c r="H22" s="3145">
        <v>410913</v>
      </c>
      <c r="I22" s="3146">
        <v>45505</v>
      </c>
      <c r="J22" s="3146">
        <v>46234</v>
      </c>
      <c r="K22" s="1404" t="s">
        <v>3591</v>
      </c>
      <c r="L22" s="1404"/>
      <c r="M22">
        <v>8</v>
      </c>
      <c r="N22" s="3163">
        <f t="shared" si="1"/>
        <v>7.397260273972603</v>
      </c>
      <c r="O22">
        <f t="shared" si="28"/>
        <v>64169.98</v>
      </c>
      <c r="P22">
        <v>410913</v>
      </c>
      <c r="Q22" s="3189">
        <f t="shared" ref="Q22:T22" si="31">P22</f>
        <v>410913</v>
      </c>
      <c r="R22" s="3189">
        <f t="shared" si="31"/>
        <v>410913</v>
      </c>
      <c r="S22" s="3189">
        <f t="shared" si="31"/>
        <v>410913</v>
      </c>
      <c r="T22" s="3189">
        <f t="shared" si="31"/>
        <v>410913</v>
      </c>
      <c r="U22">
        <f t="shared" si="30"/>
        <v>83308.39</v>
      </c>
    </row>
    <row r="23" spans="1:21">
      <c r="A23" s="3144" t="s">
        <v>3431</v>
      </c>
      <c r="B23" s="3144" t="s">
        <v>3436</v>
      </c>
      <c r="C23" s="3144">
        <v>304.49</v>
      </c>
      <c r="D23" s="3144">
        <v>304.49</v>
      </c>
      <c r="E23" s="3144">
        <v>304.49</v>
      </c>
      <c r="F23" s="3144">
        <v>304.49</v>
      </c>
      <c r="G23" s="3145">
        <v>78558.42</v>
      </c>
      <c r="H23" s="3145">
        <v>942701.04</v>
      </c>
      <c r="I23" s="3146">
        <v>44681</v>
      </c>
      <c r="J23" s="3146">
        <v>45776</v>
      </c>
      <c r="K23" s="1404" t="s">
        <v>3591</v>
      </c>
      <c r="L23" s="1404"/>
      <c r="M23">
        <v>8</v>
      </c>
      <c r="N23" s="3163">
        <f t="shared" si="1"/>
        <v>8.4821917808219176</v>
      </c>
      <c r="O23">
        <f t="shared" si="28"/>
        <v>147216.32999999999</v>
      </c>
      <c r="P23" s="3189">
        <f t="shared" ref="P23:P52" si="32">H23</f>
        <v>942701.04</v>
      </c>
      <c r="Q23" s="3189">
        <f t="shared" ref="Q23:T23" si="33">P23</f>
        <v>942701.04</v>
      </c>
      <c r="R23" s="3189">
        <f t="shared" si="33"/>
        <v>942701.04</v>
      </c>
      <c r="S23" s="3189">
        <f t="shared" si="33"/>
        <v>942701.04</v>
      </c>
      <c r="T23" s="3189">
        <f t="shared" si="33"/>
        <v>942701.04</v>
      </c>
      <c r="U23">
        <f t="shared" si="30"/>
        <v>191122.95</v>
      </c>
    </row>
    <row r="24" spans="1:21">
      <c r="A24" s="3144" t="s">
        <v>3432</v>
      </c>
      <c r="B24" s="3144" t="s">
        <v>3437</v>
      </c>
      <c r="C24" s="3144">
        <v>152.29</v>
      </c>
      <c r="D24" s="3144">
        <v>152.29</v>
      </c>
      <c r="E24" s="3144">
        <v>152.29</v>
      </c>
      <c r="F24" s="3144">
        <v>152.29</v>
      </c>
      <c r="G24" s="3145">
        <v>40356.85</v>
      </c>
      <c r="H24" s="3145">
        <v>484282.2</v>
      </c>
      <c r="I24" s="3146">
        <v>45108</v>
      </c>
      <c r="J24" s="3146">
        <v>45838</v>
      </c>
      <c r="K24" s="1404" t="s">
        <v>3591</v>
      </c>
      <c r="L24" s="1404"/>
      <c r="M24">
        <v>8</v>
      </c>
      <c r="N24" s="3163">
        <f t="shared" si="1"/>
        <v>8.7123287671232887</v>
      </c>
      <c r="O24">
        <f t="shared" si="28"/>
        <v>75627.63</v>
      </c>
      <c r="P24" s="3189">
        <f t="shared" si="32"/>
        <v>484282.2</v>
      </c>
      <c r="Q24" s="3189">
        <f t="shared" ref="Q24:T24" si="34">P24</f>
        <v>484282.2</v>
      </c>
      <c r="R24" s="3189">
        <f t="shared" si="34"/>
        <v>484282.2</v>
      </c>
      <c r="S24" s="3189">
        <f t="shared" si="34"/>
        <v>484282.2</v>
      </c>
      <c r="T24" s="3189">
        <f t="shared" si="34"/>
        <v>484282.2</v>
      </c>
      <c r="U24">
        <f t="shared" si="30"/>
        <v>98183.24</v>
      </c>
    </row>
    <row r="25" spans="1:21">
      <c r="A25" s="3144" t="s">
        <v>3433</v>
      </c>
      <c r="B25" s="3144" t="s">
        <v>3438</v>
      </c>
      <c r="C25" s="3144">
        <v>291.31</v>
      </c>
      <c r="D25" s="3144">
        <v>291.31</v>
      </c>
      <c r="E25" s="3144">
        <v>293.19</v>
      </c>
      <c r="F25" s="3144">
        <v>293.19</v>
      </c>
      <c r="G25" s="3145">
        <v>69914.399999999994</v>
      </c>
      <c r="H25" s="3145">
        <v>838972.8</v>
      </c>
      <c r="I25" s="3146">
        <v>45383</v>
      </c>
      <c r="J25" s="3146">
        <v>45747</v>
      </c>
      <c r="K25" s="1404" t="s">
        <v>3591</v>
      </c>
      <c r="L25" s="1404"/>
      <c r="M25">
        <v>8</v>
      </c>
      <c r="N25" s="3163">
        <f t="shared" si="1"/>
        <v>7.839815875160669</v>
      </c>
      <c r="O25">
        <f t="shared" si="28"/>
        <v>131017.67</v>
      </c>
      <c r="P25" s="3189">
        <f t="shared" si="32"/>
        <v>838972.8</v>
      </c>
      <c r="Q25" s="3189">
        <f t="shared" ref="Q25:T25" si="35">P25</f>
        <v>838972.8</v>
      </c>
      <c r="R25" s="3189">
        <f t="shared" si="35"/>
        <v>838972.8</v>
      </c>
      <c r="S25" s="3189">
        <f t="shared" si="35"/>
        <v>838972.8</v>
      </c>
      <c r="T25" s="3189">
        <f t="shared" si="35"/>
        <v>838972.8</v>
      </c>
      <c r="U25">
        <f t="shared" si="30"/>
        <v>170093.12</v>
      </c>
    </row>
    <row r="26" spans="1:21">
      <c r="A26" s="3144" t="s">
        <v>3439</v>
      </c>
      <c r="B26" s="3144" t="s">
        <v>3446</v>
      </c>
      <c r="C26" s="3144">
        <v>440.51</v>
      </c>
      <c r="D26" s="3144">
        <v>440.51</v>
      </c>
      <c r="E26" s="3144">
        <v>438.63</v>
      </c>
      <c r="F26" s="3144">
        <v>438.63</v>
      </c>
      <c r="G26" s="3145">
        <v>105722.4</v>
      </c>
      <c r="H26" s="3145">
        <v>1268668.8</v>
      </c>
      <c r="I26" s="3146">
        <v>44986</v>
      </c>
      <c r="J26" s="3146">
        <v>46081</v>
      </c>
      <c r="K26" s="1404" t="s">
        <v>3591</v>
      </c>
      <c r="L26" s="1404"/>
      <c r="M26">
        <v>8</v>
      </c>
      <c r="N26" s="3163">
        <f t="shared" si="1"/>
        <v>7.9242298326764002</v>
      </c>
      <c r="O26">
        <f t="shared" si="28"/>
        <v>198120.88</v>
      </c>
      <c r="P26" s="3189">
        <f t="shared" si="32"/>
        <v>1268668.8</v>
      </c>
      <c r="Q26" s="3189">
        <f t="shared" ref="Q26:T26" si="36">P26</f>
        <v>1268668.8</v>
      </c>
      <c r="R26" s="3189">
        <f t="shared" si="36"/>
        <v>1268668.8</v>
      </c>
      <c r="S26" s="3189">
        <f t="shared" si="36"/>
        <v>1268668.8</v>
      </c>
      <c r="T26" s="3189">
        <f t="shared" si="36"/>
        <v>1268668.8</v>
      </c>
      <c r="U26">
        <f t="shared" si="30"/>
        <v>257209.56</v>
      </c>
    </row>
    <row r="27" spans="1:21">
      <c r="A27" s="3144" t="s">
        <v>3440</v>
      </c>
      <c r="B27" s="3144" t="s">
        <v>3446</v>
      </c>
      <c r="C27" s="3145">
        <v>1561.89</v>
      </c>
      <c r="D27" s="3145">
        <v>1561.89</v>
      </c>
      <c r="E27" s="3145">
        <v>1561.89</v>
      </c>
      <c r="F27" s="3145">
        <v>1561.89</v>
      </c>
      <c r="G27" s="3145">
        <v>374853.6</v>
      </c>
      <c r="H27" s="3145">
        <v>4498243.2</v>
      </c>
      <c r="I27" s="3146">
        <v>44896</v>
      </c>
      <c r="J27" s="3146">
        <v>45991</v>
      </c>
      <c r="K27" s="1404" t="s">
        <v>3591</v>
      </c>
      <c r="L27" s="1404"/>
      <c r="M27">
        <v>11</v>
      </c>
      <c r="N27" s="3163">
        <f t="shared" si="1"/>
        <v>7.8904109589041092</v>
      </c>
      <c r="O27">
        <f t="shared" si="28"/>
        <v>702465.38</v>
      </c>
      <c r="P27" s="3189">
        <f t="shared" si="32"/>
        <v>4498243.2</v>
      </c>
      <c r="Q27" s="3189">
        <f t="shared" ref="Q27:T27" si="37">P27</f>
        <v>4498243.2</v>
      </c>
      <c r="R27" s="3189">
        <f t="shared" si="37"/>
        <v>4498243.2</v>
      </c>
      <c r="S27" s="3189">
        <f t="shared" si="37"/>
        <v>4498243.2</v>
      </c>
      <c r="T27" s="3189">
        <f t="shared" si="37"/>
        <v>4498243.2</v>
      </c>
      <c r="U27">
        <f t="shared" si="30"/>
        <v>911972.59</v>
      </c>
    </row>
    <row r="28" spans="1:21">
      <c r="A28" s="3143" t="s">
        <v>3441</v>
      </c>
      <c r="B28" s="3144" t="s">
        <v>3438</v>
      </c>
      <c r="C28" s="3145">
        <v>1054.04</v>
      </c>
      <c r="D28" s="3145">
        <v>1054.04</v>
      </c>
      <c r="E28" s="3145">
        <v>1054.04</v>
      </c>
      <c r="F28" s="3145">
        <v>1054.04</v>
      </c>
      <c r="G28" s="3145">
        <v>252969.60000000001</v>
      </c>
      <c r="H28" s="3145">
        <v>3035635.2</v>
      </c>
      <c r="I28" s="3146">
        <v>45047</v>
      </c>
      <c r="J28" s="3146">
        <v>46142</v>
      </c>
      <c r="K28" s="1404" t="s">
        <v>3591</v>
      </c>
      <c r="L28" s="1404"/>
      <c r="M28">
        <v>11</v>
      </c>
      <c r="N28" s="3163">
        <f t="shared" si="1"/>
        <v>7.8904109589041109</v>
      </c>
      <c r="O28">
        <f t="shared" si="28"/>
        <v>474058.1</v>
      </c>
      <c r="P28" s="3189">
        <f t="shared" si="32"/>
        <v>3035635.2</v>
      </c>
      <c r="Q28" s="3189">
        <f t="shared" ref="Q28:T28" si="38">P28</f>
        <v>3035635.2</v>
      </c>
      <c r="R28" s="3189">
        <f t="shared" si="38"/>
        <v>3035635.2</v>
      </c>
      <c r="S28" s="3189">
        <f t="shared" si="38"/>
        <v>3035635.2</v>
      </c>
      <c r="T28" s="3189">
        <f t="shared" si="38"/>
        <v>3035635.2</v>
      </c>
      <c r="U28">
        <f t="shared" si="30"/>
        <v>615443.85</v>
      </c>
    </row>
    <row r="29" spans="1:21">
      <c r="A29" s="3144" t="s">
        <v>3442</v>
      </c>
      <c r="B29" s="3144" t="s">
        <v>3447</v>
      </c>
      <c r="C29" s="3144">
        <v>758.04</v>
      </c>
      <c r="D29" s="3144">
        <v>758.04</v>
      </c>
      <c r="E29" s="3144">
        <v>758.04</v>
      </c>
      <c r="F29" s="3144">
        <v>758.04</v>
      </c>
      <c r="G29" s="3145">
        <v>200880.6</v>
      </c>
      <c r="H29" s="3145">
        <v>2410567.2000000002</v>
      </c>
      <c r="I29" s="3146">
        <v>45413</v>
      </c>
      <c r="J29" s="3146">
        <v>45777</v>
      </c>
      <c r="K29" s="1404" t="s">
        <v>3591</v>
      </c>
      <c r="L29" s="1404"/>
      <c r="M29">
        <v>8</v>
      </c>
      <c r="N29" s="3163">
        <f t="shared" si="1"/>
        <v>8.7123287671232887</v>
      </c>
      <c r="O29">
        <f t="shared" si="28"/>
        <v>376444.74</v>
      </c>
      <c r="P29" s="3189">
        <f t="shared" si="32"/>
        <v>2410567.2000000002</v>
      </c>
      <c r="Q29" s="3189">
        <f t="shared" ref="Q29:T29" si="39">P29</f>
        <v>2410567.2000000002</v>
      </c>
      <c r="R29" s="3189">
        <f t="shared" si="39"/>
        <v>2410567.2000000002</v>
      </c>
      <c r="S29" s="3189">
        <f t="shared" si="39"/>
        <v>2410567.2000000002</v>
      </c>
      <c r="T29" s="3189">
        <f t="shared" si="39"/>
        <v>2410567.2000000002</v>
      </c>
      <c r="U29">
        <f t="shared" si="30"/>
        <v>488717.73</v>
      </c>
    </row>
    <row r="30" spans="1:21">
      <c r="A30" s="3144" t="s">
        <v>3443</v>
      </c>
      <c r="B30" s="3144" t="s">
        <v>3447</v>
      </c>
      <c r="C30" s="3144">
        <v>152.22999999999999</v>
      </c>
      <c r="D30" s="3144">
        <v>152.22999999999999</v>
      </c>
      <c r="E30" s="3144">
        <v>152.22999999999999</v>
      </c>
      <c r="F30" s="3144">
        <v>152.22999999999999</v>
      </c>
      <c r="G30" s="3145">
        <v>40340.949999999997</v>
      </c>
      <c r="H30" s="3145">
        <v>484091.4</v>
      </c>
      <c r="I30" s="3146">
        <v>45413</v>
      </c>
      <c r="J30" s="3146">
        <v>45777</v>
      </c>
      <c r="K30" s="1404" t="s">
        <v>3591</v>
      </c>
      <c r="L30" s="1404"/>
      <c r="M30">
        <v>11</v>
      </c>
      <c r="N30" s="3163">
        <f t="shared" si="1"/>
        <v>8.7123287671232887</v>
      </c>
      <c r="O30">
        <f t="shared" si="28"/>
        <v>75597.84</v>
      </c>
      <c r="P30" s="3189">
        <f t="shared" si="32"/>
        <v>484091.4</v>
      </c>
      <c r="Q30" s="3189">
        <f t="shared" ref="Q30:T30" si="40">P30</f>
        <v>484091.4</v>
      </c>
      <c r="R30" s="3189">
        <f t="shared" si="40"/>
        <v>484091.4</v>
      </c>
      <c r="S30" s="3189">
        <f t="shared" si="40"/>
        <v>484091.4</v>
      </c>
      <c r="T30" s="3189">
        <f t="shared" si="40"/>
        <v>484091.4</v>
      </c>
      <c r="U30">
        <f t="shared" si="30"/>
        <v>98144.56</v>
      </c>
    </row>
    <row r="31" spans="1:21">
      <c r="A31" s="3144" t="s">
        <v>3444</v>
      </c>
      <c r="B31" s="3144" t="s">
        <v>3448</v>
      </c>
      <c r="C31" s="3144">
        <v>288.54000000000002</v>
      </c>
      <c r="D31" s="3144">
        <v>288.54000000000002</v>
      </c>
      <c r="E31" s="3144">
        <v>288.54000000000002</v>
      </c>
      <c r="F31" s="3144">
        <v>288.54000000000002</v>
      </c>
      <c r="G31" s="3145">
        <v>69249.600000000006</v>
      </c>
      <c r="H31" s="3145">
        <v>830995.2</v>
      </c>
      <c r="I31" s="3146">
        <v>45108</v>
      </c>
      <c r="J31" s="3146">
        <v>45657</v>
      </c>
      <c r="K31" s="1404" t="s">
        <v>3591</v>
      </c>
      <c r="L31" s="1404"/>
      <c r="M31">
        <v>8</v>
      </c>
      <c r="N31" s="3163">
        <f t="shared" si="1"/>
        <v>7.8904109589041083</v>
      </c>
      <c r="O31">
        <f t="shared" si="28"/>
        <v>129771.85</v>
      </c>
      <c r="P31" s="3189">
        <f t="shared" si="32"/>
        <v>830995.2</v>
      </c>
      <c r="Q31" s="3189">
        <f t="shared" ref="Q31:T31" si="41">P31</f>
        <v>830995.2</v>
      </c>
      <c r="R31" s="3189">
        <f t="shared" si="41"/>
        <v>830995.2</v>
      </c>
      <c r="S31" s="3189">
        <f t="shared" si="41"/>
        <v>830995.2</v>
      </c>
      <c r="T31" s="3189">
        <f t="shared" si="41"/>
        <v>830995.2</v>
      </c>
      <c r="U31">
        <f t="shared" si="30"/>
        <v>168475.74</v>
      </c>
    </row>
    <row r="32" spans="1:21">
      <c r="A32" s="3144" t="s">
        <v>3445</v>
      </c>
      <c r="B32" s="3144" t="s">
        <v>3448</v>
      </c>
      <c r="C32" s="3144">
        <v>233.35</v>
      </c>
      <c r="D32" s="3144">
        <v>233.35</v>
      </c>
      <c r="E32" s="3144">
        <v>233.35</v>
      </c>
      <c r="F32" s="3144">
        <v>233.35</v>
      </c>
      <c r="G32" s="3145">
        <v>56004</v>
      </c>
      <c r="H32" s="3145">
        <v>672048</v>
      </c>
      <c r="I32" s="3146">
        <v>45292</v>
      </c>
      <c r="J32" s="3146">
        <v>45657</v>
      </c>
      <c r="K32" s="1404" t="s">
        <v>3591</v>
      </c>
      <c r="L32" s="1404"/>
      <c r="M32">
        <v>8</v>
      </c>
      <c r="N32" s="3163">
        <f t="shared" si="1"/>
        <v>7.8904109589041092</v>
      </c>
      <c r="O32">
        <f t="shared" si="28"/>
        <v>104949.96</v>
      </c>
      <c r="P32" s="3189">
        <f t="shared" si="32"/>
        <v>672048</v>
      </c>
      <c r="Q32" s="3189">
        <f t="shared" ref="Q32:T32" si="42">P32</f>
        <v>672048</v>
      </c>
      <c r="R32" s="3189">
        <f t="shared" si="42"/>
        <v>672048</v>
      </c>
      <c r="S32" s="3189">
        <f t="shared" si="42"/>
        <v>672048</v>
      </c>
      <c r="T32" s="3189">
        <f t="shared" si="42"/>
        <v>672048</v>
      </c>
      <c r="U32">
        <f t="shared" si="30"/>
        <v>136250.82999999999</v>
      </c>
    </row>
    <row r="33" spans="1:21">
      <c r="A33" s="3144" t="s">
        <v>3449</v>
      </c>
      <c r="B33" s="3144" t="s">
        <v>3461</v>
      </c>
      <c r="C33" s="3144">
        <v>2804.38</v>
      </c>
      <c r="D33" s="3144">
        <v>2804.38</v>
      </c>
      <c r="E33" s="3144">
        <v>2804.38</v>
      </c>
      <c r="F33" s="3144">
        <v>2804.38</v>
      </c>
      <c r="G33" s="3145">
        <v>673051.2</v>
      </c>
      <c r="H33" s="3145">
        <v>8076614.4000000004</v>
      </c>
      <c r="I33" s="3146">
        <v>44986</v>
      </c>
      <c r="J33" s="3146">
        <v>46477</v>
      </c>
      <c r="K33" s="1404" t="s">
        <v>3591</v>
      </c>
      <c r="L33" s="1404"/>
      <c r="M33">
        <v>9</v>
      </c>
      <c r="N33" s="3163">
        <f t="shared" si="1"/>
        <v>7.8904109589041092</v>
      </c>
      <c r="O33">
        <f t="shared" si="28"/>
        <v>1261279.51</v>
      </c>
      <c r="P33" s="3189">
        <f t="shared" si="32"/>
        <v>8076614.4000000004</v>
      </c>
      <c r="Q33" s="3189">
        <f t="shared" ref="Q33:T33" si="43">P33</f>
        <v>8076614.4000000004</v>
      </c>
      <c r="R33" s="3189">
        <f t="shared" si="43"/>
        <v>8076614.4000000004</v>
      </c>
      <c r="S33" s="3189">
        <f t="shared" si="43"/>
        <v>8076614.4000000004</v>
      </c>
      <c r="T33" s="3189">
        <f t="shared" si="43"/>
        <v>8076614.4000000004</v>
      </c>
      <c r="U33">
        <f t="shared" si="30"/>
        <v>1637450.59</v>
      </c>
    </row>
    <row r="34" spans="1:21">
      <c r="A34" s="3144" t="s">
        <v>3450</v>
      </c>
      <c r="B34" s="3144" t="s">
        <v>3462</v>
      </c>
      <c r="C34" s="3144">
        <v>121.36</v>
      </c>
      <c r="D34" s="3144">
        <v>121.36</v>
      </c>
      <c r="E34" s="3144">
        <v>121.36</v>
      </c>
      <c r="F34" s="3144">
        <v>121.36</v>
      </c>
      <c r="G34" s="3145">
        <v>25485.599999999999</v>
      </c>
      <c r="H34" s="3145">
        <v>305827.20000000001</v>
      </c>
      <c r="I34" s="3146">
        <v>45505</v>
      </c>
      <c r="J34" s="3146">
        <v>47330</v>
      </c>
      <c r="K34" s="1404" t="s">
        <v>3591</v>
      </c>
      <c r="L34" s="1404"/>
      <c r="M34">
        <v>9</v>
      </c>
      <c r="N34" s="3163">
        <f t="shared" si="1"/>
        <v>6.904109589041096</v>
      </c>
      <c r="O34">
        <f t="shared" si="28"/>
        <v>47759.32</v>
      </c>
      <c r="P34" s="3189">
        <f t="shared" si="32"/>
        <v>305827.20000000001</v>
      </c>
      <c r="Q34" s="3189">
        <f t="shared" ref="Q34:T34" si="44">P34</f>
        <v>305827.20000000001</v>
      </c>
      <c r="R34" s="3189">
        <f t="shared" si="44"/>
        <v>305827.20000000001</v>
      </c>
      <c r="S34" s="3189">
        <f t="shared" si="44"/>
        <v>305827.20000000001</v>
      </c>
      <c r="T34" s="3189">
        <f t="shared" si="44"/>
        <v>305827.20000000001</v>
      </c>
      <c r="U34">
        <f t="shared" si="30"/>
        <v>62003.32</v>
      </c>
    </row>
    <row r="35" spans="1:21">
      <c r="A35" s="3144" t="s">
        <v>3451</v>
      </c>
      <c r="B35" s="3144" t="s">
        <v>3463</v>
      </c>
      <c r="C35" s="3144">
        <v>120.51</v>
      </c>
      <c r="D35" s="3144">
        <v>120.51</v>
      </c>
      <c r="E35" s="3144">
        <v>120.51</v>
      </c>
      <c r="F35" s="3144">
        <v>120.51</v>
      </c>
      <c r="G35" s="3145">
        <v>25307.1</v>
      </c>
      <c r="H35" s="3145">
        <v>303685.2</v>
      </c>
      <c r="I35" s="3146">
        <v>45505</v>
      </c>
      <c r="J35" s="3146">
        <v>47330</v>
      </c>
      <c r="K35" s="1404" t="s">
        <v>3591</v>
      </c>
      <c r="L35" s="1404"/>
      <c r="M35">
        <v>9</v>
      </c>
      <c r="N35" s="3163">
        <f t="shared" si="1"/>
        <v>6.904109589041096</v>
      </c>
      <c r="O35">
        <f t="shared" si="28"/>
        <v>47424.81</v>
      </c>
      <c r="P35" s="3189">
        <f t="shared" si="32"/>
        <v>303685.2</v>
      </c>
      <c r="Q35" s="3189">
        <f t="shared" ref="Q35:T35" si="45">P35</f>
        <v>303685.2</v>
      </c>
      <c r="R35" s="3189">
        <f t="shared" si="45"/>
        <v>303685.2</v>
      </c>
      <c r="S35" s="3189">
        <f t="shared" si="45"/>
        <v>303685.2</v>
      </c>
      <c r="T35" s="3189">
        <f t="shared" si="45"/>
        <v>303685.2</v>
      </c>
      <c r="U35">
        <f t="shared" si="30"/>
        <v>61569.05</v>
      </c>
    </row>
    <row r="36" spans="1:21">
      <c r="A36" s="3144" t="s">
        <v>3452</v>
      </c>
      <c r="B36" s="3144" t="s">
        <v>3464</v>
      </c>
      <c r="C36" s="3144">
        <v>290.27999999999997</v>
      </c>
      <c r="D36" s="3144">
        <v>290.27999999999997</v>
      </c>
      <c r="E36" s="3144">
        <v>290.27999999999997</v>
      </c>
      <c r="F36" s="3144">
        <v>290.27999999999997</v>
      </c>
      <c r="G36" s="3145">
        <v>60958.8</v>
      </c>
      <c r="H36" s="3145">
        <v>731505.6</v>
      </c>
      <c r="I36" s="3146">
        <v>45505</v>
      </c>
      <c r="J36" s="3146">
        <v>47330</v>
      </c>
      <c r="K36" s="1404" t="s">
        <v>3591</v>
      </c>
      <c r="L36" s="1404"/>
      <c r="M36">
        <v>9</v>
      </c>
      <c r="N36" s="3163">
        <f t="shared" si="1"/>
        <v>6.904109589041096</v>
      </c>
      <c r="O36">
        <f t="shared" si="28"/>
        <v>114235.12</v>
      </c>
      <c r="P36" s="3189">
        <f t="shared" si="32"/>
        <v>731505.6</v>
      </c>
      <c r="Q36" s="3189">
        <f t="shared" ref="Q36:T36" si="46">P36</f>
        <v>731505.6</v>
      </c>
      <c r="R36" s="3189">
        <f t="shared" si="46"/>
        <v>731505.6</v>
      </c>
      <c r="S36" s="3189">
        <f t="shared" si="46"/>
        <v>731505.6</v>
      </c>
      <c r="T36" s="3189">
        <f t="shared" si="46"/>
        <v>731505.6</v>
      </c>
      <c r="U36">
        <f t="shared" si="30"/>
        <v>148305.24</v>
      </c>
    </row>
    <row r="37" spans="1:21">
      <c r="A37" s="3144" t="s">
        <v>3453</v>
      </c>
      <c r="B37" s="3144" t="s">
        <v>3465</v>
      </c>
      <c r="C37" s="3144">
        <v>1561.89</v>
      </c>
      <c r="D37" s="3144">
        <v>1561.89</v>
      </c>
      <c r="E37" s="3144">
        <v>1561.89</v>
      </c>
      <c r="F37" s="3144">
        <v>1561.89</v>
      </c>
      <c r="G37" s="3145">
        <v>327996.90000000002</v>
      </c>
      <c r="H37" s="3145">
        <v>3935962.8</v>
      </c>
      <c r="I37" s="3146">
        <v>45505</v>
      </c>
      <c r="J37" s="3146">
        <v>47330</v>
      </c>
      <c r="K37" s="1404" t="s">
        <v>3591</v>
      </c>
      <c r="L37" s="1404"/>
      <c r="M37">
        <v>9</v>
      </c>
      <c r="N37" s="3163">
        <f>H37/F37/365</f>
        <v>6.9041095890410951</v>
      </c>
      <c r="O37">
        <f t="shared" si="28"/>
        <v>614657.19999999995</v>
      </c>
      <c r="P37" s="3189">
        <f t="shared" si="32"/>
        <v>3935962.8</v>
      </c>
      <c r="Q37" s="3189">
        <f t="shared" ref="Q37:T37" si="47">P37</f>
        <v>3935962.8</v>
      </c>
      <c r="R37" s="3189">
        <f t="shared" si="47"/>
        <v>3935962.8</v>
      </c>
      <c r="S37" s="3189">
        <f t="shared" si="47"/>
        <v>3935962.8</v>
      </c>
      <c r="T37" s="3189">
        <f t="shared" si="47"/>
        <v>3935962.8</v>
      </c>
      <c r="U37">
        <f t="shared" si="30"/>
        <v>797976.02</v>
      </c>
    </row>
    <row r="38" spans="1:21">
      <c r="A38" s="3144" t="s">
        <v>3454</v>
      </c>
      <c r="B38" s="3144" t="s">
        <v>3466</v>
      </c>
      <c r="C38" s="3144">
        <v>150.1</v>
      </c>
      <c r="D38" s="3144">
        <v>150.1</v>
      </c>
      <c r="E38" s="3144">
        <v>150.1</v>
      </c>
      <c r="F38" s="3144">
        <v>150.1</v>
      </c>
      <c r="G38" s="3145">
        <v>31521</v>
      </c>
      <c r="H38" s="3145">
        <v>378252</v>
      </c>
      <c r="I38" s="3146">
        <v>45505</v>
      </c>
      <c r="J38" s="3146">
        <v>47330</v>
      </c>
      <c r="K38" s="1404" t="s">
        <v>3591</v>
      </c>
      <c r="L38" s="1404"/>
      <c r="M38">
        <v>9</v>
      </c>
      <c r="N38" s="3163">
        <f t="shared" si="1"/>
        <v>6.904109589041096</v>
      </c>
      <c r="O38">
        <f t="shared" si="28"/>
        <v>59069.49</v>
      </c>
      <c r="P38" s="3189">
        <f t="shared" si="32"/>
        <v>378252</v>
      </c>
      <c r="Q38" s="3189">
        <f t="shared" ref="Q38:T38" si="48">P38</f>
        <v>378252</v>
      </c>
      <c r="R38" s="3189">
        <f t="shared" si="48"/>
        <v>378252</v>
      </c>
      <c r="S38" s="3189">
        <f t="shared" si="48"/>
        <v>378252</v>
      </c>
      <c r="T38" s="3189">
        <f t="shared" si="48"/>
        <v>378252</v>
      </c>
      <c r="U38">
        <f t="shared" si="30"/>
        <v>76686.710000000006</v>
      </c>
    </row>
    <row r="39" spans="1:21">
      <c r="A39" s="3144" t="s">
        <v>3455</v>
      </c>
      <c r="B39" s="3144" t="s">
        <v>3467</v>
      </c>
      <c r="C39" s="3144">
        <v>902.16</v>
      </c>
      <c r="D39" s="3144">
        <v>902.16</v>
      </c>
      <c r="E39" s="3144">
        <v>902.16</v>
      </c>
      <c r="F39" s="3144">
        <v>902.16</v>
      </c>
      <c r="G39" s="3145">
        <v>189453.6</v>
      </c>
      <c r="H39" s="3145">
        <v>2273443.2000000002</v>
      </c>
      <c r="I39" s="3146">
        <v>45505</v>
      </c>
      <c r="J39" s="3146">
        <v>47330</v>
      </c>
      <c r="K39" s="1404" t="s">
        <v>3591</v>
      </c>
      <c r="L39" s="1404"/>
      <c r="M39">
        <v>9</v>
      </c>
      <c r="N39" s="3163">
        <f t="shared" si="1"/>
        <v>6.9041095890410968</v>
      </c>
      <c r="O39">
        <f t="shared" si="28"/>
        <v>355030.86</v>
      </c>
      <c r="P39" s="3189">
        <f t="shared" si="32"/>
        <v>2273443.2000000002</v>
      </c>
      <c r="Q39" s="3189">
        <f t="shared" ref="Q39:T39" si="49">P39</f>
        <v>2273443.2000000002</v>
      </c>
      <c r="R39" s="3189">
        <f t="shared" si="49"/>
        <v>2273443.2000000002</v>
      </c>
      <c r="S39" s="3189">
        <f t="shared" si="49"/>
        <v>2273443.2000000002</v>
      </c>
      <c r="T39" s="3189">
        <f t="shared" si="49"/>
        <v>2273443.2000000002</v>
      </c>
      <c r="U39">
        <f t="shared" si="30"/>
        <v>460917.25</v>
      </c>
    </row>
    <row r="40" spans="1:21">
      <c r="A40" s="3144" t="s">
        <v>3456</v>
      </c>
      <c r="B40" s="3144" t="s">
        <v>3468</v>
      </c>
      <c r="C40" s="3144">
        <v>521.89</v>
      </c>
      <c r="D40" s="3144">
        <v>521.89</v>
      </c>
      <c r="E40" s="3144">
        <v>521.89</v>
      </c>
      <c r="F40" s="3144">
        <v>521.89</v>
      </c>
      <c r="G40" s="3145">
        <v>109596.9</v>
      </c>
      <c r="H40" s="3145">
        <v>1315162.8</v>
      </c>
      <c r="I40" s="3146">
        <v>45505</v>
      </c>
      <c r="J40" s="3146">
        <v>47330</v>
      </c>
      <c r="K40" s="1404" t="s">
        <v>3591</v>
      </c>
      <c r="L40" s="1404"/>
      <c r="M40">
        <v>9</v>
      </c>
      <c r="N40" s="3163">
        <f t="shared" si="1"/>
        <v>6.904109589041096</v>
      </c>
      <c r="O40">
        <f t="shared" si="28"/>
        <v>205381.59</v>
      </c>
      <c r="P40" s="3189">
        <f t="shared" si="32"/>
        <v>1315162.8</v>
      </c>
      <c r="Q40" s="3189">
        <f t="shared" ref="Q40:T40" si="50">P40</f>
        <v>1315162.8</v>
      </c>
      <c r="R40" s="3189">
        <f t="shared" si="50"/>
        <v>1315162.8</v>
      </c>
      <c r="S40" s="3189">
        <f t="shared" si="50"/>
        <v>1315162.8</v>
      </c>
      <c r="T40" s="3189">
        <f t="shared" si="50"/>
        <v>1315162.8</v>
      </c>
      <c r="U40">
        <f t="shared" si="30"/>
        <v>266635.75</v>
      </c>
    </row>
    <row r="41" spans="1:21">
      <c r="A41" s="3144" t="s">
        <v>3457</v>
      </c>
      <c r="B41" s="3144" t="s">
        <v>3469</v>
      </c>
      <c r="C41" s="3144">
        <v>241.87</v>
      </c>
      <c r="D41" s="3144">
        <v>241.87</v>
      </c>
      <c r="E41" s="3144">
        <v>241.87</v>
      </c>
      <c r="F41" s="3144">
        <v>241.87</v>
      </c>
      <c r="G41" s="3145">
        <v>54420.75</v>
      </c>
      <c r="H41" s="3145">
        <v>653049</v>
      </c>
      <c r="I41" s="3146">
        <v>45108</v>
      </c>
      <c r="J41" s="3146">
        <v>46203</v>
      </c>
      <c r="K41" s="1404" t="s">
        <v>3591</v>
      </c>
      <c r="L41" s="1404"/>
      <c r="M41">
        <v>10</v>
      </c>
      <c r="N41" s="3163">
        <f t="shared" si="1"/>
        <v>7.397260273972603</v>
      </c>
      <c r="O41">
        <f t="shared" si="28"/>
        <v>101982.99</v>
      </c>
      <c r="P41" s="3189">
        <f t="shared" si="32"/>
        <v>653049</v>
      </c>
      <c r="Q41" s="3189">
        <f t="shared" ref="Q41:T41" si="51">P41</f>
        <v>653049</v>
      </c>
      <c r="R41" s="3189">
        <f t="shared" si="51"/>
        <v>653049</v>
      </c>
      <c r="S41" s="3189">
        <f t="shared" si="51"/>
        <v>653049</v>
      </c>
      <c r="T41" s="3189">
        <f t="shared" si="51"/>
        <v>653049</v>
      </c>
      <c r="U41">
        <f t="shared" si="30"/>
        <v>132398.98000000001</v>
      </c>
    </row>
    <row r="42" spans="1:21">
      <c r="A42" s="3144" t="s">
        <v>3458</v>
      </c>
      <c r="B42" s="3144" t="s">
        <v>3470</v>
      </c>
      <c r="C42" s="3144">
        <v>290.27999999999997</v>
      </c>
      <c r="D42" s="3144">
        <v>290.27999999999997</v>
      </c>
      <c r="E42" s="3144">
        <v>290.27999999999997</v>
      </c>
      <c r="F42" s="3144">
        <v>290.27999999999997</v>
      </c>
      <c r="G42" s="3145">
        <v>65313</v>
      </c>
      <c r="H42" s="3145">
        <v>783756</v>
      </c>
      <c r="I42" s="3146">
        <v>45108</v>
      </c>
      <c r="J42" s="3146">
        <v>46203</v>
      </c>
      <c r="K42" s="1404" t="s">
        <v>3591</v>
      </c>
      <c r="L42" s="1404"/>
      <c r="M42">
        <v>10</v>
      </c>
      <c r="N42" s="3163">
        <f t="shared" si="1"/>
        <v>7.3972602739726039</v>
      </c>
      <c r="O42">
        <f t="shared" si="28"/>
        <v>122394.77</v>
      </c>
      <c r="P42" s="3189">
        <f t="shared" si="32"/>
        <v>783756</v>
      </c>
      <c r="Q42" s="3189">
        <f t="shared" ref="Q42:T42" si="52">P42</f>
        <v>783756</v>
      </c>
      <c r="R42" s="3189">
        <f t="shared" si="52"/>
        <v>783756</v>
      </c>
      <c r="S42" s="3189">
        <f t="shared" si="52"/>
        <v>783756</v>
      </c>
      <c r="T42" s="3189">
        <f t="shared" si="52"/>
        <v>783756</v>
      </c>
      <c r="U42">
        <f t="shared" si="30"/>
        <v>158898.48000000001</v>
      </c>
    </row>
    <row r="43" spans="1:21">
      <c r="A43" s="3144" t="s">
        <v>3459</v>
      </c>
      <c r="B43" s="3144" t="s">
        <v>3471</v>
      </c>
      <c r="C43" s="3144">
        <v>151.99</v>
      </c>
      <c r="D43" s="3144">
        <v>151.99</v>
      </c>
      <c r="E43" s="3144">
        <v>151.99</v>
      </c>
      <c r="F43" s="3144">
        <v>151.99</v>
      </c>
      <c r="G43" s="3145">
        <v>34197.75</v>
      </c>
      <c r="H43" s="3145">
        <v>410373</v>
      </c>
      <c r="I43" s="3146">
        <v>45108</v>
      </c>
      <c r="J43" s="3146">
        <v>46203</v>
      </c>
      <c r="K43" s="1404" t="s">
        <v>3591</v>
      </c>
      <c r="L43" s="1404"/>
      <c r="M43">
        <v>10</v>
      </c>
      <c r="N43" s="3163">
        <f t="shared" si="1"/>
        <v>7.397260273972603</v>
      </c>
      <c r="O43">
        <f t="shared" si="28"/>
        <v>64085.65</v>
      </c>
      <c r="P43" s="3189">
        <f t="shared" si="32"/>
        <v>410373</v>
      </c>
      <c r="Q43" s="3189">
        <f t="shared" ref="Q43:T43" si="53">P43</f>
        <v>410373</v>
      </c>
      <c r="R43" s="3189">
        <f t="shared" si="53"/>
        <v>410373</v>
      </c>
      <c r="S43" s="3189">
        <f t="shared" si="53"/>
        <v>410373</v>
      </c>
      <c r="T43" s="3189">
        <f t="shared" si="53"/>
        <v>410373</v>
      </c>
      <c r="U43">
        <f t="shared" si="30"/>
        <v>83198.91</v>
      </c>
    </row>
    <row r="44" spans="1:21">
      <c r="A44" s="3144" t="s">
        <v>3460</v>
      </c>
      <c r="B44" s="3144" t="s">
        <v>3472</v>
      </c>
      <c r="C44" s="3144">
        <v>152.04</v>
      </c>
      <c r="D44" s="3144">
        <v>152.04</v>
      </c>
      <c r="E44" s="3144">
        <v>152.04</v>
      </c>
      <c r="F44" s="3144">
        <v>152.04</v>
      </c>
      <c r="G44" s="3145">
        <v>34209</v>
      </c>
      <c r="H44" s="3145">
        <v>410508</v>
      </c>
      <c r="I44" s="3146">
        <v>45108</v>
      </c>
      <c r="J44" s="3146">
        <v>46203</v>
      </c>
      <c r="K44" s="1404" t="s">
        <v>3591</v>
      </c>
      <c r="L44" s="1404"/>
      <c r="M44">
        <v>10</v>
      </c>
      <c r="N44" s="3163">
        <f t="shared" si="1"/>
        <v>7.397260273972603</v>
      </c>
      <c r="O44">
        <f t="shared" si="28"/>
        <v>64106.73</v>
      </c>
      <c r="P44" s="3189">
        <f t="shared" si="32"/>
        <v>410508</v>
      </c>
      <c r="Q44" s="3189">
        <f t="shared" ref="Q44:T44" si="54">P44</f>
        <v>410508</v>
      </c>
      <c r="R44" s="3189">
        <f t="shared" si="54"/>
        <v>410508</v>
      </c>
      <c r="S44" s="3189">
        <f t="shared" si="54"/>
        <v>410508</v>
      </c>
      <c r="T44" s="3189">
        <f t="shared" si="54"/>
        <v>410508</v>
      </c>
      <c r="U44">
        <f t="shared" si="30"/>
        <v>83226.28</v>
      </c>
    </row>
    <row r="45" spans="1:21">
      <c r="A45" s="3144" t="s">
        <v>3473</v>
      </c>
      <c r="B45" s="3144" t="s">
        <v>3484</v>
      </c>
      <c r="C45" s="3144">
        <v>302.29000000000002</v>
      </c>
      <c r="D45" s="3144">
        <v>302.29000000000002</v>
      </c>
      <c r="E45" s="3144">
        <v>302.29000000000002</v>
      </c>
      <c r="F45" s="3144">
        <v>302.29000000000002</v>
      </c>
      <c r="G45" s="3145">
        <v>68015.25</v>
      </c>
      <c r="H45" s="3145">
        <v>816183</v>
      </c>
      <c r="I45" s="3146">
        <v>45108</v>
      </c>
      <c r="J45" s="3146">
        <v>46203</v>
      </c>
      <c r="K45" s="1404" t="s">
        <v>3591</v>
      </c>
      <c r="L45" s="1404"/>
      <c r="M45">
        <v>10</v>
      </c>
      <c r="N45" s="3163">
        <f t="shared" si="1"/>
        <v>7.397260273972603</v>
      </c>
      <c r="O45">
        <f t="shared" si="28"/>
        <v>127458.72</v>
      </c>
      <c r="P45" s="3189">
        <f t="shared" si="32"/>
        <v>816183</v>
      </c>
      <c r="Q45" s="3189">
        <f t="shared" ref="Q45:T45" si="55">P45</f>
        <v>816183</v>
      </c>
      <c r="R45" s="3189">
        <f t="shared" si="55"/>
        <v>816183</v>
      </c>
      <c r="S45" s="3189">
        <f t="shared" si="55"/>
        <v>816183</v>
      </c>
      <c r="T45" s="3189">
        <f t="shared" si="55"/>
        <v>816183</v>
      </c>
      <c r="U45">
        <f t="shared" si="30"/>
        <v>165472.72</v>
      </c>
    </row>
    <row r="46" spans="1:21">
      <c r="A46" s="3144" t="s">
        <v>3474</v>
      </c>
      <c r="B46" s="3144" t="s">
        <v>3485</v>
      </c>
      <c r="C46" s="3144">
        <v>152.22999999999999</v>
      </c>
      <c r="D46" s="3144">
        <v>152.22999999999999</v>
      </c>
      <c r="E46" s="3144">
        <v>152.22999999999999</v>
      </c>
      <c r="F46" s="3144">
        <v>152.22999999999999</v>
      </c>
      <c r="G46" s="3145">
        <v>34251.75</v>
      </c>
      <c r="H46" s="3145">
        <v>411021</v>
      </c>
      <c r="I46" s="3146">
        <v>45108</v>
      </c>
      <c r="J46" s="3146">
        <v>46203</v>
      </c>
      <c r="K46" s="1404" t="s">
        <v>3591</v>
      </c>
      <c r="L46" s="1404"/>
      <c r="M46">
        <v>10</v>
      </c>
      <c r="N46" s="3163">
        <f t="shared" si="1"/>
        <v>7.397260273972603</v>
      </c>
      <c r="O46">
        <f t="shared" si="28"/>
        <v>64186.84</v>
      </c>
      <c r="P46" s="3189">
        <f t="shared" si="32"/>
        <v>411021</v>
      </c>
      <c r="Q46" s="3189">
        <f t="shared" ref="Q46:T46" si="56">P46</f>
        <v>411021</v>
      </c>
      <c r="R46" s="3189">
        <f t="shared" si="56"/>
        <v>411021</v>
      </c>
      <c r="S46" s="3189">
        <f t="shared" si="56"/>
        <v>411021</v>
      </c>
      <c r="T46" s="3189">
        <f t="shared" si="56"/>
        <v>411021</v>
      </c>
      <c r="U46">
        <f t="shared" si="30"/>
        <v>83330.28</v>
      </c>
    </row>
    <row r="47" spans="1:21">
      <c r="A47" s="3144" t="s">
        <v>3475</v>
      </c>
      <c r="B47" s="3144" t="s">
        <v>3486</v>
      </c>
      <c r="C47" s="3144">
        <v>136.78</v>
      </c>
      <c r="D47" s="3144">
        <v>136.78</v>
      </c>
      <c r="E47" s="3144">
        <v>136.78</v>
      </c>
      <c r="F47" s="3144">
        <v>136.78</v>
      </c>
      <c r="G47" s="3145">
        <v>30775.5</v>
      </c>
      <c r="H47" s="3145">
        <v>369306</v>
      </c>
      <c r="I47" s="3146">
        <v>45108</v>
      </c>
      <c r="J47" s="3146">
        <v>46203</v>
      </c>
      <c r="K47" s="1404" t="s">
        <v>3591</v>
      </c>
      <c r="L47" s="1404"/>
      <c r="M47">
        <v>10</v>
      </c>
      <c r="N47" s="3163">
        <f t="shared" si="1"/>
        <v>7.397260273972603</v>
      </c>
      <c r="O47">
        <f t="shared" si="28"/>
        <v>57672.44</v>
      </c>
      <c r="P47" s="3189">
        <f t="shared" si="32"/>
        <v>369306</v>
      </c>
      <c r="Q47" s="3189">
        <f t="shared" ref="Q47:T47" si="57">P47</f>
        <v>369306</v>
      </c>
      <c r="R47" s="3189">
        <f t="shared" si="57"/>
        <v>369306</v>
      </c>
      <c r="S47" s="3189">
        <f t="shared" si="57"/>
        <v>369306</v>
      </c>
      <c r="T47" s="3189">
        <f t="shared" si="57"/>
        <v>369306</v>
      </c>
      <c r="U47">
        <f t="shared" si="30"/>
        <v>74873</v>
      </c>
    </row>
    <row r="48" spans="1:21">
      <c r="A48" s="3144" t="s">
        <v>3476</v>
      </c>
      <c r="B48" s="3144" t="s">
        <v>3487</v>
      </c>
      <c r="C48" s="3144">
        <v>152.26</v>
      </c>
      <c r="D48" s="3144">
        <v>152.26</v>
      </c>
      <c r="E48" s="3144">
        <v>152.26</v>
      </c>
      <c r="F48" s="3144">
        <v>152.26</v>
      </c>
      <c r="G48" s="3145">
        <v>34258.5</v>
      </c>
      <c r="H48" s="3145">
        <v>411102</v>
      </c>
      <c r="I48" s="3146">
        <v>45108</v>
      </c>
      <c r="J48" s="3146">
        <v>46203</v>
      </c>
      <c r="K48" s="1404" t="s">
        <v>3591</v>
      </c>
      <c r="L48" s="1404"/>
      <c r="M48">
        <v>10</v>
      </c>
      <c r="N48" s="3163">
        <f t="shared" si="1"/>
        <v>7.397260273972603</v>
      </c>
      <c r="O48">
        <f t="shared" si="28"/>
        <v>64199.49</v>
      </c>
      <c r="P48" s="3189">
        <f t="shared" si="32"/>
        <v>411102</v>
      </c>
      <c r="Q48" s="3189">
        <f t="shared" ref="Q48:T48" si="58">P48</f>
        <v>411102</v>
      </c>
      <c r="R48" s="3189">
        <f t="shared" si="58"/>
        <v>411102</v>
      </c>
      <c r="S48" s="3189">
        <f t="shared" si="58"/>
        <v>411102</v>
      </c>
      <c r="T48" s="3189">
        <f t="shared" si="58"/>
        <v>411102</v>
      </c>
      <c r="U48">
        <f t="shared" si="30"/>
        <v>83346.710000000006</v>
      </c>
    </row>
    <row r="49" spans="1:21">
      <c r="A49" s="3144" t="s">
        <v>3477</v>
      </c>
      <c r="B49" s="3144" t="s">
        <v>3488</v>
      </c>
      <c r="C49" s="3144">
        <v>121.42</v>
      </c>
      <c r="D49" s="3144">
        <v>121.42</v>
      </c>
      <c r="E49" s="3144">
        <v>121.42</v>
      </c>
      <c r="F49" s="3144">
        <v>121.42</v>
      </c>
      <c r="G49" s="3145">
        <v>27319.5</v>
      </c>
      <c r="H49" s="3145">
        <v>327834</v>
      </c>
      <c r="I49" s="3146">
        <v>45108</v>
      </c>
      <c r="J49" s="3146">
        <v>46203</v>
      </c>
      <c r="K49" s="1404" t="s">
        <v>3591</v>
      </c>
      <c r="L49" s="1404"/>
      <c r="M49">
        <v>10</v>
      </c>
      <c r="N49" s="3163">
        <f t="shared" si="1"/>
        <v>7.397260273972603</v>
      </c>
      <c r="O49">
        <f t="shared" si="28"/>
        <v>51195.99</v>
      </c>
      <c r="P49" s="3189">
        <f t="shared" si="32"/>
        <v>327834</v>
      </c>
      <c r="Q49" s="3189">
        <f t="shared" ref="Q49:T49" si="59">P49</f>
        <v>327834</v>
      </c>
      <c r="R49" s="3189">
        <f t="shared" si="59"/>
        <v>327834</v>
      </c>
      <c r="S49" s="3189">
        <f t="shared" si="59"/>
        <v>327834</v>
      </c>
      <c r="T49" s="3189">
        <f t="shared" si="59"/>
        <v>327834</v>
      </c>
      <c r="U49">
        <f t="shared" si="30"/>
        <v>66464.98</v>
      </c>
    </row>
    <row r="50" spans="1:21">
      <c r="A50" s="3144" t="s">
        <v>3478</v>
      </c>
      <c r="B50" s="3144" t="s">
        <v>3489</v>
      </c>
      <c r="C50" s="3144">
        <v>151.76</v>
      </c>
      <c r="D50" s="3144">
        <v>151.76</v>
      </c>
      <c r="E50" s="3144">
        <v>151.76</v>
      </c>
      <c r="F50" s="3144">
        <v>151.76</v>
      </c>
      <c r="G50" s="3145">
        <v>34146</v>
      </c>
      <c r="H50" s="3145">
        <v>409752</v>
      </c>
      <c r="I50" s="3146">
        <v>45108</v>
      </c>
      <c r="J50" s="3146">
        <v>46203</v>
      </c>
      <c r="K50" s="1404" t="s">
        <v>3591</v>
      </c>
      <c r="L50" s="1404"/>
      <c r="M50">
        <v>10</v>
      </c>
      <c r="N50" s="3163">
        <f t="shared" si="1"/>
        <v>7.397260273972603</v>
      </c>
      <c r="O50">
        <f t="shared" si="28"/>
        <v>63988.67</v>
      </c>
      <c r="P50" s="3189">
        <f t="shared" si="32"/>
        <v>409752</v>
      </c>
      <c r="Q50" s="3189">
        <f t="shared" ref="Q50:T50" si="60">P50</f>
        <v>409752</v>
      </c>
      <c r="R50" s="3189">
        <f t="shared" si="60"/>
        <v>409752</v>
      </c>
      <c r="S50" s="3189">
        <f t="shared" si="60"/>
        <v>409752</v>
      </c>
      <c r="T50" s="3189">
        <f t="shared" si="60"/>
        <v>409752</v>
      </c>
      <c r="U50">
        <f t="shared" si="30"/>
        <v>83073.009999999995</v>
      </c>
    </row>
    <row r="51" spans="1:21">
      <c r="A51" s="3143" t="s">
        <v>3479</v>
      </c>
      <c r="B51" s="3144" t="s">
        <v>3490</v>
      </c>
      <c r="C51" s="3144">
        <v>4619.6499999999996</v>
      </c>
      <c r="D51" s="3144">
        <v>4619.6499999999996</v>
      </c>
      <c r="E51" s="3144">
        <v>4619.6499999999996</v>
      </c>
      <c r="F51" s="3144">
        <v>4619.6499999999996</v>
      </c>
      <c r="G51" s="3145">
        <v>1039421.25</v>
      </c>
      <c r="H51" s="3145">
        <v>12473055</v>
      </c>
      <c r="I51" s="3146">
        <v>45108</v>
      </c>
      <c r="J51" s="3146">
        <v>46203</v>
      </c>
      <c r="K51" s="1404" t="s">
        <v>3591</v>
      </c>
      <c r="L51" s="1404"/>
      <c r="M51">
        <v>10</v>
      </c>
      <c r="N51" s="3163">
        <f t="shared" si="1"/>
        <v>7.397260273972603</v>
      </c>
      <c r="O51">
        <f t="shared" si="28"/>
        <v>1947846.95</v>
      </c>
      <c r="P51" s="3189">
        <f t="shared" si="32"/>
        <v>12473055</v>
      </c>
      <c r="Q51" s="3189">
        <f t="shared" ref="Q51:T51" si="61">P51</f>
        <v>12473055</v>
      </c>
      <c r="R51" s="3189">
        <f t="shared" si="61"/>
        <v>12473055</v>
      </c>
      <c r="S51" s="3189">
        <f t="shared" si="61"/>
        <v>12473055</v>
      </c>
      <c r="T51" s="3189">
        <f t="shared" si="61"/>
        <v>12473055</v>
      </c>
      <c r="U51">
        <f t="shared" si="30"/>
        <v>2528783.75</v>
      </c>
    </row>
    <row r="52" spans="1:21">
      <c r="A52" s="3144" t="s">
        <v>3480</v>
      </c>
      <c r="B52" s="3144" t="s">
        <v>3491</v>
      </c>
      <c r="C52" s="3144">
        <v>150.1</v>
      </c>
      <c r="D52" s="3144">
        <v>150.1</v>
      </c>
      <c r="E52" s="3144">
        <v>150.1</v>
      </c>
      <c r="F52" s="3144">
        <v>150.1</v>
      </c>
      <c r="G52" s="3145">
        <v>33022</v>
      </c>
      <c r="H52" s="3145">
        <v>396264</v>
      </c>
      <c r="I52" s="3146">
        <v>45292</v>
      </c>
      <c r="J52" s="3146">
        <v>45657</v>
      </c>
      <c r="K52" s="1404" t="s">
        <v>3591</v>
      </c>
      <c r="L52" s="1404"/>
      <c r="M52">
        <v>11</v>
      </c>
      <c r="N52" s="3163">
        <f t="shared" si="1"/>
        <v>7.2328767123287667</v>
      </c>
      <c r="O52">
        <f t="shared" si="28"/>
        <v>61882.32</v>
      </c>
      <c r="P52" s="3189">
        <f t="shared" si="32"/>
        <v>396264</v>
      </c>
      <c r="Q52" s="3189">
        <f t="shared" ref="Q52:T52" si="62">P52</f>
        <v>396264</v>
      </c>
      <c r="R52" s="3189">
        <f t="shared" si="62"/>
        <v>396264</v>
      </c>
      <c r="S52" s="3189">
        <f t="shared" si="62"/>
        <v>396264</v>
      </c>
      <c r="T52" s="3189">
        <f t="shared" si="62"/>
        <v>396264</v>
      </c>
      <c r="U52">
        <f t="shared" si="30"/>
        <v>80338.45</v>
      </c>
    </row>
    <row r="53" spans="1:21">
      <c r="A53" s="3144" t="s">
        <v>3481</v>
      </c>
      <c r="B53" s="3144" t="s">
        <v>3400</v>
      </c>
      <c r="C53" s="3144"/>
      <c r="D53" s="3144"/>
      <c r="E53" s="3144">
        <v>608.97</v>
      </c>
      <c r="F53" s="3144">
        <v>608.97</v>
      </c>
      <c r="G53" s="3144"/>
      <c r="H53" s="3144"/>
      <c r="I53" s="3144"/>
      <c r="J53" s="3144"/>
      <c r="K53" s="1404" t="s">
        <v>3591</v>
      </c>
      <c r="L53" s="1404"/>
      <c r="M53">
        <v>11</v>
      </c>
      <c r="N53" s="3163"/>
      <c r="O53">
        <f>ROUND(E53*$D$129*(1-$D$128)*($O$2-$D$124),2)</f>
        <v>265541.37</v>
      </c>
      <c r="P53">
        <f>ROUND(E53*$D$129*(1-$D$128)*(1+$D$127)*365,2)</f>
        <v>1734404.41</v>
      </c>
      <c r="Q53">
        <f>ROUND(E53*$D$129*(1-$D$128)*(1+$D$127)^2*365,2)</f>
        <v>1769092.5</v>
      </c>
      <c r="R53">
        <f>ROUND(E53*$D$129*(1-$D$128)*(1+$D$127)^3*365,2)</f>
        <v>1804474.35</v>
      </c>
      <c r="S53">
        <f>ROUND(E53*$D$129*(1-$D$128)*(1+$D$127)^4*365,2)</f>
        <v>1840563.84</v>
      </c>
      <c r="T53">
        <f>ROUND(E53*$D$129*(1-$D$128)*(1+$D$127)^4*365,2)</f>
        <v>1840563.84</v>
      </c>
      <c r="U53">
        <f>ROUND(E53*$D$129*(1-$D$128)*(1+$D$127)^5*($U$2-$T$2),2)</f>
        <v>380618.52</v>
      </c>
    </row>
    <row r="54" spans="1:21">
      <c r="A54" s="3143" t="s">
        <v>3482</v>
      </c>
      <c r="B54" s="3144" t="s">
        <v>3492</v>
      </c>
      <c r="C54" s="3144">
        <v>731.82</v>
      </c>
      <c r="D54" s="3144">
        <v>731.82</v>
      </c>
      <c r="E54" s="3144">
        <v>731.82</v>
      </c>
      <c r="F54" s="3144">
        <v>731.82</v>
      </c>
      <c r="G54" s="3145">
        <v>188809.56</v>
      </c>
      <c r="H54" s="3145">
        <v>2265714.7200000002</v>
      </c>
      <c r="I54" s="3146">
        <v>44583</v>
      </c>
      <c r="J54" s="3146">
        <v>45678</v>
      </c>
      <c r="K54" s="1404" t="s">
        <v>3591</v>
      </c>
      <c r="L54" s="1404"/>
      <c r="M54">
        <v>11</v>
      </c>
      <c r="N54" s="3163">
        <f t="shared" si="1"/>
        <v>8.4821917808219176</v>
      </c>
      <c r="O54">
        <f>ROUND(H54/365*($O$2-$D$124),2)</f>
        <v>353823.94</v>
      </c>
      <c r="P54" s="3189">
        <f t="shared" ref="P54:P56" si="63">H54</f>
        <v>2265714.7200000002</v>
      </c>
      <c r="Q54" s="3189">
        <f t="shared" ref="Q54:T54" si="64">P54</f>
        <v>2265714.7200000002</v>
      </c>
      <c r="R54" s="3189">
        <f t="shared" si="64"/>
        <v>2265714.7200000002</v>
      </c>
      <c r="S54" s="3189">
        <f t="shared" si="64"/>
        <v>2265714.7200000002</v>
      </c>
      <c r="T54" s="3189">
        <f t="shared" si="64"/>
        <v>2265714.7200000002</v>
      </c>
      <c r="U54">
        <f t="shared" si="30"/>
        <v>459350.38</v>
      </c>
    </row>
    <row r="55" spans="1:21">
      <c r="A55" s="3144" t="s">
        <v>3483</v>
      </c>
      <c r="B55" s="3144" t="s">
        <v>3493</v>
      </c>
      <c r="C55" s="3144">
        <v>152.19</v>
      </c>
      <c r="D55" s="3144">
        <v>152.19</v>
      </c>
      <c r="E55" s="3144">
        <v>152.19</v>
      </c>
      <c r="F55" s="3144">
        <v>152.19</v>
      </c>
      <c r="G55" s="3145">
        <v>36860.42</v>
      </c>
      <c r="H55" s="3145">
        <v>442325.02</v>
      </c>
      <c r="I55" s="3146">
        <v>45353</v>
      </c>
      <c r="J55" s="3146">
        <v>46447</v>
      </c>
      <c r="K55" s="1404" t="s">
        <v>3591</v>
      </c>
      <c r="L55" s="1404"/>
      <c r="M55">
        <v>11</v>
      </c>
      <c r="N55" s="3163">
        <f t="shared" si="1"/>
        <v>7.9627397980354404</v>
      </c>
      <c r="O55">
        <f>ROUND(H55/365*($O$2-$D$124),2)</f>
        <v>69075.41</v>
      </c>
      <c r="P55" s="3189">
        <f t="shared" si="63"/>
        <v>442325.02</v>
      </c>
      <c r="Q55" s="3189">
        <f t="shared" ref="Q55:T55" si="65">P55</f>
        <v>442325.02</v>
      </c>
      <c r="R55" s="3189">
        <f t="shared" si="65"/>
        <v>442325.02</v>
      </c>
      <c r="S55" s="3189">
        <f t="shared" si="65"/>
        <v>442325.02</v>
      </c>
      <c r="T55" s="3189">
        <f t="shared" si="65"/>
        <v>442325.02</v>
      </c>
      <c r="U55">
        <f t="shared" si="30"/>
        <v>89676.85</v>
      </c>
    </row>
    <row r="56" spans="1:21">
      <c r="A56" s="3144" t="s">
        <v>3494</v>
      </c>
      <c r="B56" s="3144" t="s">
        <v>3513</v>
      </c>
      <c r="C56" s="3144">
        <v>597.91</v>
      </c>
      <c r="D56" s="3144">
        <v>597.91</v>
      </c>
      <c r="E56" s="3144">
        <v>597.91</v>
      </c>
      <c r="F56" s="3144">
        <v>597.91</v>
      </c>
      <c r="G56" s="3145">
        <v>144813.79999999999</v>
      </c>
      <c r="H56" s="3145">
        <v>1737765.62</v>
      </c>
      <c r="I56" s="3146">
        <v>45353</v>
      </c>
      <c r="J56" s="3146">
        <v>46447</v>
      </c>
      <c r="K56" s="1404" t="s">
        <v>3591</v>
      </c>
      <c r="L56" s="1404"/>
      <c r="M56">
        <v>11</v>
      </c>
      <c r="N56" s="3163">
        <f t="shared" si="1"/>
        <v>7.962739707698713</v>
      </c>
      <c r="O56">
        <f>ROUND(H56/365*($O$2-$D$124),2)</f>
        <v>271377.09999999998</v>
      </c>
      <c r="P56" s="3189">
        <f t="shared" si="63"/>
        <v>1737765.62</v>
      </c>
      <c r="Q56" s="3189">
        <f t="shared" ref="Q56:T56" si="66">P56</f>
        <v>1737765.62</v>
      </c>
      <c r="R56" s="3189">
        <f t="shared" si="66"/>
        <v>1737765.62</v>
      </c>
      <c r="S56" s="3189">
        <f t="shared" si="66"/>
        <v>1737765.62</v>
      </c>
      <c r="T56" s="3189">
        <f t="shared" si="66"/>
        <v>1737765.62</v>
      </c>
      <c r="U56">
        <f t="shared" si="30"/>
        <v>352314.13</v>
      </c>
    </row>
    <row r="57" spans="1:21">
      <c r="A57" s="3144" t="s">
        <v>3495</v>
      </c>
      <c r="B57" s="3144" t="s">
        <v>3400</v>
      </c>
      <c r="C57" s="3144"/>
      <c r="D57" s="3144"/>
      <c r="E57" s="3144">
        <v>705.38</v>
      </c>
      <c r="F57" s="3144">
        <v>705.38</v>
      </c>
      <c r="G57" s="3144"/>
      <c r="H57" s="3144"/>
      <c r="I57" s="3144"/>
      <c r="J57" s="3144"/>
      <c r="K57" s="1404" t="s">
        <v>3591</v>
      </c>
      <c r="L57" s="1404"/>
      <c r="M57">
        <v>11</v>
      </c>
      <c r="N57" s="3163"/>
      <c r="O57">
        <f t="shared" ref="O57:O59" si="67">ROUND(E57*$D$129*(1-$D$128)*($O$2-$D$124),2)</f>
        <v>307580.95</v>
      </c>
      <c r="P57">
        <f t="shared" ref="P57:P59" si="68">ROUND(E57*$D$129*(1-$D$128)*(1+$D$127)*365,2)</f>
        <v>2008989.25</v>
      </c>
      <c r="Q57">
        <f t="shared" ref="Q57:Q59" si="69">ROUND(E57*$D$129*(1-$D$128)*(1+$D$127)^2*365,2)</f>
        <v>2049169.04</v>
      </c>
      <c r="R57">
        <f t="shared" ref="R57:R59" si="70">ROUND(E57*$D$129*(1-$D$128)*(1+$D$127)^3*365,2)</f>
        <v>2090152.42</v>
      </c>
      <c r="S57">
        <f t="shared" ref="S57:S59" si="71">ROUND(E57*$D$129*(1-$D$128)*(1+$D$127)^4*365,2)</f>
        <v>2131955.4700000002</v>
      </c>
      <c r="T57">
        <f t="shared" ref="T57:T59" si="72">ROUND(E57*$D$129*(1-$D$128)*(1+$D$127)^4*365,2)</f>
        <v>2131955.4700000002</v>
      </c>
      <c r="U57">
        <f t="shared" ref="U57:U59" si="73">ROUND(E57*$D$129*(1-$D$128)*(1+$D$127)^5*($U$2-$T$2),2)</f>
        <v>440876.71</v>
      </c>
    </row>
    <row r="58" spans="1:21">
      <c r="A58" s="3144" t="s">
        <v>3496</v>
      </c>
      <c r="B58" s="3144" t="s">
        <v>3400</v>
      </c>
      <c r="C58" s="3144"/>
      <c r="D58" s="3144"/>
      <c r="E58" s="3144">
        <v>151.5</v>
      </c>
      <c r="F58" s="3144">
        <v>151.5</v>
      </c>
      <c r="G58" s="3144"/>
      <c r="H58" s="3144"/>
      <c r="I58" s="3144"/>
      <c r="J58" s="3144"/>
      <c r="K58" s="1404" t="s">
        <v>3591</v>
      </c>
      <c r="L58" s="1404"/>
      <c r="M58">
        <v>11</v>
      </c>
      <c r="N58" s="3163"/>
      <c r="O58">
        <f t="shared" si="67"/>
        <v>66061.58</v>
      </c>
      <c r="P58">
        <f t="shared" si="68"/>
        <v>431486.39</v>
      </c>
      <c r="Q58">
        <f t="shared" si="69"/>
        <v>440116.12</v>
      </c>
      <c r="R58">
        <f t="shared" si="70"/>
        <v>448918.44</v>
      </c>
      <c r="S58">
        <f t="shared" si="71"/>
        <v>457896.81</v>
      </c>
      <c r="T58">
        <f t="shared" si="72"/>
        <v>457896.81</v>
      </c>
      <c r="U58">
        <f t="shared" si="73"/>
        <v>94690.55</v>
      </c>
    </row>
    <row r="59" spans="1:21">
      <c r="A59" s="3144" t="s">
        <v>3497</v>
      </c>
      <c r="B59" s="3144" t="s">
        <v>3400</v>
      </c>
      <c r="C59" s="3144"/>
      <c r="D59" s="3144"/>
      <c r="E59" s="3144">
        <v>606.54</v>
      </c>
      <c r="F59" s="3144">
        <v>606.54</v>
      </c>
      <c r="G59" s="3144"/>
      <c r="H59" s="3144"/>
      <c r="I59" s="3144"/>
      <c r="J59" s="3144"/>
      <c r="K59" s="1404" t="s">
        <v>3591</v>
      </c>
      <c r="L59" s="1404"/>
      <c r="M59">
        <v>11</v>
      </c>
      <c r="N59" s="3163"/>
      <c r="O59">
        <f t="shared" si="67"/>
        <v>264481.77</v>
      </c>
      <c r="P59">
        <f t="shared" si="68"/>
        <v>1727483.54</v>
      </c>
      <c r="Q59">
        <f t="shared" si="69"/>
        <v>1762033.21</v>
      </c>
      <c r="R59">
        <f t="shared" si="70"/>
        <v>1797273.88</v>
      </c>
      <c r="S59">
        <f t="shared" si="71"/>
        <v>1833219.35</v>
      </c>
      <c r="T59">
        <f t="shared" si="72"/>
        <v>1833219.35</v>
      </c>
      <c r="U59">
        <f t="shared" si="73"/>
        <v>379099.72</v>
      </c>
    </row>
    <row r="60" spans="1:21">
      <c r="A60" s="3144" t="s">
        <v>3498</v>
      </c>
      <c r="B60" s="3144" t="s">
        <v>3514</v>
      </c>
      <c r="C60" s="3144">
        <v>241.87</v>
      </c>
      <c r="D60" s="3144">
        <v>241.87</v>
      </c>
      <c r="E60" s="3144">
        <v>241.87</v>
      </c>
      <c r="F60" s="3144">
        <v>241.87</v>
      </c>
      <c r="G60" s="3145">
        <v>50792.7</v>
      </c>
      <c r="H60" s="3145">
        <v>609512.4</v>
      </c>
      <c r="I60" s="3146">
        <v>45566</v>
      </c>
      <c r="J60" s="3146">
        <v>46295</v>
      </c>
      <c r="K60" s="1404" t="s">
        <v>3591</v>
      </c>
      <c r="L60" s="1404"/>
      <c r="M60">
        <v>12</v>
      </c>
      <c r="N60" s="3163">
        <f t="shared" si="1"/>
        <v>6.904109589041096</v>
      </c>
      <c r="O60">
        <f>ROUND(H60/365*($O$2-$D$124),2)</f>
        <v>95184.13</v>
      </c>
      <c r="P60" s="3189">
        <f t="shared" ref="P60:P61" si="74">H60</f>
        <v>609512.4</v>
      </c>
      <c r="Q60" s="3189">
        <f t="shared" ref="Q60:T60" si="75">P60</f>
        <v>609512.4</v>
      </c>
      <c r="R60" s="3189">
        <f t="shared" si="75"/>
        <v>609512.4</v>
      </c>
      <c r="S60" s="3189">
        <f t="shared" si="75"/>
        <v>609512.4</v>
      </c>
      <c r="T60" s="3189">
        <f t="shared" si="75"/>
        <v>609512.4</v>
      </c>
      <c r="U60">
        <f t="shared" si="30"/>
        <v>123572.38</v>
      </c>
    </row>
    <row r="61" spans="1:21">
      <c r="A61" s="3144" t="s">
        <v>3499</v>
      </c>
      <c r="B61" s="3144" t="s">
        <v>3515</v>
      </c>
      <c r="C61" s="3144">
        <v>138.32</v>
      </c>
      <c r="D61" s="3144">
        <v>138.32</v>
      </c>
      <c r="E61" s="3144">
        <v>138.32</v>
      </c>
      <c r="F61" s="3144">
        <v>138.32</v>
      </c>
      <c r="G61" s="3145">
        <v>29047.200000000001</v>
      </c>
      <c r="H61" s="3145">
        <v>348566.4</v>
      </c>
      <c r="I61" s="3146">
        <v>45566</v>
      </c>
      <c r="J61" s="3146">
        <v>46295</v>
      </c>
      <c r="K61" s="1404" t="s">
        <v>3591</v>
      </c>
      <c r="L61" s="1404"/>
      <c r="M61">
        <v>12</v>
      </c>
      <c r="N61" s="3163">
        <f t="shared" si="1"/>
        <v>6.9041095890410968</v>
      </c>
      <c r="O61">
        <f>ROUND(H61/365*($O$2-$D$124),2)</f>
        <v>54433.66</v>
      </c>
      <c r="P61" s="3189">
        <f t="shared" si="74"/>
        <v>348566.4</v>
      </c>
      <c r="Q61" s="3189">
        <f t="shared" ref="Q61:T61" si="76">P61</f>
        <v>348566.4</v>
      </c>
      <c r="R61" s="3189">
        <f t="shared" si="76"/>
        <v>348566.4</v>
      </c>
      <c r="S61" s="3189">
        <f t="shared" si="76"/>
        <v>348566.4</v>
      </c>
      <c r="T61" s="3189">
        <f t="shared" si="76"/>
        <v>348566.4</v>
      </c>
      <c r="U61">
        <f t="shared" si="30"/>
        <v>70668.259999999995</v>
      </c>
    </row>
    <row r="62" spans="1:21">
      <c r="A62" s="3144" t="s">
        <v>3500</v>
      </c>
      <c r="B62" s="3144" t="s">
        <v>3400</v>
      </c>
      <c r="C62" s="3144"/>
      <c r="D62" s="3144"/>
      <c r="E62" s="3144">
        <v>151.96</v>
      </c>
      <c r="F62" s="3144">
        <v>151.96</v>
      </c>
      <c r="G62" s="3144"/>
      <c r="H62" s="3144"/>
      <c r="I62" s="3144"/>
      <c r="J62" s="3144"/>
      <c r="K62" s="1404" t="s">
        <v>3591</v>
      </c>
      <c r="L62" s="1404"/>
      <c r="M62">
        <v>12</v>
      </c>
      <c r="N62" s="3163"/>
      <c r="O62">
        <f>ROUND(E62*$D$129*(1-$D$128)*($O$2-$D$124),2)</f>
        <v>66262.16</v>
      </c>
      <c r="P62">
        <f>ROUND(E62*$D$129*(1-$D$128)*(1+$D$127)*365,2)</f>
        <v>432796.52</v>
      </c>
      <c r="Q62">
        <f>ROUND(E62*$D$129*(1-$D$128)*(1+$D$127)^2*365,2)</f>
        <v>441452.45</v>
      </c>
      <c r="R62">
        <f>ROUND(E62*$D$129*(1-$D$128)*(1+$D$127)^3*365,2)</f>
        <v>450281.5</v>
      </c>
      <c r="S62">
        <f>ROUND(E62*$D$129*(1-$D$128)*(1+$D$127)^4*365,2)</f>
        <v>459287.13</v>
      </c>
      <c r="T62">
        <f>ROUND(E62*$D$129*(1-$D$128)*(1+$D$127)^4*365,2)</f>
        <v>459287.13</v>
      </c>
      <c r="U62">
        <f>ROUND(E62*$D$129*(1-$D$128)*(1+$D$127)^5*($U$2-$T$2),2)</f>
        <v>94978.06</v>
      </c>
    </row>
    <row r="63" spans="1:21">
      <c r="A63" s="3144" t="s">
        <v>3501</v>
      </c>
      <c r="B63" s="3144" t="s">
        <v>3516</v>
      </c>
      <c r="C63" s="3144">
        <v>293.19</v>
      </c>
      <c r="D63" s="3144">
        <v>293.19</v>
      </c>
      <c r="E63" s="3144">
        <v>293.19</v>
      </c>
      <c r="F63" s="3144">
        <v>293.19</v>
      </c>
      <c r="G63" s="3145">
        <v>79161.3</v>
      </c>
      <c r="H63" s="3145">
        <v>949935.6</v>
      </c>
      <c r="I63" s="3146">
        <v>44494</v>
      </c>
      <c r="J63" s="3146">
        <v>45589</v>
      </c>
      <c r="K63" s="1404" t="s">
        <v>3591</v>
      </c>
      <c r="L63" s="1404"/>
      <c r="M63">
        <v>12</v>
      </c>
      <c r="N63" s="3163">
        <f t="shared" si="1"/>
        <v>8.8767123287671232</v>
      </c>
      <c r="O63">
        <f>ROUND(H63/365*($O$2-$D$124),2)</f>
        <v>148346.10999999999</v>
      </c>
      <c r="P63" s="3189">
        <f t="shared" ref="P63:P65" si="77">H63</f>
        <v>949935.6</v>
      </c>
      <c r="Q63" s="3189">
        <f t="shared" ref="Q63:T63" si="78">P63</f>
        <v>949935.6</v>
      </c>
      <c r="R63" s="3189">
        <f t="shared" si="78"/>
        <v>949935.6</v>
      </c>
      <c r="S63" s="3189">
        <f t="shared" si="78"/>
        <v>949935.6</v>
      </c>
      <c r="T63" s="3189">
        <f t="shared" si="78"/>
        <v>949935.6</v>
      </c>
      <c r="U63">
        <f t="shared" si="30"/>
        <v>192589.68</v>
      </c>
    </row>
    <row r="64" spans="1:21">
      <c r="A64" s="3144" t="s">
        <v>3502</v>
      </c>
      <c r="B64" s="3144" t="s">
        <v>3517</v>
      </c>
      <c r="C64" s="3144">
        <v>142.56</v>
      </c>
      <c r="D64" s="3144">
        <v>142.56</v>
      </c>
      <c r="E64" s="3144">
        <v>142.56</v>
      </c>
      <c r="F64" s="3144">
        <v>142.56</v>
      </c>
      <c r="G64" s="3145">
        <v>38491.199999999997</v>
      </c>
      <c r="H64" s="3145">
        <v>461894.40000000002</v>
      </c>
      <c r="I64" s="3146">
        <v>44936</v>
      </c>
      <c r="J64" s="3146">
        <v>45589</v>
      </c>
      <c r="K64" s="1404" t="s">
        <v>3591</v>
      </c>
      <c r="L64" s="1404"/>
      <c r="M64">
        <v>12</v>
      </c>
      <c r="N64" s="3163">
        <f t="shared" si="1"/>
        <v>8.8767123287671232</v>
      </c>
      <c r="O64">
        <f>ROUND(H64/365*($O$2-$D$124),2)</f>
        <v>72131.45</v>
      </c>
      <c r="P64" s="3189">
        <f t="shared" si="77"/>
        <v>461894.40000000002</v>
      </c>
      <c r="Q64" s="3189">
        <f t="shared" ref="Q64:T64" si="79">P64</f>
        <v>461894.40000000002</v>
      </c>
      <c r="R64" s="3189">
        <f t="shared" si="79"/>
        <v>461894.40000000002</v>
      </c>
      <c r="S64" s="3189">
        <f t="shared" si="79"/>
        <v>461894.40000000002</v>
      </c>
      <c r="T64" s="3189">
        <f t="shared" si="79"/>
        <v>461894.40000000002</v>
      </c>
      <c r="U64">
        <f t="shared" si="30"/>
        <v>93644.34</v>
      </c>
    </row>
    <row r="65" spans="1:21">
      <c r="A65" s="3144" t="s">
        <v>3503</v>
      </c>
      <c r="B65" s="3144" t="s">
        <v>3518</v>
      </c>
      <c r="C65" s="3144">
        <v>143.79</v>
      </c>
      <c r="D65" s="3144">
        <v>143.79</v>
      </c>
      <c r="E65" s="3144">
        <v>143.79</v>
      </c>
      <c r="F65" s="3144">
        <v>143.79</v>
      </c>
      <c r="G65" s="3145">
        <v>38823.300000000003</v>
      </c>
      <c r="H65" s="3145">
        <v>465879.6</v>
      </c>
      <c r="I65" s="3146">
        <v>44936</v>
      </c>
      <c r="J65" s="3146">
        <v>45589</v>
      </c>
      <c r="K65" s="1404" t="s">
        <v>3591</v>
      </c>
      <c r="L65" s="1404"/>
      <c r="M65">
        <v>12</v>
      </c>
      <c r="N65" s="3163">
        <f t="shared" si="1"/>
        <v>8.8767123287671232</v>
      </c>
      <c r="O65">
        <f>ROUND(H65/365*($O$2-$D$124),2)</f>
        <v>72753.8</v>
      </c>
      <c r="P65" s="3189">
        <f t="shared" si="77"/>
        <v>465879.6</v>
      </c>
      <c r="Q65" s="3189">
        <f t="shared" ref="Q65:T65" si="80">P65</f>
        <v>465879.6</v>
      </c>
      <c r="R65" s="3189">
        <f t="shared" si="80"/>
        <v>465879.6</v>
      </c>
      <c r="S65" s="3189">
        <f t="shared" si="80"/>
        <v>465879.6</v>
      </c>
      <c r="T65" s="3189">
        <f t="shared" si="80"/>
        <v>465879.6</v>
      </c>
      <c r="U65">
        <f t="shared" si="30"/>
        <v>94452.3</v>
      </c>
    </row>
    <row r="66" spans="1:21">
      <c r="A66" s="3144" t="s">
        <v>3504</v>
      </c>
      <c r="B66" s="3144" t="s">
        <v>3400</v>
      </c>
      <c r="C66" s="3144"/>
      <c r="D66" s="3144"/>
      <c r="E66" s="3144">
        <v>151.99</v>
      </c>
      <c r="F66" s="3144">
        <v>151.99</v>
      </c>
      <c r="G66" s="3144"/>
      <c r="H66" s="3144"/>
      <c r="I66" s="3144"/>
      <c r="J66" s="3144"/>
      <c r="K66" s="1404" t="s">
        <v>3591</v>
      </c>
      <c r="L66" s="1404"/>
      <c r="M66">
        <v>12</v>
      </c>
      <c r="N66" s="3163"/>
      <c r="O66">
        <f t="shared" ref="O66:O68" si="81">ROUND(E66*$D$129*(1-$D$128)*($O$2-$D$124),2)</f>
        <v>66275.240000000005</v>
      </c>
      <c r="P66">
        <f t="shared" ref="P66:P68" si="82">ROUND(E66*$D$129*(1-$D$128)*(1+$D$127)*365,2)</f>
        <v>432881.96</v>
      </c>
      <c r="Q66">
        <f t="shared" ref="Q66:Q68" si="83">ROUND(E66*$D$129*(1-$D$128)*(1+$D$127)^2*365,2)</f>
        <v>441539.6</v>
      </c>
      <c r="R66">
        <f t="shared" ref="R66:R68" si="84">ROUND(E66*$D$129*(1-$D$128)*(1+$D$127)^3*365,2)</f>
        <v>450370.39</v>
      </c>
      <c r="S66">
        <f t="shared" ref="S66:S68" si="85">ROUND(E66*$D$129*(1-$D$128)*(1+$D$127)^4*365,2)</f>
        <v>459377.8</v>
      </c>
      <c r="T66">
        <f t="shared" ref="T66:T68" si="86">ROUND(E66*$D$129*(1-$D$128)*(1+$D$127)^4*365,2)</f>
        <v>459377.8</v>
      </c>
      <c r="U66">
        <f t="shared" ref="U66:U68" si="87">ROUND(E66*$D$129*(1-$D$128)*(1+$D$127)^5*($U$2-$T$2),2)</f>
        <v>94996.81</v>
      </c>
    </row>
    <row r="67" spans="1:21">
      <c r="A67" s="3144" t="s">
        <v>3505</v>
      </c>
      <c r="B67" s="3144" t="s">
        <v>3400</v>
      </c>
      <c r="C67" s="3144"/>
      <c r="D67" s="3144"/>
      <c r="E67" s="3144">
        <v>152.04</v>
      </c>
      <c r="F67" s="3144">
        <v>152.04</v>
      </c>
      <c r="G67" s="3144"/>
      <c r="H67" s="3144"/>
      <c r="I67" s="3144"/>
      <c r="J67" s="3144"/>
      <c r="K67" s="1404" t="s">
        <v>3591</v>
      </c>
      <c r="L67" s="1404"/>
      <c r="M67">
        <v>12</v>
      </c>
      <c r="N67" s="3163"/>
      <c r="O67">
        <f t="shared" si="81"/>
        <v>66297.039999999994</v>
      </c>
      <c r="P67">
        <f t="shared" si="82"/>
        <v>433024.36</v>
      </c>
      <c r="Q67">
        <f t="shared" si="83"/>
        <v>441684.85</v>
      </c>
      <c r="R67">
        <f t="shared" si="84"/>
        <v>450518.55</v>
      </c>
      <c r="S67">
        <f t="shared" si="85"/>
        <v>459528.92</v>
      </c>
      <c r="T67">
        <f t="shared" si="86"/>
        <v>459528.92</v>
      </c>
      <c r="U67">
        <f t="shared" si="87"/>
        <v>95028.06</v>
      </c>
    </row>
    <row r="68" spans="1:21">
      <c r="A68" s="3144" t="s">
        <v>3506</v>
      </c>
      <c r="B68" s="3144" t="s">
        <v>3400</v>
      </c>
      <c r="C68" s="3144"/>
      <c r="D68" s="3144"/>
      <c r="E68" s="3144">
        <v>445.77</v>
      </c>
      <c r="F68" s="3144">
        <v>445.77</v>
      </c>
      <c r="G68" s="3144"/>
      <c r="H68" s="3144"/>
      <c r="I68" s="3144"/>
      <c r="J68" s="3144"/>
      <c r="K68" s="1404" t="s">
        <v>3591</v>
      </c>
      <c r="L68" s="1404"/>
      <c r="M68">
        <v>12</v>
      </c>
      <c r="N68" s="3163"/>
      <c r="O68">
        <f t="shared" si="81"/>
        <v>194378.01</v>
      </c>
      <c r="P68">
        <f t="shared" si="82"/>
        <v>1269595.31</v>
      </c>
      <c r="Q68">
        <f t="shared" si="83"/>
        <v>1294987.21</v>
      </c>
      <c r="R68">
        <f t="shared" si="84"/>
        <v>1320886.96</v>
      </c>
      <c r="S68">
        <f t="shared" si="85"/>
        <v>1347304.7</v>
      </c>
      <c r="T68">
        <f t="shared" si="86"/>
        <v>1347304.7</v>
      </c>
      <c r="U68">
        <f t="shared" si="87"/>
        <v>278615.23</v>
      </c>
    </row>
    <row r="69" spans="1:21">
      <c r="A69" s="3144" t="s">
        <v>3507</v>
      </c>
      <c r="B69" s="3144" t="s">
        <v>3519</v>
      </c>
      <c r="C69" s="3144">
        <v>151.26</v>
      </c>
      <c r="D69" s="3144">
        <v>151.26</v>
      </c>
      <c r="E69" s="3144">
        <v>151.26</v>
      </c>
      <c r="F69" s="3144">
        <v>151.26</v>
      </c>
      <c r="G69" s="3145">
        <v>31764.6</v>
      </c>
      <c r="H69" s="3145">
        <v>381175.2</v>
      </c>
      <c r="I69" s="3146">
        <v>45428</v>
      </c>
      <c r="J69" s="3146">
        <v>46522</v>
      </c>
      <c r="K69" s="1404" t="s">
        <v>3591</v>
      </c>
      <c r="L69" s="1404"/>
      <c r="M69">
        <v>12</v>
      </c>
      <c r="N69" s="3163">
        <f t="shared" ref="N69:N82" si="88">H69/F69/365</f>
        <v>6.9041095890410968</v>
      </c>
      <c r="O69">
        <f>ROUND(H69/365*($O$2-$D$124),2)</f>
        <v>59525.99</v>
      </c>
      <c r="P69" s="3189">
        <f t="shared" ref="P69:P73" si="89">H69</f>
        <v>381175.2</v>
      </c>
      <c r="Q69" s="3189">
        <f t="shared" ref="Q69:T69" si="90">P69</f>
        <v>381175.2</v>
      </c>
      <c r="R69" s="3189">
        <f t="shared" si="90"/>
        <v>381175.2</v>
      </c>
      <c r="S69" s="3189">
        <f t="shared" si="90"/>
        <v>381175.2</v>
      </c>
      <c r="T69" s="3189">
        <f t="shared" si="90"/>
        <v>381175.2</v>
      </c>
      <c r="U69">
        <f t="shared" si="30"/>
        <v>77279.360000000001</v>
      </c>
    </row>
    <row r="70" spans="1:21">
      <c r="A70" s="3144" t="s">
        <v>3508</v>
      </c>
      <c r="B70" s="3144" t="s">
        <v>3520</v>
      </c>
      <c r="C70" s="3144">
        <v>152.08000000000001</v>
      </c>
      <c r="D70" s="3144">
        <v>152.08000000000001</v>
      </c>
      <c r="E70" s="3144">
        <v>152.08000000000001</v>
      </c>
      <c r="F70" s="3144">
        <v>152.08000000000001</v>
      </c>
      <c r="G70" s="3145">
        <v>31936.799999999999</v>
      </c>
      <c r="H70" s="3145">
        <v>383241.6</v>
      </c>
      <c r="I70" s="3146">
        <v>45428</v>
      </c>
      <c r="J70" s="3146">
        <v>46522</v>
      </c>
      <c r="K70" s="1404" t="s">
        <v>3591</v>
      </c>
      <c r="L70" s="1404"/>
      <c r="M70">
        <v>12</v>
      </c>
      <c r="N70" s="3163">
        <f t="shared" si="88"/>
        <v>6.9041095890410951</v>
      </c>
      <c r="O70">
        <f>ROUND(H70/365*($O$2-$D$124),2)</f>
        <v>59848.69</v>
      </c>
      <c r="P70" s="3189">
        <f t="shared" si="89"/>
        <v>383241.6</v>
      </c>
      <c r="Q70" s="3189">
        <f t="shared" ref="Q70:T70" si="91">P70</f>
        <v>383241.6</v>
      </c>
      <c r="R70" s="3189">
        <f t="shared" si="91"/>
        <v>383241.6</v>
      </c>
      <c r="S70" s="3189">
        <f t="shared" si="91"/>
        <v>383241.6</v>
      </c>
      <c r="T70" s="3189">
        <f t="shared" si="91"/>
        <v>383241.6</v>
      </c>
      <c r="U70">
        <f t="shared" si="30"/>
        <v>77698.3</v>
      </c>
    </row>
    <row r="71" spans="1:21">
      <c r="A71" s="3144" t="s">
        <v>3509</v>
      </c>
      <c r="B71" s="3144" t="s">
        <v>3521</v>
      </c>
      <c r="C71" s="3144">
        <v>954.52</v>
      </c>
      <c r="D71" s="3144">
        <v>954.52</v>
      </c>
      <c r="E71" s="3144">
        <v>951.17</v>
      </c>
      <c r="F71" s="3144">
        <v>951.17</v>
      </c>
      <c r="G71" s="3145">
        <v>200449.2</v>
      </c>
      <c r="H71" s="3145">
        <v>2405390.4</v>
      </c>
      <c r="I71" s="3146">
        <v>45488</v>
      </c>
      <c r="J71" s="3146">
        <v>46582</v>
      </c>
      <c r="K71" s="1404" t="s">
        <v>3591</v>
      </c>
      <c r="L71" s="1404"/>
      <c r="M71">
        <v>12</v>
      </c>
      <c r="N71" s="3163">
        <f t="shared" si="88"/>
        <v>6.9284257124714896</v>
      </c>
      <c r="O71">
        <f>ROUND(H71/365*($O$2-$D$124),2)</f>
        <v>375636.31</v>
      </c>
      <c r="P71" s="3189">
        <f t="shared" si="89"/>
        <v>2405390.4</v>
      </c>
      <c r="Q71" s="3189">
        <f t="shared" ref="Q71:T71" si="92">P71</f>
        <v>2405390.4</v>
      </c>
      <c r="R71" s="3189">
        <f t="shared" si="92"/>
        <v>2405390.4</v>
      </c>
      <c r="S71" s="3189">
        <f t="shared" si="92"/>
        <v>2405390.4</v>
      </c>
      <c r="T71" s="3189">
        <f t="shared" si="92"/>
        <v>2405390.4</v>
      </c>
      <c r="U71">
        <f t="shared" si="30"/>
        <v>487668.19</v>
      </c>
    </row>
    <row r="72" spans="1:21">
      <c r="A72" s="3144" t="s">
        <v>3510</v>
      </c>
      <c r="B72" s="3144" t="s">
        <v>3522</v>
      </c>
      <c r="C72" s="3144">
        <v>150.1</v>
      </c>
      <c r="D72" s="3144">
        <v>150.1</v>
      </c>
      <c r="E72" s="3144">
        <v>150.1</v>
      </c>
      <c r="F72" s="3144">
        <v>150.1</v>
      </c>
      <c r="G72" s="3145">
        <v>38275.5</v>
      </c>
      <c r="H72" s="3145">
        <v>459306</v>
      </c>
      <c r="I72" s="3146">
        <v>45197</v>
      </c>
      <c r="J72" s="3146">
        <v>46292</v>
      </c>
      <c r="K72" s="1404" t="s">
        <v>3591</v>
      </c>
      <c r="L72" s="1404"/>
      <c r="M72">
        <v>12</v>
      </c>
      <c r="N72" s="3163">
        <f t="shared" si="88"/>
        <v>8.3835616438356162</v>
      </c>
      <c r="O72">
        <f>ROUND(H72/365*($O$2-$D$124),2)</f>
        <v>71727.240000000005</v>
      </c>
      <c r="P72" s="3189">
        <f t="shared" si="89"/>
        <v>459306</v>
      </c>
      <c r="Q72" s="3189">
        <f t="shared" ref="Q72:T72" si="93">P72</f>
        <v>459306</v>
      </c>
      <c r="R72" s="3189">
        <f t="shared" si="93"/>
        <v>459306</v>
      </c>
      <c r="S72" s="3189">
        <f t="shared" si="93"/>
        <v>459306</v>
      </c>
      <c r="T72" s="3189">
        <f t="shared" si="93"/>
        <v>459306</v>
      </c>
      <c r="U72">
        <f t="shared" si="30"/>
        <v>93119.57</v>
      </c>
    </row>
    <row r="73" spans="1:21">
      <c r="A73" s="3144" t="s">
        <v>3511</v>
      </c>
      <c r="B73" s="3144" t="s">
        <v>3523</v>
      </c>
      <c r="C73" s="3144">
        <v>304.42</v>
      </c>
      <c r="D73" s="3144">
        <v>304.42</v>
      </c>
      <c r="E73" s="3144">
        <v>304.42</v>
      </c>
      <c r="F73" s="3144">
        <v>304.42</v>
      </c>
      <c r="G73" s="3145">
        <v>73060.800000000003</v>
      </c>
      <c r="H73" s="3145">
        <v>876729.6</v>
      </c>
      <c r="I73" s="3146">
        <v>45459</v>
      </c>
      <c r="J73" s="3146">
        <v>45823</v>
      </c>
      <c r="K73" s="1404" t="s">
        <v>3591</v>
      </c>
      <c r="L73" s="1404"/>
      <c r="M73">
        <v>12</v>
      </c>
      <c r="N73" s="3163">
        <f t="shared" si="88"/>
        <v>7.8904109589041092</v>
      </c>
      <c r="O73">
        <f>ROUND(H73/365*($O$2-$D$124),2)</f>
        <v>136913.94</v>
      </c>
      <c r="P73" s="3189">
        <f t="shared" si="89"/>
        <v>876729.6</v>
      </c>
      <c r="Q73" s="3189">
        <f t="shared" ref="Q73:T73" si="94">P73</f>
        <v>876729.6</v>
      </c>
      <c r="R73" s="3189">
        <f t="shared" si="94"/>
        <v>876729.6</v>
      </c>
      <c r="S73" s="3189">
        <f t="shared" si="94"/>
        <v>876729.6</v>
      </c>
      <c r="T73" s="3189">
        <f t="shared" si="94"/>
        <v>876729.6</v>
      </c>
      <c r="U73">
        <f t="shared" si="30"/>
        <v>177747.92</v>
      </c>
    </row>
    <row r="74" spans="1:21">
      <c r="A74" s="3144" t="s">
        <v>3512</v>
      </c>
      <c r="B74" s="3144" t="s">
        <v>3400</v>
      </c>
      <c r="C74" s="3144"/>
      <c r="D74" s="3144"/>
      <c r="E74" s="3144">
        <v>152.26</v>
      </c>
      <c r="F74" s="3144">
        <v>152.26</v>
      </c>
      <c r="G74" s="3144"/>
      <c r="H74" s="3144"/>
      <c r="I74" s="3144"/>
      <c r="J74" s="3144"/>
      <c r="K74" s="1404" t="s">
        <v>3591</v>
      </c>
      <c r="L74" s="1404"/>
      <c r="M74">
        <v>12</v>
      </c>
      <c r="N74" s="3163"/>
      <c r="O74">
        <f>ROUND(E74*$D$129*(1-$D$128)*($O$2-$D$124),2)</f>
        <v>66392.97</v>
      </c>
      <c r="P74">
        <f>ROUND(E74*$D$129*(1-$D$128)*(1+$D$127)*365,2)</f>
        <v>433650.94</v>
      </c>
      <c r="Q74">
        <f>ROUND(E74*$D$129*(1-$D$128)*(1+$D$127)^2*365,2)</f>
        <v>442323.96</v>
      </c>
      <c r="R74">
        <f>ROUND(E74*$D$129*(1-$D$128)*(1+$D$127)^3*365,2)</f>
        <v>451170.44</v>
      </c>
      <c r="S74">
        <f>ROUND(E74*$D$129*(1-$D$128)*(1+$D$127)^4*365,2)</f>
        <v>460193.85</v>
      </c>
      <c r="T74">
        <f>ROUND(E74*$D$129*(1-$D$128)*(1+$D$127)^4*365,2)</f>
        <v>460193.85</v>
      </c>
      <c r="U74">
        <f>ROUND(E74*$D$129*(1-$D$128)*(1+$D$127)^5*($U$2-$T$2),2)</f>
        <v>95165.57</v>
      </c>
    </row>
    <row r="75" spans="1:21">
      <c r="A75" s="3144" t="s">
        <v>3524</v>
      </c>
      <c r="B75" s="3144" t="s">
        <v>3541</v>
      </c>
      <c r="C75" s="3144">
        <v>152.29</v>
      </c>
      <c r="D75" s="3144">
        <v>152.29</v>
      </c>
      <c r="E75" s="3144">
        <v>152.29</v>
      </c>
      <c r="F75" s="3144">
        <v>152.29</v>
      </c>
      <c r="G75" s="3145">
        <v>37463.339999999997</v>
      </c>
      <c r="H75" s="3145">
        <v>449560.08</v>
      </c>
      <c r="I75" s="3146">
        <v>45153</v>
      </c>
      <c r="J75" s="3146">
        <v>45702</v>
      </c>
      <c r="K75" s="1404" t="s">
        <v>3591</v>
      </c>
      <c r="L75" s="1404"/>
      <c r="M75">
        <v>12</v>
      </c>
      <c r="N75" s="3163">
        <f t="shared" si="88"/>
        <v>8.0876712328767137</v>
      </c>
      <c r="O75">
        <f>ROUND(H75/365*($O$2-$D$124),2)</f>
        <v>70205.27</v>
      </c>
      <c r="P75" s="3189">
        <f t="shared" ref="P75:P76" si="95">H75</f>
        <v>449560.08</v>
      </c>
      <c r="Q75" s="3189">
        <f t="shared" ref="Q75:T75" si="96">P75</f>
        <v>449560.08</v>
      </c>
      <c r="R75" s="3189">
        <f t="shared" si="96"/>
        <v>449560.08</v>
      </c>
      <c r="S75" s="3189">
        <f t="shared" si="96"/>
        <v>449560.08</v>
      </c>
      <c r="T75" s="3189">
        <f t="shared" si="96"/>
        <v>449560.08</v>
      </c>
      <c r="U75">
        <f t="shared" si="30"/>
        <v>91143.69</v>
      </c>
    </row>
    <row r="76" spans="1:21">
      <c r="A76" s="3144" t="s">
        <v>3525</v>
      </c>
      <c r="B76" s="3144" t="s">
        <v>3540</v>
      </c>
      <c r="C76" s="3144">
        <v>456.7</v>
      </c>
      <c r="D76" s="3144">
        <v>456.7</v>
      </c>
      <c r="E76" s="3144">
        <v>456.7</v>
      </c>
      <c r="F76" s="3144">
        <v>456.7</v>
      </c>
      <c r="G76" s="3145">
        <v>116458.5</v>
      </c>
      <c r="H76" s="3145">
        <v>1397502</v>
      </c>
      <c r="I76" s="3146">
        <v>44676</v>
      </c>
      <c r="J76" s="3146">
        <v>45761</v>
      </c>
      <c r="K76" s="1404" t="s">
        <v>3591</v>
      </c>
      <c r="L76" s="1404"/>
      <c r="M76">
        <v>12</v>
      </c>
      <c r="N76" s="3163">
        <f t="shared" si="88"/>
        <v>8.3835616438356162</v>
      </c>
      <c r="O76">
        <f>ROUND(H76/365*($O$2-$D$124),2)</f>
        <v>218240.04</v>
      </c>
      <c r="P76" s="3189">
        <f t="shared" si="95"/>
        <v>1397502</v>
      </c>
      <c r="Q76" s="3189">
        <f t="shared" ref="Q76:T76" si="97">P76</f>
        <v>1397502</v>
      </c>
      <c r="R76" s="3189">
        <f t="shared" si="97"/>
        <v>1397502</v>
      </c>
      <c r="S76" s="3189">
        <f t="shared" si="97"/>
        <v>1397502</v>
      </c>
      <c r="T76" s="3189">
        <f t="shared" si="97"/>
        <v>1397502</v>
      </c>
      <c r="U76">
        <f t="shared" si="30"/>
        <v>283329.17</v>
      </c>
    </row>
    <row r="77" spans="1:21">
      <c r="A77" s="3144" t="s">
        <v>3526</v>
      </c>
      <c r="B77" s="3144" t="s">
        <v>3400</v>
      </c>
      <c r="C77" s="3144"/>
      <c r="D77" s="3144"/>
      <c r="E77" s="3144">
        <v>152.13999999999999</v>
      </c>
      <c r="F77" s="3144">
        <v>152.13999999999999</v>
      </c>
      <c r="G77" s="3144"/>
      <c r="H77" s="3144"/>
      <c r="I77" s="3144"/>
      <c r="J77" s="3144"/>
      <c r="K77" s="1404" t="s">
        <v>3591</v>
      </c>
      <c r="L77" s="1404"/>
      <c r="M77">
        <v>12</v>
      </c>
      <c r="N77" s="3163"/>
      <c r="O77">
        <f>ROUND(E77*$D$129*(1-$D$128)*($O$2-$D$124),2)</f>
        <v>66340.649999999994</v>
      </c>
      <c r="P77">
        <f>ROUND(E77*$D$129*(1-$D$128)*(1+$D$127)*365,2)</f>
        <v>433309.17</v>
      </c>
      <c r="Q77">
        <f>ROUND(E77*$D$129*(1-$D$128)*(1+$D$127)^2*365,2)</f>
        <v>441975.36</v>
      </c>
      <c r="R77">
        <f>ROUND(E77*$D$129*(1-$D$128)*(1+$D$127)^3*365,2)</f>
        <v>450814.86</v>
      </c>
      <c r="S77">
        <f>ROUND(E77*$D$129*(1-$D$128)*(1+$D$127)^4*365,2)</f>
        <v>459831.16</v>
      </c>
      <c r="T77">
        <f>ROUND(E77*$D$129*(1-$D$128)*(1+$D$127)^4*365,2)</f>
        <v>459831.16</v>
      </c>
      <c r="U77">
        <f>ROUND(E77*$D$129*(1-$D$128)*(1+$D$127)^5*($U$2-$T$2),2)</f>
        <v>95090.559999999998</v>
      </c>
    </row>
    <row r="78" spans="1:21">
      <c r="A78" s="3144" t="s">
        <v>3527</v>
      </c>
      <c r="B78" s="3144" t="s">
        <v>3539</v>
      </c>
      <c r="C78" s="3144">
        <v>630.32000000000005</v>
      </c>
      <c r="D78" s="3144">
        <v>630.32000000000005</v>
      </c>
      <c r="E78" s="3144">
        <v>630.32000000000005</v>
      </c>
      <c r="F78" s="3144">
        <v>630.32000000000005</v>
      </c>
      <c r="G78" s="3145">
        <v>162622.56</v>
      </c>
      <c r="H78" s="3145">
        <v>1951470.72</v>
      </c>
      <c r="I78" s="3146">
        <v>45292</v>
      </c>
      <c r="J78" s="3146">
        <v>46387</v>
      </c>
      <c r="K78" s="1404" t="s">
        <v>3591</v>
      </c>
      <c r="L78" s="1404"/>
      <c r="M78">
        <v>12</v>
      </c>
      <c r="N78" s="3163">
        <f t="shared" si="88"/>
        <v>8.4821917808219158</v>
      </c>
      <c r="O78">
        <f>ROUND(H78/365*($O$2-$D$124),2)</f>
        <v>304750.21999999997</v>
      </c>
      <c r="P78" s="3189">
        <f t="shared" ref="P78:P82" si="98">H78</f>
        <v>1951470.72</v>
      </c>
      <c r="Q78" s="3189">
        <f t="shared" ref="Q78:T78" si="99">P78</f>
        <v>1951470.72</v>
      </c>
      <c r="R78" s="3189">
        <f t="shared" si="99"/>
        <v>1951470.72</v>
      </c>
      <c r="S78" s="3189">
        <f t="shared" si="99"/>
        <v>1951470.72</v>
      </c>
      <c r="T78" s="3189">
        <f t="shared" si="99"/>
        <v>1951470.72</v>
      </c>
      <c r="U78">
        <f t="shared" si="30"/>
        <v>395640.64</v>
      </c>
    </row>
    <row r="79" spans="1:21">
      <c r="A79" s="3144" t="s">
        <v>3528</v>
      </c>
      <c r="B79" s="3144" t="s">
        <v>3538</v>
      </c>
      <c r="C79" s="3144">
        <v>303.06</v>
      </c>
      <c r="D79" s="3144">
        <v>303.06</v>
      </c>
      <c r="E79" s="3144">
        <v>303.06</v>
      </c>
      <c r="F79" s="3144">
        <v>303.06</v>
      </c>
      <c r="G79" s="3145">
        <v>77280.3</v>
      </c>
      <c r="H79" s="3145">
        <v>927363.6</v>
      </c>
      <c r="I79" s="3146">
        <v>45207</v>
      </c>
      <c r="J79" s="3146">
        <v>45572</v>
      </c>
      <c r="K79" s="1404" t="s">
        <v>3591</v>
      </c>
      <c r="L79" s="1404"/>
      <c r="M79">
        <v>12</v>
      </c>
      <c r="N79" s="3163">
        <f t="shared" si="88"/>
        <v>8.3835616438356162</v>
      </c>
      <c r="O79">
        <f>ROUND(H79/365*($O$2-$D$124),2)</f>
        <v>144821.16</v>
      </c>
      <c r="P79" s="3189">
        <f t="shared" si="98"/>
        <v>927363.6</v>
      </c>
      <c r="Q79" s="3189">
        <f t="shared" ref="Q79:T79" si="100">P79</f>
        <v>927363.6</v>
      </c>
      <c r="R79" s="3189">
        <f t="shared" si="100"/>
        <v>927363.6</v>
      </c>
      <c r="S79" s="3189">
        <f t="shared" si="100"/>
        <v>927363.6</v>
      </c>
      <c r="T79" s="3189">
        <f t="shared" si="100"/>
        <v>927363.6</v>
      </c>
      <c r="U79">
        <f t="shared" si="30"/>
        <v>188013.44</v>
      </c>
    </row>
    <row r="80" spans="1:21">
      <c r="A80" s="3144" t="s">
        <v>3529</v>
      </c>
      <c r="B80" s="3144" t="s">
        <v>3537</v>
      </c>
      <c r="C80" s="3144">
        <v>151.61000000000001</v>
      </c>
      <c r="D80" s="3144">
        <v>151.61000000000001</v>
      </c>
      <c r="E80" s="3144">
        <v>151.61000000000001</v>
      </c>
      <c r="F80" s="3144">
        <v>151.61000000000001</v>
      </c>
      <c r="G80" s="3145">
        <v>36386.400000000001</v>
      </c>
      <c r="H80" s="3145">
        <v>436636.8</v>
      </c>
      <c r="I80" s="3146">
        <v>45292</v>
      </c>
      <c r="J80" s="3146">
        <v>46387</v>
      </c>
      <c r="K80" s="1404" t="s">
        <v>3591</v>
      </c>
      <c r="L80" s="1404"/>
      <c r="M80">
        <v>12</v>
      </c>
      <c r="N80" s="3163">
        <f t="shared" si="88"/>
        <v>7.8904109589041083</v>
      </c>
      <c r="O80">
        <f>ROUND(H80/365*($O$2-$D$124),2)</f>
        <v>68187.12</v>
      </c>
      <c r="P80" s="3189">
        <f t="shared" si="98"/>
        <v>436636.8</v>
      </c>
      <c r="Q80" s="3189">
        <f t="shared" ref="Q80:T80" si="101">P80</f>
        <v>436636.8</v>
      </c>
      <c r="R80" s="3189">
        <f t="shared" si="101"/>
        <v>436636.8</v>
      </c>
      <c r="S80" s="3189">
        <f t="shared" si="101"/>
        <v>436636.8</v>
      </c>
      <c r="T80" s="3189">
        <f t="shared" si="101"/>
        <v>436636.8</v>
      </c>
      <c r="U80">
        <f t="shared" si="30"/>
        <v>88523.63</v>
      </c>
    </row>
    <row r="81" spans="1:21">
      <c r="A81" s="3144" t="s">
        <v>3530</v>
      </c>
      <c r="B81" s="3144" t="s">
        <v>3536</v>
      </c>
      <c r="C81" s="3144">
        <v>151.66</v>
      </c>
      <c r="D81" s="3144">
        <v>151.66</v>
      </c>
      <c r="E81" s="3144">
        <v>151.66</v>
      </c>
      <c r="F81" s="3144">
        <v>151.66</v>
      </c>
      <c r="G81" s="3145">
        <v>36398.400000000001</v>
      </c>
      <c r="H81" s="3145">
        <v>436780.79999999999</v>
      </c>
      <c r="I81" s="3146">
        <v>45292</v>
      </c>
      <c r="J81" s="3146">
        <v>46387</v>
      </c>
      <c r="K81" s="1404" t="s">
        <v>3591</v>
      </c>
      <c r="L81" s="1404"/>
      <c r="M81">
        <v>12</v>
      </c>
      <c r="N81" s="3163">
        <f t="shared" si="88"/>
        <v>7.8904109589041092</v>
      </c>
      <c r="O81">
        <f>ROUND(H81/365*($O$2-$D$124),2)</f>
        <v>68209.600000000006</v>
      </c>
      <c r="P81" s="3189">
        <f t="shared" si="98"/>
        <v>436780.79999999999</v>
      </c>
      <c r="Q81" s="3189">
        <f t="shared" ref="Q81:T81" si="102">P81</f>
        <v>436780.79999999999</v>
      </c>
      <c r="R81" s="3189">
        <f t="shared" si="102"/>
        <v>436780.79999999999</v>
      </c>
      <c r="S81" s="3189">
        <f t="shared" si="102"/>
        <v>436780.79999999999</v>
      </c>
      <c r="T81" s="3189">
        <f t="shared" si="102"/>
        <v>436780.79999999999</v>
      </c>
      <c r="U81">
        <f t="shared" si="30"/>
        <v>88552.82</v>
      </c>
    </row>
    <row r="82" spans="1:21">
      <c r="A82" s="3144" t="s">
        <v>3531</v>
      </c>
      <c r="B82" s="3144" t="s">
        <v>3535</v>
      </c>
      <c r="C82" s="3144">
        <v>151.71</v>
      </c>
      <c r="D82" s="3144">
        <v>151.71</v>
      </c>
      <c r="E82" s="3144">
        <v>151.71</v>
      </c>
      <c r="F82" s="3144">
        <v>151.71</v>
      </c>
      <c r="G82" s="3145">
        <v>36410.400000000001</v>
      </c>
      <c r="H82" s="3145">
        <v>436924.8</v>
      </c>
      <c r="I82" s="3146">
        <v>45292</v>
      </c>
      <c r="J82" s="3146">
        <v>46387</v>
      </c>
      <c r="K82" s="1404" t="s">
        <v>3591</v>
      </c>
      <c r="L82" s="1404"/>
      <c r="M82">
        <v>12</v>
      </c>
      <c r="N82" s="3163">
        <f t="shared" si="88"/>
        <v>7.8904109589041083</v>
      </c>
      <c r="O82">
        <f>ROUND(H82/365*($O$2-$D$124),2)</f>
        <v>68232.09</v>
      </c>
      <c r="P82" s="3189">
        <f t="shared" si="98"/>
        <v>436924.8</v>
      </c>
      <c r="Q82" s="3189">
        <f t="shared" ref="Q82:T82" si="103">P82</f>
        <v>436924.8</v>
      </c>
      <c r="R82" s="3189">
        <f t="shared" si="103"/>
        <v>436924.8</v>
      </c>
      <c r="S82" s="3189">
        <f t="shared" si="103"/>
        <v>436924.8</v>
      </c>
      <c r="T82" s="3189">
        <f t="shared" si="103"/>
        <v>436924.8</v>
      </c>
      <c r="U82">
        <f t="shared" si="30"/>
        <v>88582.01</v>
      </c>
    </row>
    <row r="83" spans="1:21">
      <c r="A83" s="3144" t="s">
        <v>3532</v>
      </c>
      <c r="B83" s="3144" t="s">
        <v>3400</v>
      </c>
      <c r="C83" s="3144"/>
      <c r="D83" s="3144"/>
      <c r="E83" s="3144">
        <v>521.89</v>
      </c>
      <c r="F83" s="3144">
        <v>521.89</v>
      </c>
      <c r="G83" s="3144"/>
      <c r="H83" s="3144"/>
      <c r="I83" s="3144"/>
      <c r="J83" s="3144"/>
      <c r="K83" s="1404" t="s">
        <v>3591</v>
      </c>
      <c r="L83" s="1404"/>
      <c r="M83">
        <v>12</v>
      </c>
      <c r="N83" s="3163"/>
      <c r="O83">
        <f t="shared" ref="O83:O85" si="104">ROUND(E83*$D$129*(1-$D$128)*($O$2-$D$124),2)</f>
        <v>227570.13</v>
      </c>
      <c r="P83">
        <f t="shared" ref="P83:P85" si="105">ROUND(E83*$D$129*(1-$D$128)*(1+$D$127)*365,2)</f>
        <v>1486392.3</v>
      </c>
      <c r="Q83">
        <f>ROUND(E83*$D$129*(1-$D$128)*(1+$D$127)^2*365,2)</f>
        <v>1516120.15</v>
      </c>
      <c r="R83">
        <f t="shared" ref="R83:R85" si="106">ROUND(E83*$D$129*(1-$D$128)*(1+$D$127)^3*365,2)</f>
        <v>1546442.55</v>
      </c>
      <c r="S83">
        <f t="shared" ref="S83:S85" si="107">ROUND(E83*$D$129*(1-$D$128)*(1+$D$127)^4*365,2)</f>
        <v>1577371.4</v>
      </c>
      <c r="T83">
        <f t="shared" ref="T83:T85" si="108">ROUND(E83*$D$129*(1-$D$128)*(1+$D$127)^4*365,2)</f>
        <v>1577371.4</v>
      </c>
      <c r="U83">
        <f t="shared" ref="U83:U85" si="109">ROUND(E83*$D$129*(1-$D$128)*(1+$D$127)^5*($U$2-$T$2),2)</f>
        <v>326191.76</v>
      </c>
    </row>
    <row r="84" spans="1:21">
      <c r="A84" s="3144" t="s">
        <v>3533</v>
      </c>
      <c r="B84" s="3144" t="s">
        <v>3400</v>
      </c>
      <c r="C84" s="3144"/>
      <c r="D84" s="3144"/>
      <c r="E84" s="3145">
        <v>6394.16</v>
      </c>
      <c r="F84" s="3145">
        <v>6394.16</v>
      </c>
      <c r="G84" s="3144"/>
      <c r="H84" s="3144"/>
      <c r="I84" s="3144"/>
      <c r="J84" s="3144"/>
      <c r="K84" s="1404" t="s">
        <v>3591</v>
      </c>
      <c r="L84" s="1404"/>
      <c r="M84">
        <v>13</v>
      </c>
      <c r="N84" s="3163"/>
      <c r="O84">
        <f t="shared" si="104"/>
        <v>2788173.47</v>
      </c>
      <c r="P84">
        <f t="shared" si="105"/>
        <v>18211175.129999999</v>
      </c>
      <c r="Q84">
        <f t="shared" ref="Q83:Q85" si="110">ROUND(E84*$D$129*(1-$D$128)*(1+$D$127)^2*365,2)</f>
        <v>18575398.629999999</v>
      </c>
      <c r="R84">
        <f t="shared" si="106"/>
        <v>18946906.600000001</v>
      </c>
      <c r="S84">
        <f t="shared" si="107"/>
        <v>19325844.73</v>
      </c>
      <c r="T84">
        <f t="shared" si="108"/>
        <v>19325844.73</v>
      </c>
      <c r="U84">
        <f t="shared" si="109"/>
        <v>3996478.8</v>
      </c>
    </row>
    <row r="85" spans="1:21">
      <c r="A85" s="3144" t="s">
        <v>3534</v>
      </c>
      <c r="B85" s="3144" t="s">
        <v>3400</v>
      </c>
      <c r="C85" s="3144"/>
      <c r="D85" s="3144"/>
      <c r="E85" s="3145">
        <v>6394.16</v>
      </c>
      <c r="F85" s="3145">
        <v>6394.16</v>
      </c>
      <c r="G85" s="3144"/>
      <c r="H85" s="3144"/>
      <c r="I85" s="3144"/>
      <c r="J85" s="3144"/>
      <c r="K85" s="1404" t="s">
        <v>3591</v>
      </c>
      <c r="L85" s="1404"/>
      <c r="M85">
        <v>14</v>
      </c>
      <c r="N85" s="3163"/>
      <c r="O85">
        <f t="shared" si="104"/>
        <v>2788173.47</v>
      </c>
      <c r="P85">
        <f t="shared" si="105"/>
        <v>18211175.129999999</v>
      </c>
      <c r="Q85">
        <f t="shared" si="110"/>
        <v>18575398.629999999</v>
      </c>
      <c r="R85">
        <f t="shared" si="106"/>
        <v>18946906.600000001</v>
      </c>
      <c r="S85">
        <f t="shared" si="107"/>
        <v>19325844.73</v>
      </c>
      <c r="T85">
        <f t="shared" si="108"/>
        <v>19325844.73</v>
      </c>
      <c r="U85">
        <f t="shared" si="109"/>
        <v>3996478.8</v>
      </c>
    </row>
    <row r="86" spans="1:21">
      <c r="A86" s="3144" t="s">
        <v>3580</v>
      </c>
      <c r="B86" s="3144" t="s">
        <v>3588</v>
      </c>
      <c r="C86" s="3144">
        <v>188.86</v>
      </c>
      <c r="D86" s="3144">
        <v>188.86</v>
      </c>
      <c r="E86" s="3144"/>
      <c r="F86" s="3144"/>
      <c r="G86" s="3144">
        <v>37913.65</v>
      </c>
      <c r="H86" s="3144">
        <v>454963.74</v>
      </c>
      <c r="I86" s="3146">
        <v>45317</v>
      </c>
      <c r="J86" s="3146">
        <v>45621</v>
      </c>
      <c r="K86" s="1404" t="s">
        <v>2803</v>
      </c>
      <c r="L86" s="1404"/>
      <c r="M86">
        <v>3</v>
      </c>
      <c r="N86" s="3164">
        <f>H86/C86/365</f>
        <v>6.6</v>
      </c>
      <c r="O86">
        <f>ROUND(H86/365*($O$2-$D$124),2)</f>
        <v>71049.13</v>
      </c>
      <c r="P86" s="3189">
        <f t="shared" ref="P86:P88" si="111">H86</f>
        <v>454963.74</v>
      </c>
      <c r="Q86" s="3189">
        <f t="shared" ref="Q86:T86" si="112">P86</f>
        <v>454963.74</v>
      </c>
      <c r="R86" s="3189">
        <f t="shared" si="112"/>
        <v>454963.74</v>
      </c>
      <c r="S86" s="3189">
        <f t="shared" si="112"/>
        <v>454963.74</v>
      </c>
      <c r="T86" s="3189">
        <f t="shared" si="112"/>
        <v>454963.74</v>
      </c>
      <c r="U86">
        <f t="shared" ref="U86:U88" si="113">ROUND(H86/365*($U$2-$T$2),2)</f>
        <v>92239.22</v>
      </c>
    </row>
    <row r="87" spans="1:21">
      <c r="A87" s="3144" t="s">
        <v>3581</v>
      </c>
      <c r="B87" s="3144" t="s">
        <v>3587</v>
      </c>
      <c r="C87" s="3144">
        <v>46.85</v>
      </c>
      <c r="D87" s="3144">
        <v>30</v>
      </c>
      <c r="E87" s="3144"/>
      <c r="F87" s="3144"/>
      <c r="G87" s="3144">
        <v>6022.5</v>
      </c>
      <c r="H87" s="3144">
        <v>72270</v>
      </c>
      <c r="I87" s="3146">
        <v>45317</v>
      </c>
      <c r="J87" s="3146">
        <v>45468</v>
      </c>
      <c r="K87" s="1404" t="s">
        <v>2803</v>
      </c>
      <c r="L87" s="1404"/>
      <c r="M87">
        <v>3</v>
      </c>
      <c r="N87" s="3164">
        <f>H87/C87/365</f>
        <v>4.2262540021344721</v>
      </c>
      <c r="O87">
        <f>ROUND(H87/365*($O$2-$D$124),2)</f>
        <v>11286</v>
      </c>
      <c r="P87" s="3189">
        <f t="shared" si="111"/>
        <v>72270</v>
      </c>
      <c r="Q87" s="3189">
        <f t="shared" ref="Q87:T87" si="114">P87</f>
        <v>72270</v>
      </c>
      <c r="R87" s="3189">
        <f t="shared" si="114"/>
        <v>72270</v>
      </c>
      <c r="S87" s="3189">
        <f t="shared" si="114"/>
        <v>72270</v>
      </c>
      <c r="T87" s="3189">
        <f t="shared" si="114"/>
        <v>72270</v>
      </c>
      <c r="U87">
        <f t="shared" si="113"/>
        <v>14652</v>
      </c>
    </row>
    <row r="88" spans="1:21">
      <c r="A88" s="3144" t="s">
        <v>3549</v>
      </c>
      <c r="B88" s="3144" t="s">
        <v>3548</v>
      </c>
      <c r="C88" s="3144">
        <v>1368.12</v>
      </c>
      <c r="D88" s="3144">
        <v>1368.12</v>
      </c>
      <c r="E88" s="3144">
        <v>1353.81</v>
      </c>
      <c r="F88" s="3144">
        <v>1353.81</v>
      </c>
      <c r="G88" s="3144">
        <v>305856.90999999997</v>
      </c>
      <c r="H88" s="3144">
        <v>3670282.89</v>
      </c>
      <c r="I88" s="3146">
        <v>45642</v>
      </c>
      <c r="J88" s="3146">
        <v>47557</v>
      </c>
      <c r="K88" s="1404" t="s">
        <v>2803</v>
      </c>
      <c r="L88" s="1404"/>
      <c r="M88">
        <v>3</v>
      </c>
      <c r="N88" s="3163">
        <f>H88/F88/365</f>
        <v>7.4276076861921805</v>
      </c>
      <c r="O88">
        <f>ROUND(H88/365*($O$2-$D$124),2)</f>
        <v>573167.47</v>
      </c>
      <c r="P88" s="3189">
        <f t="shared" si="111"/>
        <v>3670282.89</v>
      </c>
      <c r="Q88" s="3189">
        <f t="shared" ref="Q88:T88" si="115">P88</f>
        <v>3670282.89</v>
      </c>
      <c r="R88" s="3189">
        <f t="shared" si="115"/>
        <v>3670282.89</v>
      </c>
      <c r="S88" s="3189">
        <f t="shared" si="115"/>
        <v>3670282.89</v>
      </c>
      <c r="T88" s="3189">
        <f t="shared" si="115"/>
        <v>3670282.89</v>
      </c>
      <c r="U88">
        <f t="shared" si="113"/>
        <v>744112.15</v>
      </c>
    </row>
    <row r="89" spans="1:21">
      <c r="A89" s="3144"/>
      <c r="B89" s="3144"/>
      <c r="C89" s="3144"/>
      <c r="D89" s="3144"/>
      <c r="E89" s="3144"/>
      <c r="F89" s="3144"/>
      <c r="G89" s="3144"/>
      <c r="H89" s="3144"/>
      <c r="I89" s="3146"/>
      <c r="J89" s="3146"/>
      <c r="K89" s="1404"/>
      <c r="L89" s="1404"/>
      <c r="N89" s="3163"/>
      <c r="O89">
        <f t="shared" ref="O89:U89" si="116">SUM(O3:O88)</f>
        <v>31860844.589999985</v>
      </c>
      <c r="P89">
        <f t="shared" si="116"/>
        <v>205891112.16000006</v>
      </c>
      <c r="Q89">
        <f t="shared" si="116"/>
        <v>207798425.02000007</v>
      </c>
      <c r="R89">
        <f t="shared" si="116"/>
        <v>209743884.10000005</v>
      </c>
      <c r="S89">
        <f t="shared" si="116"/>
        <v>211728252.37000006</v>
      </c>
      <c r="T89">
        <f t="shared" si="116"/>
        <v>211728252.37000006</v>
      </c>
      <c r="U89">
        <f t="shared" si="116"/>
        <v>43336084.379999988</v>
      </c>
    </row>
    <row r="90" spans="1:21">
      <c r="I90" s="3186"/>
      <c r="J90" s="3186"/>
      <c r="K90" s="1404"/>
      <c r="L90" s="1404"/>
      <c r="N90" s="3163"/>
    </row>
    <row r="91" spans="1:21">
      <c r="I91" s="3186"/>
      <c r="J91" s="3186"/>
      <c r="K91" s="1404"/>
      <c r="L91" s="1404"/>
      <c r="N91" s="3163"/>
      <c r="O91" s="3143" t="s">
        <v>3762</v>
      </c>
      <c r="P91" s="3143" t="s">
        <v>3763</v>
      </c>
      <c r="Q91" s="3143" t="s">
        <v>3764</v>
      </c>
      <c r="R91" s="3143" t="s">
        <v>3765</v>
      </c>
      <c r="S91" s="3143" t="s">
        <v>3766</v>
      </c>
      <c r="T91" s="3143" t="s">
        <v>3767</v>
      </c>
      <c r="U91" s="3143" t="s">
        <v>3768</v>
      </c>
    </row>
    <row r="92" spans="1:21">
      <c r="O92" s="3188">
        <v>45657</v>
      </c>
      <c r="P92" s="3188">
        <v>46022</v>
      </c>
      <c r="Q92" s="3188">
        <v>46387</v>
      </c>
      <c r="R92" s="3188">
        <v>46752</v>
      </c>
      <c r="S92" s="3188">
        <v>47118</v>
      </c>
      <c r="T92" s="3188">
        <v>47483</v>
      </c>
      <c r="U92" s="3188">
        <v>47557</v>
      </c>
    </row>
    <row r="93" spans="1:21">
      <c r="A93" s="3147" t="s">
        <v>3542</v>
      </c>
      <c r="B93" s="3147" t="s">
        <v>3543</v>
      </c>
      <c r="C93" s="3147">
        <v>905.45</v>
      </c>
      <c r="D93" s="3147">
        <v>905.45</v>
      </c>
      <c r="E93" s="3147">
        <v>904.89</v>
      </c>
      <c r="F93" s="3147">
        <v>904.89</v>
      </c>
      <c r="G93" s="3148">
        <v>302948.47999999998</v>
      </c>
      <c r="H93" s="3148">
        <v>3635381.75</v>
      </c>
      <c r="I93" s="3149">
        <v>44013</v>
      </c>
      <c r="J93" s="3149">
        <v>45838</v>
      </c>
      <c r="K93" s="1404" t="s">
        <v>3594</v>
      </c>
      <c r="L93" s="1404"/>
      <c r="M93">
        <v>1</v>
      </c>
      <c r="N93" s="3163">
        <f>H93/F93/365</f>
        <v>11.006807457259999</v>
      </c>
      <c r="O93">
        <f>ROUND(H93/365*($O$2-$D$124),2)</f>
        <v>567717.15</v>
      </c>
      <c r="P93" s="3189">
        <f>H93</f>
        <v>3635381.75</v>
      </c>
      <c r="Q93" s="3189">
        <f>P93</f>
        <v>3635381.75</v>
      </c>
      <c r="R93" s="3189">
        <f t="shared" ref="R93:T93" si="117">Q93</f>
        <v>3635381.75</v>
      </c>
      <c r="S93" s="3189">
        <f t="shared" si="117"/>
        <v>3635381.75</v>
      </c>
      <c r="T93" s="3189">
        <f t="shared" si="117"/>
        <v>3635381.75</v>
      </c>
      <c r="U93">
        <f>ROUND(H93/365*($U$2-$T$2),2)</f>
        <v>737036.3</v>
      </c>
    </row>
    <row r="94" spans="1:21">
      <c r="A94" s="3147" t="s">
        <v>3544</v>
      </c>
      <c r="B94" s="3147" t="s">
        <v>3545</v>
      </c>
      <c r="C94" s="3152">
        <v>628.70000000000005</v>
      </c>
      <c r="D94" s="3152">
        <v>402.62</v>
      </c>
      <c r="E94" s="3147">
        <v>628.70000000000005</v>
      </c>
      <c r="F94" s="3147">
        <v>628.70000000000005</v>
      </c>
      <c r="G94" s="3148">
        <v>191410.58</v>
      </c>
      <c r="H94" s="3148">
        <v>2296926.96</v>
      </c>
      <c r="I94" s="3149">
        <v>44197</v>
      </c>
      <c r="J94" s="3149">
        <v>46022</v>
      </c>
      <c r="K94" s="1404" t="s">
        <v>3594</v>
      </c>
      <c r="L94" s="1404"/>
      <c r="M94">
        <v>1</v>
      </c>
      <c r="N94" s="3163">
        <f>H94/F94/365</f>
        <v>10.009464888408566</v>
      </c>
      <c r="O94">
        <f>ROUND(H94/365*($O$2-$D$124),2)</f>
        <v>358698.18</v>
      </c>
      <c r="P94" s="3189">
        <f>H94</f>
        <v>2296926.96</v>
      </c>
      <c r="Q94" s="3189">
        <f t="shared" ref="Q94:T94" si="118">P94</f>
        <v>2296926.96</v>
      </c>
      <c r="R94" s="3189">
        <f t="shared" si="118"/>
        <v>2296926.96</v>
      </c>
      <c r="S94" s="3189">
        <f t="shared" si="118"/>
        <v>2296926.96</v>
      </c>
      <c r="T94" s="3189">
        <f t="shared" si="118"/>
        <v>2296926.96</v>
      </c>
      <c r="U94">
        <f>ROUND(H94/365*($U$2-$T$2),2)</f>
        <v>465678.34</v>
      </c>
    </row>
    <row r="95" spans="1:21">
      <c r="A95" s="3147" t="s">
        <v>3546</v>
      </c>
      <c r="B95" s="3147" t="s">
        <v>3400</v>
      </c>
      <c r="C95" s="3147"/>
      <c r="D95" s="3147"/>
      <c r="E95" s="3150"/>
      <c r="F95" s="3150"/>
      <c r="G95" s="3147"/>
      <c r="H95" s="3147"/>
      <c r="I95" s="3147"/>
      <c r="J95" s="3147"/>
      <c r="K95" s="1404" t="s">
        <v>3594</v>
      </c>
      <c r="L95" s="1404" t="s">
        <v>3781</v>
      </c>
      <c r="M95">
        <v>1</v>
      </c>
      <c r="N95" s="3163"/>
      <c r="P95" s="3189"/>
    </row>
    <row r="96" spans="1:21">
      <c r="A96" s="3147" t="s">
        <v>3547</v>
      </c>
      <c r="B96" s="3147" t="s">
        <v>3548</v>
      </c>
      <c r="C96" s="3147">
        <v>421.61</v>
      </c>
      <c r="D96" s="3147">
        <v>421.61</v>
      </c>
      <c r="E96" s="3147">
        <v>421.61</v>
      </c>
      <c r="F96" s="3147">
        <v>421.61</v>
      </c>
      <c r="G96" s="3148">
        <v>206669.74</v>
      </c>
      <c r="H96" s="3148">
        <v>2480036.85</v>
      </c>
      <c r="I96" s="3149">
        <v>45642</v>
      </c>
      <c r="J96" s="3149">
        <v>47557</v>
      </c>
      <c r="K96" s="1404" t="s">
        <v>3594</v>
      </c>
      <c r="L96" s="1404"/>
      <c r="M96">
        <v>1</v>
      </c>
      <c r="N96" s="3163">
        <f>H96/F96/365</f>
        <v>16.115892665850705</v>
      </c>
      <c r="O96">
        <f>ROUND(H96/365*($O$2-$D$124),2)</f>
        <v>387293.43</v>
      </c>
      <c r="P96" s="3189">
        <f>H96</f>
        <v>2480036.85</v>
      </c>
      <c r="Q96" s="3189">
        <f t="shared" ref="Q96:T96" si="119">P96</f>
        <v>2480036.85</v>
      </c>
      <c r="R96" s="3189">
        <f t="shared" si="119"/>
        <v>2480036.85</v>
      </c>
      <c r="S96" s="3189">
        <f t="shared" si="119"/>
        <v>2480036.85</v>
      </c>
      <c r="T96" s="3189">
        <f t="shared" si="119"/>
        <v>2480036.85</v>
      </c>
      <c r="U96">
        <f>ROUND(H96/365*($U$2-$T$2),2)</f>
        <v>502801.99</v>
      </c>
    </row>
    <row r="97" spans="1:21">
      <c r="A97" s="3147" t="s">
        <v>3550</v>
      </c>
      <c r="B97" s="3147" t="s">
        <v>3569</v>
      </c>
      <c r="C97" s="3152">
        <v>916.91</v>
      </c>
      <c r="D97" s="3152">
        <v>587.19000000000005</v>
      </c>
      <c r="E97" s="3147">
        <v>916.91</v>
      </c>
      <c r="F97" s="3147">
        <v>916.91</v>
      </c>
      <c r="G97" s="3148">
        <v>285765.8</v>
      </c>
      <c r="H97" s="3148">
        <v>3429189.6</v>
      </c>
      <c r="I97" s="3149">
        <v>43845</v>
      </c>
      <c r="J97" s="3149">
        <v>45671</v>
      </c>
      <c r="K97" s="1404" t="s">
        <v>3594</v>
      </c>
      <c r="L97" s="1404"/>
      <c r="M97">
        <v>1</v>
      </c>
      <c r="N97" s="3163">
        <f>H97/F97/365</f>
        <v>10.246414588127516</v>
      </c>
      <c r="O97">
        <f>ROUND(H97/365*($O$2-$D$124),2)</f>
        <v>535517.28</v>
      </c>
      <c r="P97" s="3189">
        <f>H97</f>
        <v>3429189.6</v>
      </c>
      <c r="Q97" s="3189">
        <f t="shared" ref="Q97:T97" si="120">P97</f>
        <v>3429189.6</v>
      </c>
      <c r="R97" s="3189">
        <f t="shared" si="120"/>
        <v>3429189.6</v>
      </c>
      <c r="S97" s="3189">
        <f t="shared" si="120"/>
        <v>3429189.6</v>
      </c>
      <c r="T97" s="3189">
        <f t="shared" si="120"/>
        <v>3429189.6</v>
      </c>
      <c r="U97">
        <f>ROUND(H97/365*($U$2-$T$2),2)</f>
        <v>695232.96</v>
      </c>
    </row>
    <row r="98" spans="1:21">
      <c r="A98" s="3147" t="s">
        <v>3551</v>
      </c>
      <c r="B98" s="3147" t="s">
        <v>3400</v>
      </c>
      <c r="C98" s="3147"/>
      <c r="D98" s="3147"/>
      <c r="E98" s="3148">
        <v>1184.0999999999999</v>
      </c>
      <c r="F98" s="3148">
        <v>1184.0999999999999</v>
      </c>
      <c r="G98" s="3147"/>
      <c r="H98" s="3147"/>
      <c r="I98" s="3147"/>
      <c r="J98" s="3147"/>
      <c r="K98" s="1404" t="s">
        <v>3594</v>
      </c>
      <c r="L98" s="1404"/>
      <c r="M98">
        <v>1</v>
      </c>
      <c r="N98" s="3163"/>
      <c r="O98">
        <f>ROUND(E98*$G$131*(1-$G$128)*($O$92-$G$124),2)</f>
        <v>546698.97</v>
      </c>
      <c r="P98">
        <f>ROUND(E98*$G$131*(1-$G$128)*(1+$G$127)*365,2)</f>
        <v>3570807.48</v>
      </c>
      <c r="Q98" s="3189">
        <f>ROUND(E98*$G$131*(1-$G$128)^2*(1+$G$127)*365,2)</f>
        <v>3213726.73</v>
      </c>
      <c r="R98" s="3189">
        <f>ROUND(E98*$G$131*(1-$G$128)^3*(1+$G$127)*365,2)</f>
        <v>2892354.06</v>
      </c>
      <c r="S98" s="3189">
        <f>ROUND(E98*$G$131*(1-$G$128)^4*(1+$G$127)*365,2)</f>
        <v>2603118.66</v>
      </c>
      <c r="T98" s="3189">
        <f>ROUND(E98*$G$131*(1-$G$128)^5*(1+$G$127)*365,2)</f>
        <v>2342806.79</v>
      </c>
      <c r="U98">
        <f>ROUND(E98*$G$131*(1-$G$128)^6*(1+$G$127)*($U$92-$T$92),2)</f>
        <v>427482.01</v>
      </c>
    </row>
    <row r="99" spans="1:21">
      <c r="A99" s="3147" t="s">
        <v>3552</v>
      </c>
      <c r="B99" s="3147" t="s">
        <v>3400</v>
      </c>
      <c r="C99" s="3147"/>
      <c r="D99" s="3147"/>
      <c r="E99" s="3148">
        <v>1962.46</v>
      </c>
      <c r="F99" s="3148">
        <v>1962.46</v>
      </c>
      <c r="G99" s="3147"/>
      <c r="H99" s="3147"/>
      <c r="I99" s="3147"/>
      <c r="J99" s="3147"/>
      <c r="K99" s="1404" t="s">
        <v>3594</v>
      </c>
      <c r="L99" s="1404"/>
      <c r="M99">
        <v>1</v>
      </c>
      <c r="N99" s="3163"/>
      <c r="O99">
        <f>ROUND(E99*$G$131*(1-$G$128)*($O$92-$G$124),2)</f>
        <v>906067.78</v>
      </c>
      <c r="P99">
        <f>ROUND(E99*$G$131*(1-$G$128)*(1+$G$127)*365,2)</f>
        <v>5918053.25</v>
      </c>
      <c r="Q99" s="3189">
        <f>ROUND(E99*$G$131*(1-$G$128)^2*(1+$G$127)*365,2)</f>
        <v>5326247.92</v>
      </c>
      <c r="R99" s="3189">
        <f>ROUND(E99*$G$131*(1-$G$128)^3*(1+$G$127)*365,2)</f>
        <v>4793623.13</v>
      </c>
      <c r="S99" s="3189">
        <f>ROUND(E99*$G$131*(1-$G$128)^4*(1+$G$127)*365,2)</f>
        <v>4314260.82</v>
      </c>
      <c r="T99" s="3189">
        <f>ROUND(E99*$G$131*(1-$G$128)^5*(1+$G$127)*365,2)</f>
        <v>3882834.74</v>
      </c>
      <c r="U99">
        <f>ROUND(E99*$G$131*(1-$G$128)^6*(1+$G$127)*($U$92-$T$92),2)</f>
        <v>708484.37</v>
      </c>
    </row>
    <row r="100" spans="1:21">
      <c r="A100" s="3147" t="s">
        <v>3553</v>
      </c>
      <c r="B100" s="3147" t="s">
        <v>3568</v>
      </c>
      <c r="C100" s="3152">
        <v>936.91</v>
      </c>
      <c r="D100" s="3152">
        <v>600</v>
      </c>
      <c r="E100" s="3147">
        <v>936.91</v>
      </c>
      <c r="F100" s="3147">
        <v>936.91</v>
      </c>
      <c r="G100" s="3148">
        <v>96000</v>
      </c>
      <c r="H100" s="3148">
        <v>1152000</v>
      </c>
      <c r="I100" s="3149">
        <v>45311</v>
      </c>
      <c r="J100" s="3149">
        <v>47137</v>
      </c>
      <c r="K100" s="1404" t="s">
        <v>3594</v>
      </c>
      <c r="L100" s="1404"/>
      <c r="M100">
        <v>1</v>
      </c>
      <c r="N100" s="3163">
        <f>H100/F100/365</f>
        <v>3.3686953747549326</v>
      </c>
      <c r="O100">
        <f t="shared" ref="O100:O109" si="121">ROUND(H100/365*($O$2-$D$124),2)</f>
        <v>179901.37</v>
      </c>
      <c r="P100" s="3189">
        <f t="shared" ref="P100:P109" si="122">H100</f>
        <v>1152000</v>
      </c>
      <c r="Q100" s="3189">
        <f t="shared" ref="Q100:T100" si="123">P100</f>
        <v>1152000</v>
      </c>
      <c r="R100" s="3189">
        <f t="shared" si="123"/>
        <v>1152000</v>
      </c>
      <c r="S100" s="3189">
        <f t="shared" si="123"/>
        <v>1152000</v>
      </c>
      <c r="T100" s="3189">
        <f t="shared" si="123"/>
        <v>1152000</v>
      </c>
      <c r="U100">
        <f t="shared" ref="U100:U109" si="124">ROUND(H100/365*($U$2-$T$2),2)</f>
        <v>233556.16</v>
      </c>
    </row>
    <row r="101" spans="1:21">
      <c r="A101" s="3151" t="s">
        <v>3554</v>
      </c>
      <c r="B101" s="3147" t="s">
        <v>3567</v>
      </c>
      <c r="C101" s="3153">
        <v>4708.28</v>
      </c>
      <c r="D101" s="3153">
        <v>3015.18</v>
      </c>
      <c r="E101" s="3148">
        <v>4708.28</v>
      </c>
      <c r="F101" s="3148">
        <v>4708.28</v>
      </c>
      <c r="G101" s="3148">
        <v>482428.8</v>
      </c>
      <c r="H101" s="3148">
        <v>5789145.5999999996</v>
      </c>
      <c r="I101" s="3149">
        <v>45311</v>
      </c>
      <c r="J101" s="3149">
        <v>47137</v>
      </c>
      <c r="K101" s="1404" t="s">
        <v>3594</v>
      </c>
      <c r="L101" s="1404"/>
      <c r="M101" s="3154" t="s">
        <v>3595</v>
      </c>
      <c r="N101" s="3163">
        <f>H101/F101/365</f>
        <v>3.3686766455504618</v>
      </c>
      <c r="O101">
        <f t="shared" si="121"/>
        <v>904058.35</v>
      </c>
      <c r="P101" s="3189">
        <f t="shared" si="122"/>
        <v>5789145.5999999996</v>
      </c>
      <c r="Q101" s="3189">
        <f t="shared" ref="Q101:T101" si="125">P101</f>
        <v>5789145.5999999996</v>
      </c>
      <c r="R101" s="3189">
        <f t="shared" si="125"/>
        <v>5789145.5999999996</v>
      </c>
      <c r="S101" s="3189">
        <f t="shared" si="125"/>
        <v>5789145.5999999996</v>
      </c>
      <c r="T101" s="3189">
        <f t="shared" si="125"/>
        <v>5789145.5999999996</v>
      </c>
      <c r="U101">
        <f t="shared" si="124"/>
        <v>1173689.79</v>
      </c>
    </row>
    <row r="102" spans="1:21">
      <c r="A102" s="3147" t="s">
        <v>3555</v>
      </c>
      <c r="B102" s="3147" t="s">
        <v>3567</v>
      </c>
      <c r="C102" s="3152">
        <v>114.82</v>
      </c>
      <c r="D102" s="3152">
        <v>73.53</v>
      </c>
      <c r="E102" s="3147">
        <v>114.82</v>
      </c>
      <c r="F102" s="3147">
        <v>114.82</v>
      </c>
      <c r="G102" s="3148">
        <v>11764.8</v>
      </c>
      <c r="H102" s="3148">
        <v>141177.60000000001</v>
      </c>
      <c r="I102" s="3149">
        <v>45311</v>
      </c>
      <c r="J102" s="3149">
        <v>47137</v>
      </c>
      <c r="K102" s="1404" t="s">
        <v>3594</v>
      </c>
      <c r="L102" s="1404"/>
      <c r="M102">
        <v>2</v>
      </c>
      <c r="N102" s="3163">
        <f>H102/F102/365</f>
        <v>3.3686461000303041</v>
      </c>
      <c r="O102">
        <f t="shared" si="121"/>
        <v>22046.91</v>
      </c>
      <c r="P102" s="3189">
        <f t="shared" si="122"/>
        <v>141177.60000000001</v>
      </c>
      <c r="Q102" s="3189">
        <f t="shared" ref="Q102:T102" si="126">P102</f>
        <v>141177.60000000001</v>
      </c>
      <c r="R102" s="3189">
        <f t="shared" si="126"/>
        <v>141177.60000000001</v>
      </c>
      <c r="S102" s="3189">
        <f t="shared" si="126"/>
        <v>141177.60000000001</v>
      </c>
      <c r="T102" s="3189">
        <f t="shared" si="126"/>
        <v>141177.60000000001</v>
      </c>
      <c r="U102">
        <f t="shared" si="124"/>
        <v>28622.31</v>
      </c>
    </row>
    <row r="103" spans="1:21">
      <c r="A103" s="3147" t="s">
        <v>3556</v>
      </c>
      <c r="B103" s="3147" t="s">
        <v>3566</v>
      </c>
      <c r="C103" s="3150">
        <v>41.46</v>
      </c>
      <c r="D103" s="3150">
        <v>26.55</v>
      </c>
      <c r="E103" s="3150">
        <v>0</v>
      </c>
      <c r="F103" s="3150">
        <v>0</v>
      </c>
      <c r="G103" s="3148">
        <v>6000</v>
      </c>
      <c r="H103" s="3148">
        <v>72000</v>
      </c>
      <c r="I103" s="3149">
        <v>44900</v>
      </c>
      <c r="J103" s="3149">
        <v>45630</v>
      </c>
      <c r="K103" s="1404" t="s">
        <v>3594</v>
      </c>
      <c r="L103" s="1404"/>
      <c r="M103">
        <v>1</v>
      </c>
      <c r="N103" s="3164">
        <f>H103/C103/365</f>
        <v>4.757845488967746</v>
      </c>
      <c r="O103">
        <f t="shared" si="121"/>
        <v>11243.84</v>
      </c>
      <c r="P103" s="3189">
        <f t="shared" si="122"/>
        <v>72000</v>
      </c>
      <c r="Q103" s="3189">
        <f t="shared" ref="Q103:T103" si="127">P103</f>
        <v>72000</v>
      </c>
      <c r="R103" s="3189">
        <f t="shared" si="127"/>
        <v>72000</v>
      </c>
      <c r="S103" s="3189">
        <f t="shared" si="127"/>
        <v>72000</v>
      </c>
      <c r="T103" s="3189">
        <f t="shared" si="127"/>
        <v>72000</v>
      </c>
      <c r="U103">
        <f t="shared" si="124"/>
        <v>14597.26</v>
      </c>
    </row>
    <row r="104" spans="1:21">
      <c r="A104" s="3147" t="s">
        <v>3557</v>
      </c>
      <c r="B104" s="3147" t="s">
        <v>3565</v>
      </c>
      <c r="C104" s="3153">
        <v>1733.29</v>
      </c>
      <c r="D104" s="3153">
        <v>1110</v>
      </c>
      <c r="E104" s="3148">
        <v>1733.29</v>
      </c>
      <c r="F104" s="3148">
        <v>1733.29</v>
      </c>
      <c r="G104" s="3148">
        <v>372122.88</v>
      </c>
      <c r="H104" s="3148">
        <v>4465474.5</v>
      </c>
      <c r="I104" s="3149">
        <v>44347</v>
      </c>
      <c r="J104" s="3149">
        <v>46172</v>
      </c>
      <c r="K104" s="1404" t="s">
        <v>3594</v>
      </c>
      <c r="L104" s="1404"/>
      <c r="M104">
        <v>2</v>
      </c>
      <c r="N104" s="3163">
        <f>H104/F104/365</f>
        <v>7.0583553313806497</v>
      </c>
      <c r="O104">
        <f t="shared" si="121"/>
        <v>697348.07</v>
      </c>
      <c r="P104" s="3189">
        <f t="shared" si="122"/>
        <v>4465474.5</v>
      </c>
      <c r="Q104" s="3189">
        <f t="shared" ref="Q104:T104" si="128">P104</f>
        <v>4465474.5</v>
      </c>
      <c r="R104" s="3189">
        <f t="shared" si="128"/>
        <v>4465474.5</v>
      </c>
      <c r="S104" s="3189">
        <f t="shared" si="128"/>
        <v>4465474.5</v>
      </c>
      <c r="T104" s="3189">
        <f t="shared" si="128"/>
        <v>4465474.5</v>
      </c>
      <c r="U104">
        <f t="shared" si="124"/>
        <v>905329.08</v>
      </c>
    </row>
    <row r="105" spans="1:21">
      <c r="A105" s="3147" t="s">
        <v>3558</v>
      </c>
      <c r="B105" s="3147" t="s">
        <v>3564</v>
      </c>
      <c r="C105" s="3152">
        <v>507.57</v>
      </c>
      <c r="D105" s="3152">
        <v>325.05</v>
      </c>
      <c r="E105" s="3147">
        <v>507.57</v>
      </c>
      <c r="F105" s="3147">
        <v>507.57</v>
      </c>
      <c r="G105" s="3148">
        <v>54378.16</v>
      </c>
      <c r="H105" s="3148">
        <v>652537.92000000004</v>
      </c>
      <c r="I105" s="3149">
        <v>44720</v>
      </c>
      <c r="J105" s="3149">
        <v>45815</v>
      </c>
      <c r="K105" s="1404" t="s">
        <v>3594</v>
      </c>
      <c r="L105" s="1404"/>
      <c r="M105">
        <v>2</v>
      </c>
      <c r="N105" s="3163">
        <f>H105/F105/365</f>
        <v>3.5222237785678261</v>
      </c>
      <c r="O105">
        <f t="shared" si="121"/>
        <v>101903.18</v>
      </c>
      <c r="P105" s="3189">
        <f t="shared" si="122"/>
        <v>652537.92000000004</v>
      </c>
      <c r="Q105" s="3189">
        <f t="shared" ref="Q105:T105" si="129">P105</f>
        <v>652537.92000000004</v>
      </c>
      <c r="R105" s="3189">
        <f t="shared" si="129"/>
        <v>652537.92000000004</v>
      </c>
      <c r="S105" s="3189">
        <f t="shared" si="129"/>
        <v>652537.92000000004</v>
      </c>
      <c r="T105" s="3189">
        <f t="shared" si="129"/>
        <v>652537.92000000004</v>
      </c>
      <c r="U105">
        <f t="shared" si="124"/>
        <v>132295.35999999999</v>
      </c>
    </row>
    <row r="106" spans="1:21">
      <c r="A106" s="3147" t="s">
        <v>3559</v>
      </c>
      <c r="B106" s="3147" t="s">
        <v>3583</v>
      </c>
      <c r="C106" s="3147">
        <v>821.6</v>
      </c>
      <c r="D106" s="3147">
        <v>526.15</v>
      </c>
      <c r="E106" s="3147">
        <v>821.6</v>
      </c>
      <c r="F106" s="3147">
        <v>821.6</v>
      </c>
      <c r="G106" s="3148">
        <v>88020.5</v>
      </c>
      <c r="H106" s="3148">
        <v>1056246</v>
      </c>
      <c r="I106" s="3149">
        <v>44713</v>
      </c>
      <c r="J106" s="3149">
        <v>45808</v>
      </c>
      <c r="K106" s="1404" t="s">
        <v>3594</v>
      </c>
      <c r="L106" s="1404"/>
      <c r="M106">
        <v>2</v>
      </c>
      <c r="N106" s="3163">
        <f>H106/F106/365</f>
        <v>3.5221819103386642</v>
      </c>
      <c r="O106">
        <f t="shared" si="121"/>
        <v>164948.01</v>
      </c>
      <c r="P106" s="3189">
        <f t="shared" si="122"/>
        <v>1056246</v>
      </c>
      <c r="Q106" s="3189">
        <f t="shared" ref="Q106:T106" si="130">P106</f>
        <v>1056246</v>
      </c>
      <c r="R106" s="3189">
        <f t="shared" si="130"/>
        <v>1056246</v>
      </c>
      <c r="S106" s="3189">
        <f t="shared" si="130"/>
        <v>1056246</v>
      </c>
      <c r="T106" s="3189">
        <f t="shared" si="130"/>
        <v>1056246</v>
      </c>
      <c r="U106">
        <f t="shared" si="124"/>
        <v>214143.02</v>
      </c>
    </row>
    <row r="107" spans="1:21">
      <c r="A107" s="3147" t="s">
        <v>3560</v>
      </c>
      <c r="B107" s="3147" t="s">
        <v>3584</v>
      </c>
      <c r="C107" s="3148">
        <v>1169.1400000000001</v>
      </c>
      <c r="D107" s="3147">
        <v>748.72</v>
      </c>
      <c r="E107" s="3148">
        <v>1169.1400000000001</v>
      </c>
      <c r="F107" s="3148">
        <v>1169.1400000000001</v>
      </c>
      <c r="G107" s="3148">
        <v>168524.39</v>
      </c>
      <c r="H107" s="3148">
        <v>2022292.68</v>
      </c>
      <c r="I107" s="3149">
        <v>44870</v>
      </c>
      <c r="J107" s="3149">
        <v>45965</v>
      </c>
      <c r="K107" s="1404" t="s">
        <v>3594</v>
      </c>
      <c r="L107" s="1404"/>
      <c r="M107">
        <v>2</v>
      </c>
      <c r="N107" s="3163">
        <f>H107/F107/365</f>
        <v>4.7389772742451362</v>
      </c>
      <c r="O107">
        <f t="shared" si="121"/>
        <v>315810.09000000003</v>
      </c>
      <c r="P107" s="3189">
        <f t="shared" si="122"/>
        <v>2022292.68</v>
      </c>
      <c r="Q107" s="3189">
        <f t="shared" ref="Q107:T107" si="131">P107</f>
        <v>2022292.68</v>
      </c>
      <c r="R107" s="3189">
        <f t="shared" si="131"/>
        <v>2022292.68</v>
      </c>
      <c r="S107" s="3189">
        <f t="shared" si="131"/>
        <v>2022292.68</v>
      </c>
      <c r="T107" s="3189">
        <f t="shared" si="131"/>
        <v>2022292.68</v>
      </c>
      <c r="U107">
        <f t="shared" si="124"/>
        <v>409999.06</v>
      </c>
    </row>
    <row r="108" spans="1:21">
      <c r="A108" s="3147" t="s">
        <v>3561</v>
      </c>
      <c r="B108" s="3147" t="s">
        <v>3585</v>
      </c>
      <c r="C108" s="3147">
        <v>379.03</v>
      </c>
      <c r="D108" s="3147">
        <v>242.73</v>
      </c>
      <c r="E108" s="3147">
        <v>379.03</v>
      </c>
      <c r="F108" s="3147">
        <v>379.03</v>
      </c>
      <c r="G108" s="3148">
        <v>51681.26</v>
      </c>
      <c r="H108" s="3148">
        <v>620175.12</v>
      </c>
      <c r="I108" s="3149">
        <v>44696</v>
      </c>
      <c r="J108" s="3149">
        <v>45791</v>
      </c>
      <c r="K108" s="1404" t="s">
        <v>3594</v>
      </c>
      <c r="L108" s="1404"/>
      <c r="M108">
        <v>2</v>
      </c>
      <c r="N108" s="3163">
        <f>H108/F108/365</f>
        <v>4.482784786977863</v>
      </c>
      <c r="O108">
        <f t="shared" si="121"/>
        <v>96849.27</v>
      </c>
      <c r="P108" s="3189">
        <f t="shared" si="122"/>
        <v>620175.12</v>
      </c>
      <c r="Q108" s="3189">
        <f t="shared" ref="Q108:T108" si="132">P108</f>
        <v>620175.12</v>
      </c>
      <c r="R108" s="3189">
        <f t="shared" si="132"/>
        <v>620175.12</v>
      </c>
      <c r="S108" s="3189">
        <f t="shared" si="132"/>
        <v>620175.12</v>
      </c>
      <c r="T108" s="3189">
        <f t="shared" si="132"/>
        <v>620175.12</v>
      </c>
      <c r="U108">
        <f t="shared" si="124"/>
        <v>125734.13</v>
      </c>
    </row>
    <row r="109" spans="1:21">
      <c r="A109" s="3147" t="s">
        <v>3562</v>
      </c>
      <c r="B109" s="3147" t="s">
        <v>3586</v>
      </c>
      <c r="C109" s="3147">
        <v>216.11</v>
      </c>
      <c r="D109" s="3147">
        <v>138.4</v>
      </c>
      <c r="E109" s="3147">
        <v>0</v>
      </c>
      <c r="F109" s="3147">
        <v>0</v>
      </c>
      <c r="G109" s="3148">
        <v>31572.5</v>
      </c>
      <c r="H109" s="3148">
        <v>378861.7</v>
      </c>
      <c r="I109" s="3149">
        <v>44866</v>
      </c>
      <c r="J109" s="3149">
        <v>45961</v>
      </c>
      <c r="K109" s="1404" t="s">
        <v>3594</v>
      </c>
      <c r="L109" s="1404"/>
      <c r="M109">
        <v>2</v>
      </c>
      <c r="N109" s="3164">
        <f>H109/C109/365</f>
        <v>4.8030043046317736</v>
      </c>
      <c r="O109">
        <f t="shared" si="121"/>
        <v>59164.7</v>
      </c>
      <c r="P109" s="3189">
        <f t="shared" si="122"/>
        <v>378861.7</v>
      </c>
      <c r="Q109" s="3189">
        <f t="shared" ref="Q109:T109" si="133">P109</f>
        <v>378861.7</v>
      </c>
      <c r="R109" s="3189">
        <f t="shared" si="133"/>
        <v>378861.7</v>
      </c>
      <c r="S109" s="3189">
        <f t="shared" si="133"/>
        <v>378861.7</v>
      </c>
      <c r="T109" s="3189">
        <f t="shared" si="133"/>
        <v>378861.7</v>
      </c>
      <c r="U109">
        <f t="shared" si="124"/>
        <v>76810.320000000007</v>
      </c>
    </row>
    <row r="110" spans="1:21">
      <c r="A110" s="3147" t="s">
        <v>3563</v>
      </c>
      <c r="B110" s="3147" t="s">
        <v>3400</v>
      </c>
      <c r="C110" s="3147"/>
      <c r="D110" s="3147"/>
      <c r="E110" s="3147">
        <v>0</v>
      </c>
      <c r="F110" s="3147">
        <v>0</v>
      </c>
      <c r="G110" s="3147"/>
      <c r="H110" s="3147"/>
      <c r="I110" s="3147"/>
      <c r="J110" s="3147"/>
      <c r="K110" s="1404" t="s">
        <v>3594</v>
      </c>
      <c r="L110" s="1404" t="s">
        <v>3781</v>
      </c>
      <c r="M110">
        <v>2</v>
      </c>
      <c r="N110" s="3163"/>
    </row>
    <row r="111" spans="1:21">
      <c r="A111" s="3147" t="s">
        <v>3570</v>
      </c>
      <c r="B111" s="3147" t="s">
        <v>3400</v>
      </c>
      <c r="C111" s="3147"/>
      <c r="D111" s="3147"/>
      <c r="E111" s="3147">
        <v>0</v>
      </c>
      <c r="F111" s="3147">
        <v>0</v>
      </c>
      <c r="G111" s="3147"/>
      <c r="H111" s="3147"/>
      <c r="I111" s="3147"/>
      <c r="J111" s="3147"/>
      <c r="K111" s="1404" t="s">
        <v>3594</v>
      </c>
      <c r="L111" s="1404" t="s">
        <v>3781</v>
      </c>
      <c r="M111">
        <v>2</v>
      </c>
      <c r="N111" s="3163"/>
    </row>
    <row r="112" spans="1:21">
      <c r="A112" s="3147" t="s">
        <v>3571</v>
      </c>
      <c r="B112" s="3147" t="s">
        <v>3400</v>
      </c>
      <c r="C112" s="3147"/>
      <c r="D112" s="3147"/>
      <c r="E112" s="3147"/>
      <c r="F112" s="3147">
        <v>587.1</v>
      </c>
      <c r="G112" s="3147"/>
      <c r="H112" s="3147"/>
      <c r="I112" s="3147"/>
      <c r="J112" s="3147"/>
      <c r="K112" s="1404" t="s">
        <v>3594</v>
      </c>
      <c r="L112" s="1404"/>
      <c r="M112">
        <v>2</v>
      </c>
      <c r="N112" s="3163"/>
      <c r="O112">
        <f>ROUND(F112*$G$131*(1-$G$128)*($O$92-$G$124),2)</f>
        <v>271064.07</v>
      </c>
      <c r="P112">
        <f>ROUND(F112*$G$131*(1-$G$128)*(1+$G$127)*365,2)</f>
        <v>1770476.37</v>
      </c>
      <c r="Q112" s="3189">
        <f>ROUND(F112*$G$131*(1-$G$128)^2*(1+$G$127)*365,2)</f>
        <v>1593428.74</v>
      </c>
      <c r="R112" s="3189">
        <f>ROUND(F112*$G$131*(1-$G$128)^3*(1+$G$127)*365,2)</f>
        <v>1434085.86</v>
      </c>
      <c r="S112" s="3189">
        <f>ROUND(F112*$G$131*(1-$G$128)^4*(1+$G$127)*365,2)</f>
        <v>1290677.28</v>
      </c>
      <c r="T112" s="3189">
        <f>ROUND(F112*$G$131*(1-$G$128)^5*(1+$G$127)*365,2)</f>
        <v>1161609.55</v>
      </c>
      <c r="U112">
        <f>ROUND(F112*$G$131*(1-$G$128)^6*(1+$G$127)*($U$92-$T$92),2)</f>
        <v>211953.96</v>
      </c>
    </row>
    <row r="113" spans="1:21">
      <c r="A113" s="3147" t="s">
        <v>3572</v>
      </c>
      <c r="B113" s="3147" t="s">
        <v>3400</v>
      </c>
      <c r="C113" s="3147"/>
      <c r="D113" s="3147"/>
      <c r="E113" s="3148">
        <v>1600.91</v>
      </c>
      <c r="F113" s="3148">
        <v>1600.91</v>
      </c>
      <c r="G113" s="3147"/>
      <c r="H113" s="3147"/>
      <c r="I113" s="3147"/>
      <c r="J113" s="3147"/>
      <c r="K113" s="1404" t="s">
        <v>3594</v>
      </c>
      <c r="L113" s="1404"/>
      <c r="M113">
        <v>2</v>
      </c>
      <c r="N113" s="3163"/>
      <c r="O113">
        <f t="shared" ref="O113" si="134">ROUND(E113*$G$131*(1-$G$128)*($O$92-$G$124),2)</f>
        <v>739140.15</v>
      </c>
      <c r="P113">
        <f>ROUND(E113*$G$131*(1-$G$128)*(1+$G$127)*365,2)</f>
        <v>4827752.22</v>
      </c>
      <c r="Q113" s="3189">
        <f>ROUND(E113*$G$131*(1-$G$128)^2*(1+$G$127)*365,2)</f>
        <v>4344977</v>
      </c>
      <c r="R113" s="3189">
        <f>ROUND(E113*$G$131*(1-$G$128)^3*(1+$G$127)*365,2)</f>
        <v>3910479.3</v>
      </c>
      <c r="S113" s="3189">
        <f>ROUND(E113*$G$131*(1-$G$128)^4*(1+$G$127)*365,2)</f>
        <v>3519431.37</v>
      </c>
      <c r="T113" s="3189">
        <f>ROUND(E113*$G$131*(1-$G$128)^5*(1+$G$127)*365,2)</f>
        <v>3167488.23</v>
      </c>
      <c r="U113">
        <f>ROUND(E113*$G$131*(1-$G$128)^6*(1+$G$127)*($U$92-$T$92),2)</f>
        <v>577958.13</v>
      </c>
    </row>
    <row r="114" spans="1:21">
      <c r="A114" s="3147" t="s">
        <v>3573</v>
      </c>
      <c r="B114" s="3147" t="s">
        <v>3400</v>
      </c>
      <c r="C114" s="3147"/>
      <c r="D114" s="3147"/>
      <c r="E114" s="3147">
        <v>0</v>
      </c>
      <c r="F114" s="3147">
        <v>0</v>
      </c>
      <c r="G114" s="3147"/>
      <c r="H114" s="3147"/>
      <c r="I114" s="3147"/>
      <c r="J114" s="3147"/>
      <c r="K114" s="1404" t="s">
        <v>3594</v>
      </c>
      <c r="L114" s="1404" t="s">
        <v>3781</v>
      </c>
      <c r="M114">
        <v>2</v>
      </c>
      <c r="N114" s="3163"/>
    </row>
    <row r="115" spans="1:21">
      <c r="A115" s="3147" t="s">
        <v>3574</v>
      </c>
      <c r="B115" s="3147" t="s">
        <v>3400</v>
      </c>
      <c r="C115" s="3147"/>
      <c r="D115" s="3147"/>
      <c r="E115" s="3148">
        <v>2076.4499999999998</v>
      </c>
      <c r="F115" s="3148">
        <v>2076.4499999999998</v>
      </c>
      <c r="G115" s="3147"/>
      <c r="H115" s="3147"/>
      <c r="I115" s="3147"/>
      <c r="J115" s="3147"/>
      <c r="K115" s="1404" t="s">
        <v>3594</v>
      </c>
      <c r="L115" s="1404"/>
      <c r="M115">
        <v>2</v>
      </c>
      <c r="N115" s="3163"/>
      <c r="O115">
        <f>ROUND(E115*$G$131*(1-$G$128)*($O$92-$G$124),2)</f>
        <v>958696.97</v>
      </c>
      <c r="P115">
        <f>ROUND(E115*$G$131*(1-$G$128)*(1+$G$127)*365,2)</f>
        <v>6261804.9100000001</v>
      </c>
      <c r="Q115" s="3189">
        <f>ROUND(E115*$G$131*(1-$G$128)^2*(1+$G$127)*365,2)</f>
        <v>5635624.4199999999</v>
      </c>
      <c r="R115" s="3189">
        <f>ROUND(E115*$G$131*(1-$G$128)^3*(1+$G$127)*365,2)</f>
        <v>5072061.9800000004</v>
      </c>
      <c r="S115" s="3189">
        <f>ROUND(E115*$G$131*(1-$G$128)^4*(1+$G$127)*365,2)</f>
        <v>4564855.78</v>
      </c>
      <c r="T115" s="3189">
        <f>ROUND(E115*$G$131*(1-$G$128)^5*(1+$G$127)*365,2)</f>
        <v>4108370.2</v>
      </c>
      <c r="U115">
        <f>ROUND(E115*$G$131*(1-$G$128)^6*(1+$G$127)*($U$92-$T$92),2)</f>
        <v>749636.86</v>
      </c>
    </row>
    <row r="116" spans="1:21">
      <c r="A116" s="3147" t="s">
        <v>3575</v>
      </c>
      <c r="B116" s="3147" t="s">
        <v>3400</v>
      </c>
      <c r="C116" s="3147"/>
      <c r="D116" s="3147"/>
      <c r="E116" s="3147">
        <v>0</v>
      </c>
      <c r="F116" s="3147">
        <v>0</v>
      </c>
      <c r="G116" s="3147"/>
      <c r="H116" s="3147"/>
      <c r="I116" s="3147"/>
      <c r="J116" s="3147"/>
      <c r="K116" s="1404" t="s">
        <v>3594</v>
      </c>
      <c r="L116" s="1404" t="s">
        <v>3781</v>
      </c>
      <c r="M116">
        <v>2</v>
      </c>
      <c r="N116" s="3163"/>
    </row>
    <row r="117" spans="1:21">
      <c r="A117" s="3147" t="s">
        <v>3576</v>
      </c>
      <c r="B117" s="3147" t="s">
        <v>3400</v>
      </c>
      <c r="C117" s="3147"/>
      <c r="D117" s="3147"/>
      <c r="E117" s="3148">
        <v>1465.9</v>
      </c>
      <c r="F117" s="3148">
        <v>1465.9</v>
      </c>
      <c r="G117" s="3147"/>
      <c r="H117" s="3147"/>
      <c r="I117" s="3147"/>
      <c r="J117" s="3147"/>
      <c r="K117" s="1404" t="s">
        <v>3594</v>
      </c>
      <c r="L117" s="1404"/>
      <c r="M117">
        <v>2</v>
      </c>
      <c r="N117" s="3163"/>
      <c r="O117">
        <f>ROUND(E117*$G$131*(1-$G$128)*($O$92-$G$124),2)</f>
        <v>676806.03</v>
      </c>
      <c r="P117">
        <f>ROUND(E117*$G$131*(1-$G$128)*(1+$G$127)*365,2)</f>
        <v>4420612.0199999996</v>
      </c>
      <c r="Q117" s="3189">
        <f>ROUND(E117*$G$131*(1-$G$128)^2*(1+$G$127)*365,2)</f>
        <v>3978550.82</v>
      </c>
      <c r="R117" s="3189">
        <f>ROUND(E117*$G$131*(1-$G$128)^3*(1+$G$127)*365,2)</f>
        <v>3580695.73</v>
      </c>
      <c r="S117" s="3189">
        <f>ROUND(E117*$G$131*(1-$G$128)^4*(1+$G$127)*365,2)</f>
        <v>3222626.16</v>
      </c>
      <c r="T117" s="3189">
        <f>ROUND(E117*$G$131*(1-$G$128)^5*(1+$G$127)*365,2)</f>
        <v>2900363.54</v>
      </c>
      <c r="U117">
        <f>ROUND(E117*$G$131*(1-$G$128)^6*(1+$G$127)*($U$92-$T$92),2)</f>
        <v>529217.02</v>
      </c>
    </row>
    <row r="118" spans="1:21">
      <c r="A118" s="3147" t="s">
        <v>3577</v>
      </c>
      <c r="B118" s="3147" t="s">
        <v>3438</v>
      </c>
      <c r="C118" s="3147">
        <v>209.24</v>
      </c>
      <c r="D118" s="3147">
        <v>209.24</v>
      </c>
      <c r="E118" s="3147">
        <v>209.24</v>
      </c>
      <c r="F118" s="3147">
        <v>209.24</v>
      </c>
      <c r="G118" s="3148">
        <v>37663.199999999997</v>
      </c>
      <c r="H118" s="3148">
        <v>451958.4</v>
      </c>
      <c r="I118" s="3149">
        <v>45505</v>
      </c>
      <c r="J118" s="3149">
        <v>46142</v>
      </c>
      <c r="K118" s="1404" t="s">
        <v>3594</v>
      </c>
      <c r="L118" s="1404"/>
      <c r="M118">
        <v>2</v>
      </c>
      <c r="N118" s="3163">
        <f>H118/F118/365</f>
        <v>5.9178082191780819</v>
      </c>
      <c r="O118">
        <f>ROUND(H118/365*($O$2-$D$124),2)</f>
        <v>70579.8</v>
      </c>
      <c r="P118" s="3189">
        <f t="shared" ref="P118:T118" si="135">O118</f>
        <v>70579.8</v>
      </c>
      <c r="Q118" s="3189">
        <f t="shared" si="135"/>
        <v>70579.8</v>
      </c>
      <c r="R118" s="3189">
        <f t="shared" si="135"/>
        <v>70579.8</v>
      </c>
      <c r="S118" s="3189">
        <f t="shared" si="135"/>
        <v>70579.8</v>
      </c>
      <c r="T118" s="3189">
        <f t="shared" si="135"/>
        <v>70579.8</v>
      </c>
      <c r="U118">
        <f>ROUND(H118/365*($U$2-$T$2),2)</f>
        <v>91629.92</v>
      </c>
    </row>
    <row r="119" spans="1:21">
      <c r="A119" s="3147" t="s">
        <v>3578</v>
      </c>
      <c r="B119" s="3147" t="s">
        <v>3400</v>
      </c>
      <c r="C119" s="3147"/>
      <c r="D119" s="3147"/>
      <c r="E119" s="3147">
        <v>123.17</v>
      </c>
      <c r="F119" s="3147">
        <v>123.17</v>
      </c>
      <c r="G119" s="3147"/>
      <c r="H119" s="3147"/>
      <c r="I119" s="3147"/>
      <c r="J119" s="3147"/>
      <c r="K119" s="1404" t="s">
        <v>3594</v>
      </c>
      <c r="L119" s="1404"/>
      <c r="M119">
        <v>2</v>
      </c>
      <c r="N119" s="3163"/>
      <c r="O119">
        <f>ROUND(E119*$G$131*(1-$G$128)*($O$92-$G$124),2)</f>
        <v>56867.59</v>
      </c>
      <c r="P119">
        <f>ROUND(E119*$G$131*(1-$G$128)*(1+$G$127)*365,2)</f>
        <v>371435.15</v>
      </c>
      <c r="Q119" s="3189">
        <f>ROUND(E119*$G$131*(1-$G$128)^2*(1+$G$127)*365,2)</f>
        <v>334291.63</v>
      </c>
      <c r="R119" s="3189">
        <f>ROUND(E119*$G$131*(1-$G$128)^3*(1+$G$127)*365,2)</f>
        <v>300862.46999999997</v>
      </c>
      <c r="S119" s="3189">
        <f>ROUND(E119*$G$131*(1-$G$128)^4*(1+$G$127)*365,2)</f>
        <v>270776.21999999997</v>
      </c>
      <c r="T119" s="3189">
        <f>ROUND(E119*$G$131*(1-$G$128)^5*(1+$G$127)*365,2)</f>
        <v>243698.6</v>
      </c>
      <c r="U119">
        <f>ROUND(E119*$G$131*(1-$G$128)^6*(1+$G$127)*($U$92-$T$92),2)</f>
        <v>44466.65</v>
      </c>
    </row>
    <row r="120" spans="1:21">
      <c r="A120" s="3147" t="s">
        <v>3579</v>
      </c>
      <c r="B120" s="3147" t="s">
        <v>3587</v>
      </c>
      <c r="C120" s="3147">
        <v>948.44</v>
      </c>
      <c r="D120" s="3147">
        <v>948.44</v>
      </c>
      <c r="E120" s="3147">
        <v>942.3</v>
      </c>
      <c r="F120" s="3147">
        <v>942.3</v>
      </c>
      <c r="G120" s="3148">
        <v>190399.33</v>
      </c>
      <c r="H120" s="3148">
        <v>2284791.96</v>
      </c>
      <c r="I120" s="3149">
        <v>45317</v>
      </c>
      <c r="J120" s="3149">
        <v>45621</v>
      </c>
      <c r="K120" s="1404" t="s">
        <v>3594</v>
      </c>
      <c r="L120" s="1404"/>
      <c r="M120">
        <v>3</v>
      </c>
      <c r="N120" s="3163">
        <f>H120/F120/365</f>
        <v>6.6430054122890798</v>
      </c>
      <c r="O120">
        <f t="shared" ref="O120:O121" si="136">ROUND(H120/365*($O$2-$D$124),2)</f>
        <v>356803.13</v>
      </c>
      <c r="P120" s="3189">
        <f t="shared" ref="P120:T120" si="137">O120</f>
        <v>356803.13</v>
      </c>
      <c r="Q120" s="3189">
        <f t="shared" si="137"/>
        <v>356803.13</v>
      </c>
      <c r="R120" s="3189">
        <f t="shared" si="137"/>
        <v>356803.13</v>
      </c>
      <c r="S120" s="3189">
        <f t="shared" si="137"/>
        <v>356803.13</v>
      </c>
      <c r="T120" s="3189">
        <f t="shared" si="137"/>
        <v>356803.13</v>
      </c>
      <c r="U120">
        <f>ROUND(H120/365*($U$2-$T$2),2)</f>
        <v>463218.1</v>
      </c>
    </row>
    <row r="121" spans="1:21">
      <c r="A121" s="3147" t="s">
        <v>3582</v>
      </c>
      <c r="B121" s="3147" t="s">
        <v>3589</v>
      </c>
      <c r="C121" s="3147">
        <v>128.66999999999999</v>
      </c>
      <c r="D121" s="3147">
        <v>82.4</v>
      </c>
      <c r="E121" s="3147"/>
      <c r="F121" s="3147"/>
      <c r="G121" s="3148">
        <v>8000</v>
      </c>
      <c r="H121" s="3148">
        <v>95982.82</v>
      </c>
      <c r="I121" s="3149">
        <v>44713</v>
      </c>
      <c r="J121" s="3149">
        <v>45808</v>
      </c>
      <c r="K121" s="1404" t="s">
        <v>3594</v>
      </c>
      <c r="L121" s="1404"/>
      <c r="M121">
        <v>1</v>
      </c>
      <c r="N121" s="3164">
        <f>H121/C121/365</f>
        <v>2.0437291531591382</v>
      </c>
      <c r="O121">
        <f t="shared" si="136"/>
        <v>14989.1</v>
      </c>
      <c r="P121" s="3189">
        <f t="shared" ref="P121:T121" si="138">O121</f>
        <v>14989.1</v>
      </c>
      <c r="Q121" s="3189">
        <f t="shared" si="138"/>
        <v>14989.1</v>
      </c>
      <c r="R121" s="3189">
        <f t="shared" si="138"/>
        <v>14989.1</v>
      </c>
      <c r="S121" s="3189">
        <f t="shared" si="138"/>
        <v>14989.1</v>
      </c>
      <c r="T121" s="3189">
        <f t="shared" si="138"/>
        <v>14989.1</v>
      </c>
      <c r="U121">
        <f>ROUND(H121/365*($U$2-$T$2),2)</f>
        <v>19459.53</v>
      </c>
    </row>
    <row r="122" spans="1:21">
      <c r="O122">
        <f>SUM(O93:O121)</f>
        <v>9000213.4199999999</v>
      </c>
      <c r="P122">
        <f t="shared" ref="P122:U122" si="139">SUM(P93:P121)</f>
        <v>55774759.710000001</v>
      </c>
      <c r="Q122">
        <f t="shared" si="139"/>
        <v>53060665.570000015</v>
      </c>
      <c r="R122">
        <f t="shared" si="139"/>
        <v>50617980.839999996</v>
      </c>
      <c r="S122">
        <f t="shared" si="139"/>
        <v>48419564.600000009</v>
      </c>
      <c r="T122">
        <f t="shared" si="139"/>
        <v>46440989.960000001</v>
      </c>
      <c r="U122">
        <f t="shared" si="139"/>
        <v>9539032.6299999971</v>
      </c>
    </row>
    <row r="124" spans="1:21">
      <c r="C124" s="1404" t="s">
        <v>3756</v>
      </c>
      <c r="D124" s="3186">
        <f>项目基本情况!D3</f>
        <v>45600</v>
      </c>
      <c r="F124" s="1404" t="s">
        <v>3756</v>
      </c>
      <c r="G124" s="3186">
        <f>D124</f>
        <v>45600</v>
      </c>
    </row>
    <row r="125" spans="1:21">
      <c r="C125" s="1404" t="s">
        <v>3757</v>
      </c>
      <c r="D125" s="3186">
        <v>47557</v>
      </c>
      <c r="F125" s="1404" t="s">
        <v>3772</v>
      </c>
      <c r="G125" s="3186">
        <v>47557</v>
      </c>
    </row>
    <row r="126" spans="1:21">
      <c r="C126" s="1404" t="s">
        <v>3758</v>
      </c>
      <c r="D126">
        <f>ROUND((D125-D124)/365,2)</f>
        <v>5.36</v>
      </c>
      <c r="F126" s="1404" t="s">
        <v>3773</v>
      </c>
      <c r="G126">
        <f>ROUND((G125-G124)/365,2)</f>
        <v>5.36</v>
      </c>
    </row>
    <row r="127" spans="1:21">
      <c r="C127" s="1404" t="s">
        <v>3759</v>
      </c>
      <c r="D127" s="3187">
        <v>0.02</v>
      </c>
      <c r="F127" s="1404" t="s">
        <v>3759</v>
      </c>
      <c r="G127" s="3187">
        <v>0.02</v>
      </c>
    </row>
    <row r="128" spans="1:21">
      <c r="C128" s="1404" t="s">
        <v>3760</v>
      </c>
      <c r="D128" s="3187">
        <v>0.1</v>
      </c>
      <c r="F128" s="1404" t="s">
        <v>3760</v>
      </c>
      <c r="G128" s="3187">
        <v>0.1</v>
      </c>
    </row>
    <row r="129" spans="3:9">
      <c r="C129" s="1404" t="s">
        <v>3761</v>
      </c>
      <c r="D129">
        <v>8.5</v>
      </c>
      <c r="F129" s="1404"/>
    </row>
    <row r="130" spans="3:9">
      <c r="C130" s="1404" t="s">
        <v>3769</v>
      </c>
      <c r="D130">
        <f>SUM(O89:U89)</f>
        <v>1122086854.9900002</v>
      </c>
      <c r="F130" s="1404" t="s">
        <v>3782</v>
      </c>
      <c r="G130">
        <v>15</v>
      </c>
    </row>
    <row r="131" spans="3:9">
      <c r="C131" s="1404" t="s">
        <v>3770</v>
      </c>
      <c r="D131">
        <f>ROUND(D130/(SUM(E3:E88)+C86+C87)/D126/365,2)</f>
        <v>7.89</v>
      </c>
      <c r="F131" s="1404" t="s">
        <v>3783</v>
      </c>
      <c r="G131">
        <v>9</v>
      </c>
    </row>
    <row r="132" spans="3:9">
      <c r="C132" s="1404" t="s">
        <v>3771</v>
      </c>
      <c r="D132">
        <f>ROUND(D129*(1+D127)^6,2)</f>
        <v>9.57</v>
      </c>
      <c r="F132" s="1404" t="s">
        <v>3784</v>
      </c>
      <c r="G132">
        <v>6.5</v>
      </c>
    </row>
    <row r="133" spans="3:9">
      <c r="C133" s="1404" t="s">
        <v>3786</v>
      </c>
      <c r="D133" s="3193">
        <f>SUM(E3:E88)+C86+C87</f>
        <v>72720.140000000014</v>
      </c>
      <c r="F133" s="1404" t="s">
        <v>3778</v>
      </c>
      <c r="G133">
        <f>SUM(O122:U122)</f>
        <v>272853206.73000008</v>
      </c>
    </row>
    <row r="134" spans="3:9">
      <c r="F134" s="1404" t="s">
        <v>3779</v>
      </c>
      <c r="G134">
        <f>ROUND(G133/(SUM(E93:E121)+C121+F112+C103)/G126/365,2)</f>
        <v>5.92</v>
      </c>
    </row>
    <row r="135" spans="3:9">
      <c r="F135" s="1404" t="s">
        <v>3780</v>
      </c>
      <c r="G135">
        <f>ROUND(I141*(1+G127)^6,2)</f>
        <v>8.86</v>
      </c>
    </row>
    <row r="136" spans="3:9">
      <c r="F136" s="1404" t="s">
        <v>3785</v>
      </c>
      <c r="G136">
        <f>SUM(E93:E121)+C121+F112+C103</f>
        <v>23564.51</v>
      </c>
    </row>
    <row r="137" spans="3:9">
      <c r="G137" t="s">
        <v>3774</v>
      </c>
      <c r="H137" s="1404" t="s">
        <v>3777</v>
      </c>
      <c r="I137" s="1404" t="s">
        <v>3761</v>
      </c>
    </row>
    <row r="138" spans="3:9">
      <c r="F138" s="1404" t="s">
        <v>3775</v>
      </c>
      <c r="G138">
        <f>面积!B6</f>
        <v>12527.07</v>
      </c>
      <c r="H138">
        <v>1</v>
      </c>
      <c r="I138">
        <v>10</v>
      </c>
    </row>
    <row r="139" spans="3:9">
      <c r="F139" s="1404" t="s">
        <v>3776</v>
      </c>
      <c r="G139">
        <f>面积!B7</f>
        <v>14301.15</v>
      </c>
      <c r="H139">
        <v>0.6</v>
      </c>
      <c r="I139">
        <f>I138*H139</f>
        <v>6</v>
      </c>
    </row>
    <row r="140" spans="3:9">
      <c r="F140" s="1404"/>
      <c r="I140">
        <f>I138*G138+I139*G139</f>
        <v>211077.59999999998</v>
      </c>
    </row>
    <row r="141" spans="3:9">
      <c r="I141">
        <f>ROUND(I140/(G138+G139),2)</f>
        <v>7.87</v>
      </c>
    </row>
    <row r="142" spans="3:9">
      <c r="I142" s="3163">
        <f>I141*G145</f>
        <v>6.9125977683200741</v>
      </c>
    </row>
    <row r="144" spans="3:9">
      <c r="C144" s="3193">
        <f>D133</f>
        <v>72720.140000000014</v>
      </c>
      <c r="F144">
        <f>G136</f>
        <v>23564.51</v>
      </c>
    </row>
    <row r="145" spans="3:7">
      <c r="C145">
        <f>'数据-汇总表'!F20</f>
        <v>72100.340000000011</v>
      </c>
      <c r="F145">
        <f>'数据-基础表'!I13</f>
        <v>26828.22</v>
      </c>
      <c r="G145">
        <f>F144/F145</f>
        <v>0.87834787399238556</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90193-A71D-4B7B-A81A-8A7A5C273C67}">
  <dimension ref="A1"/>
  <sheetViews>
    <sheetView topLeftCell="A22" zoomScale="70" zoomScaleNormal="70" workbookViewId="0">
      <selection activeCell="Q46" sqref="Q46"/>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42284-FC6D-4454-8B37-1A8AB48DB11A}">
  <dimension ref="A1:P3"/>
  <sheetViews>
    <sheetView workbookViewId="0">
      <selection activeCell="F2" sqref="F2"/>
    </sheetView>
  </sheetViews>
  <sheetFormatPr defaultRowHeight="13.5"/>
  <cols>
    <col min="1" max="1" width="9" customWidth="1"/>
    <col min="8" max="8" width="11.5" customWidth="1"/>
    <col min="9" max="9" width="10.5" bestFit="1" customWidth="1"/>
    <col min="12" max="12" width="10.5" bestFit="1" customWidth="1"/>
  </cols>
  <sheetData>
    <row r="1" spans="1:16" ht="54">
      <c r="A1" s="3181" t="s">
        <v>3734</v>
      </c>
      <c r="B1" s="3181" t="s">
        <v>3735</v>
      </c>
      <c r="C1" s="3181" t="s">
        <v>3729</v>
      </c>
      <c r="D1" s="3181" t="s">
        <v>3736</v>
      </c>
      <c r="E1" s="3181" t="s">
        <v>3737</v>
      </c>
      <c r="F1" s="3181" t="s">
        <v>3730</v>
      </c>
      <c r="G1" s="3181" t="s">
        <v>3730</v>
      </c>
      <c r="H1" s="3181" t="s">
        <v>3733</v>
      </c>
      <c r="I1" s="3182">
        <v>45104</v>
      </c>
      <c r="J1" s="3181" t="s">
        <v>3731</v>
      </c>
      <c r="K1" s="3181" t="s">
        <v>3732</v>
      </c>
      <c r="L1" s="3183">
        <v>48000</v>
      </c>
      <c r="M1" s="3183">
        <v>45388</v>
      </c>
      <c r="N1" s="3183">
        <v>10575.42</v>
      </c>
      <c r="O1" s="3181" t="s">
        <v>3738</v>
      </c>
      <c r="P1" s="3181" t="s">
        <v>3739</v>
      </c>
    </row>
    <row r="2" spans="1:16" s="1155" customFormat="1" ht="57">
      <c r="A2" s="3185" t="s">
        <v>3749</v>
      </c>
      <c r="B2" s="3185" t="s">
        <v>3750</v>
      </c>
      <c r="C2" s="3177" t="s">
        <v>3729</v>
      </c>
      <c r="D2" s="3177" t="s">
        <v>3751</v>
      </c>
      <c r="E2" s="3177" t="s">
        <v>3752</v>
      </c>
      <c r="F2" s="3177" t="s">
        <v>3730</v>
      </c>
      <c r="G2" s="3177" t="s">
        <v>3730</v>
      </c>
      <c r="H2" s="3177" t="s">
        <v>3753</v>
      </c>
      <c r="I2" s="3178">
        <v>44896</v>
      </c>
      <c r="J2" s="3177" t="s">
        <v>3731</v>
      </c>
      <c r="K2" s="3177" t="s">
        <v>3732</v>
      </c>
      <c r="L2" s="3179">
        <v>95422.38</v>
      </c>
      <c r="M2" s="3180">
        <v>48663</v>
      </c>
      <c r="N2" s="3180">
        <v>19609</v>
      </c>
      <c r="O2" s="3177" t="s">
        <v>633</v>
      </c>
      <c r="P2" s="3177" t="s">
        <v>3754</v>
      </c>
    </row>
    <row r="3" spans="1:16" ht="14.25">
      <c r="A3" s="3177"/>
      <c r="B3" s="3177"/>
      <c r="C3" s="3177"/>
      <c r="D3" s="3177"/>
      <c r="E3" s="3177"/>
      <c r="F3" s="3177"/>
      <c r="G3" s="3177"/>
      <c r="H3" s="3177"/>
      <c r="I3" s="3178"/>
      <c r="J3" s="3177"/>
      <c r="K3" s="3177"/>
      <c r="L3" s="3179"/>
      <c r="M3" s="3180"/>
      <c r="N3" s="3180"/>
      <c r="O3" s="3177"/>
      <c r="P3" s="3177"/>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10" t="s">
        <v>2598</v>
      </c>
      <c r="B20" s="3503" t="s">
        <v>2619</v>
      </c>
      <c r="C20" s="2841" t="s">
        <v>2430</v>
      </c>
      <c r="D20" s="2842"/>
      <c r="E20" s="2843">
        <v>1</v>
      </c>
      <c r="F20" s="2844" t="s">
        <v>2431</v>
      </c>
      <c r="G20" s="2844"/>
    </row>
    <row r="21" spans="1:13" ht="19.5" customHeight="1">
      <c r="A21" s="3511"/>
      <c r="B21" s="3504"/>
      <c r="C21" s="2845" t="s">
        <v>2432</v>
      </c>
      <c r="D21" s="2846"/>
      <c r="E21" s="2847">
        <v>1</v>
      </c>
      <c r="F21" s="2844" t="s">
        <v>2433</v>
      </c>
      <c r="G21" s="2844"/>
    </row>
    <row r="22" spans="1:13" ht="19.5" customHeight="1">
      <c r="A22" s="3511"/>
      <c r="B22" s="3504"/>
      <c r="C22" s="2845" t="s">
        <v>2434</v>
      </c>
      <c r="D22" s="2846"/>
      <c r="E22" s="2847">
        <v>0.9</v>
      </c>
      <c r="F22" s="2844" t="s">
        <v>2435</v>
      </c>
      <c r="G22" s="2844"/>
    </row>
    <row r="23" spans="1:13" ht="19.5" customHeight="1">
      <c r="A23" s="3511"/>
      <c r="B23" s="3504"/>
      <c r="C23" s="2845" t="s">
        <v>2436</v>
      </c>
      <c r="D23" s="2846"/>
      <c r="E23" s="2847">
        <v>0.9</v>
      </c>
      <c r="F23" s="2844" t="s">
        <v>2437</v>
      </c>
      <c r="G23" s="2844"/>
    </row>
    <row r="24" spans="1:13" ht="19.5" customHeight="1">
      <c r="A24" s="3511"/>
      <c r="B24" s="3504"/>
      <c r="C24" s="2845" t="s">
        <v>2438</v>
      </c>
      <c r="D24" s="2846"/>
      <c r="E24" s="2847">
        <v>0.8</v>
      </c>
      <c r="F24" s="2844" t="s">
        <v>2439</v>
      </c>
      <c r="G24" s="2844"/>
    </row>
    <row r="25" spans="1:13" ht="19.5" customHeight="1" thickBot="1">
      <c r="A25" s="3512"/>
      <c r="B25" s="3505"/>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506" t="s">
        <v>2622</v>
      </c>
      <c r="B27" s="3503" t="s">
        <v>2603</v>
      </c>
      <c r="C27" s="2841" t="s">
        <v>2443</v>
      </c>
      <c r="D27" s="2842"/>
      <c r="E27" s="2843">
        <v>1</v>
      </c>
      <c r="F27" s="2844" t="s">
        <v>2444</v>
      </c>
      <c r="G27" s="2844"/>
    </row>
    <row r="28" spans="1:13" ht="19.5" customHeight="1">
      <c r="A28" s="3507"/>
      <c r="B28" s="3504"/>
      <c r="C28" s="2845" t="s">
        <v>2445</v>
      </c>
      <c r="D28" s="2846"/>
      <c r="E28" s="2847">
        <v>1</v>
      </c>
      <c r="F28" s="2844" t="s">
        <v>2446</v>
      </c>
      <c r="G28" s="2844"/>
    </row>
    <row r="29" spans="1:13" ht="19.5" customHeight="1">
      <c r="A29" s="3507"/>
      <c r="B29" s="3504"/>
      <c r="C29" s="2845" t="s">
        <v>2447</v>
      </c>
      <c r="D29" s="2846"/>
      <c r="E29" s="2847">
        <v>0.8</v>
      </c>
      <c r="F29" s="2844" t="s">
        <v>2448</v>
      </c>
      <c r="G29" s="2844"/>
    </row>
    <row r="30" spans="1:13" ht="19.5" customHeight="1">
      <c r="A30" s="3507"/>
      <c r="B30" s="3504"/>
      <c r="C30" s="2845" t="s">
        <v>2449</v>
      </c>
      <c r="D30" s="2846"/>
      <c r="E30" s="2847">
        <v>0.8</v>
      </c>
      <c r="F30" s="2844" t="s">
        <v>2450</v>
      </c>
      <c r="G30" s="2844"/>
    </row>
    <row r="31" spans="1:13" ht="19.5" customHeight="1">
      <c r="A31" s="3507"/>
      <c r="B31" s="3504"/>
      <c r="C31" s="2845" t="s">
        <v>2451</v>
      </c>
      <c r="D31" s="2846"/>
      <c r="E31" s="2847">
        <v>0.8</v>
      </c>
      <c r="F31" s="2844" t="s">
        <v>2452</v>
      </c>
      <c r="G31" s="2844"/>
    </row>
    <row r="32" spans="1:13" ht="19.5" customHeight="1">
      <c r="A32" s="3507"/>
      <c r="B32" s="3504"/>
      <c r="C32" s="2845" t="s">
        <v>2453</v>
      </c>
      <c r="D32" s="2846"/>
      <c r="E32" s="2847">
        <v>0.7</v>
      </c>
      <c r="F32" s="2844" t="s">
        <v>2454</v>
      </c>
      <c r="G32" s="2844"/>
    </row>
    <row r="33" spans="1:7" ht="19.5" customHeight="1">
      <c r="A33" s="3507"/>
      <c r="B33" s="3504"/>
      <c r="C33" s="2845" t="s">
        <v>2455</v>
      </c>
      <c r="D33" s="2846"/>
      <c r="E33" s="2847">
        <v>0.8</v>
      </c>
      <c r="F33" s="2844" t="s">
        <v>2456</v>
      </c>
      <c r="G33" s="2844"/>
    </row>
    <row r="34" spans="1:7" ht="19.5" customHeight="1">
      <c r="A34" s="3507"/>
      <c r="B34" s="3504"/>
      <c r="C34" s="2845" t="s">
        <v>2457</v>
      </c>
      <c r="D34" s="2846"/>
      <c r="E34" s="2847">
        <v>0.6</v>
      </c>
      <c r="F34" s="2844" t="s">
        <v>2458</v>
      </c>
      <c r="G34" s="2844"/>
    </row>
    <row r="35" spans="1:7" ht="19.5" customHeight="1">
      <c r="A35" s="3507"/>
      <c r="B35" s="3504"/>
      <c r="C35" s="2845" t="s">
        <v>2459</v>
      </c>
      <c r="D35" s="2846"/>
      <c r="E35" s="2847">
        <v>0.2</v>
      </c>
      <c r="F35" s="2844" t="s">
        <v>2460</v>
      </c>
      <c r="G35" s="2844"/>
    </row>
    <row r="36" spans="1:7" ht="19.5" customHeight="1">
      <c r="A36" s="3507"/>
      <c r="B36" s="3504"/>
      <c r="C36" s="2845" t="s">
        <v>2461</v>
      </c>
      <c r="D36" s="2846"/>
      <c r="E36" s="2847">
        <v>0.2</v>
      </c>
      <c r="F36" s="2844" t="s">
        <v>2462</v>
      </c>
      <c r="G36" s="2844"/>
    </row>
    <row r="37" spans="1:7" ht="19.5" customHeight="1">
      <c r="A37" s="3507"/>
      <c r="B37" s="3509" t="s">
        <v>2623</v>
      </c>
      <c r="C37" s="2845" t="s">
        <v>2463</v>
      </c>
      <c r="D37" s="2846"/>
      <c r="E37" s="2847">
        <v>0.6</v>
      </c>
      <c r="F37" s="2844" t="s">
        <v>2464</v>
      </c>
      <c r="G37" s="2844"/>
    </row>
    <row r="38" spans="1:7" ht="19.5" customHeight="1">
      <c r="A38" s="3507"/>
      <c r="B38" s="3504"/>
      <c r="C38" s="2845" t="s">
        <v>2465</v>
      </c>
      <c r="D38" s="2846"/>
      <c r="E38" s="2847">
        <v>0.6</v>
      </c>
      <c r="F38" s="2844" t="s">
        <v>2466</v>
      </c>
      <c r="G38" s="2844"/>
    </row>
    <row r="39" spans="1:7" ht="19.5" customHeight="1" thickBot="1">
      <c r="A39" s="3508"/>
      <c r="B39" s="3505"/>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510" t="s">
        <v>2601</v>
      </c>
      <c r="B41" s="3503" t="s">
        <v>2625</v>
      </c>
      <c r="C41" s="2841" t="s">
        <v>2470</v>
      </c>
      <c r="D41" s="2842"/>
      <c r="E41" s="2843">
        <v>1</v>
      </c>
      <c r="F41" s="2844" t="s">
        <v>2471</v>
      </c>
      <c r="G41" s="2844"/>
    </row>
    <row r="42" spans="1:7" ht="19.5" customHeight="1">
      <c r="A42" s="3511"/>
      <c r="B42" s="3504"/>
      <c r="C42" s="2845" t="s">
        <v>2472</v>
      </c>
      <c r="D42" s="2846"/>
      <c r="E42" s="2847">
        <v>1</v>
      </c>
      <c r="F42" s="2844" t="s">
        <v>2473</v>
      </c>
      <c r="G42" s="2844"/>
    </row>
    <row r="43" spans="1:7" ht="19.5" customHeight="1">
      <c r="A43" s="3511"/>
      <c r="B43" s="3513"/>
      <c r="C43" s="2845" t="s">
        <v>2474</v>
      </c>
      <c r="D43" s="2846"/>
      <c r="E43" s="2847">
        <v>1.5</v>
      </c>
      <c r="F43" s="2844" t="s">
        <v>2475</v>
      </c>
      <c r="G43" s="2844"/>
    </row>
    <row r="44" spans="1:7" ht="19.5" customHeight="1">
      <c r="A44" s="3511"/>
      <c r="B44" s="2856" t="s">
        <v>2626</v>
      </c>
      <c r="C44" s="2845" t="s">
        <v>2627</v>
      </c>
      <c r="D44" s="2846"/>
      <c r="E44" s="2847">
        <v>2</v>
      </c>
      <c r="F44" s="2844" t="s">
        <v>2476</v>
      </c>
      <c r="G44" s="2844"/>
    </row>
    <row r="45" spans="1:7" ht="19.5" customHeight="1">
      <c r="A45" s="3511"/>
      <c r="B45" s="3509" t="s">
        <v>2628</v>
      </c>
      <c r="C45" s="2845" t="s">
        <v>2477</v>
      </c>
      <c r="D45" s="2846"/>
      <c r="E45" s="2847">
        <v>1</v>
      </c>
      <c r="F45" s="2844" t="s">
        <v>2478</v>
      </c>
      <c r="G45" s="2844"/>
    </row>
    <row r="46" spans="1:7" ht="19.5" customHeight="1">
      <c r="A46" s="3511"/>
      <c r="B46" s="3504"/>
      <c r="C46" s="2845" t="s">
        <v>2479</v>
      </c>
      <c r="D46" s="2846"/>
      <c r="E46" s="2847">
        <v>1</v>
      </c>
      <c r="F46" s="2844" t="s">
        <v>2480</v>
      </c>
      <c r="G46" s="2844"/>
    </row>
    <row r="47" spans="1:7" ht="19.5" customHeight="1">
      <c r="A47" s="3511"/>
      <c r="B47" s="3504"/>
      <c r="C47" s="2845" t="s">
        <v>2481</v>
      </c>
      <c r="D47" s="2846"/>
      <c r="E47" s="2847">
        <v>1</v>
      </c>
      <c r="F47" s="2844" t="s">
        <v>2482</v>
      </c>
      <c r="G47" s="2844"/>
    </row>
    <row r="48" spans="1:7" ht="19.5" customHeight="1">
      <c r="A48" s="3511"/>
      <c r="B48" s="3504"/>
      <c r="C48" s="2845" t="s">
        <v>2483</v>
      </c>
      <c r="D48" s="2846"/>
      <c r="E48" s="2847">
        <v>1</v>
      </c>
      <c r="F48" s="2844" t="s">
        <v>2484</v>
      </c>
      <c r="G48" s="2844"/>
    </row>
    <row r="49" spans="1:7" ht="19.5" customHeight="1">
      <c r="A49" s="3511"/>
      <c r="B49" s="3504"/>
      <c r="C49" s="2845" t="s">
        <v>2485</v>
      </c>
      <c r="D49" s="2846"/>
      <c r="E49" s="2847">
        <v>1</v>
      </c>
      <c r="F49" s="2844" t="s">
        <v>2486</v>
      </c>
      <c r="G49" s="2844"/>
    </row>
    <row r="50" spans="1:7" ht="19.5" customHeight="1">
      <c r="A50" s="3511"/>
      <c r="B50" s="3504"/>
      <c r="C50" s="2845" t="s">
        <v>2487</v>
      </c>
      <c r="D50" s="2846"/>
      <c r="E50" s="2847">
        <v>1</v>
      </c>
      <c r="F50" s="2844" t="s">
        <v>2488</v>
      </c>
      <c r="G50" s="2844"/>
    </row>
    <row r="51" spans="1:7" ht="19.5" customHeight="1" thickBot="1">
      <c r="A51" s="3512"/>
      <c r="B51" s="3505"/>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509" t="s">
        <v>2642</v>
      </c>
      <c r="C73" s="2830" t="s">
        <v>2643</v>
      </c>
      <c r="D73" s="2830" t="s">
        <v>2644</v>
      </c>
      <c r="E73" s="2856">
        <v>0.2</v>
      </c>
      <c r="F73" s="2856">
        <v>25</v>
      </c>
    </row>
    <row r="74" spans="1:7" ht="24">
      <c r="A74" s="2856">
        <v>2</v>
      </c>
      <c r="B74" s="3504"/>
      <c r="C74" s="2830" t="s">
        <v>2645</v>
      </c>
      <c r="D74" s="2830" t="s">
        <v>2646</v>
      </c>
      <c r="E74" s="2856">
        <v>0.2</v>
      </c>
      <c r="F74" s="2856">
        <v>25</v>
      </c>
    </row>
    <row r="75" spans="1:7" ht="24">
      <c r="A75" s="2856">
        <v>3</v>
      </c>
      <c r="B75" s="3504"/>
      <c r="C75" s="2830" t="s">
        <v>2647</v>
      </c>
      <c r="D75" s="2830" t="s">
        <v>2648</v>
      </c>
      <c r="E75" s="2856">
        <v>0.2</v>
      </c>
      <c r="F75" s="2856">
        <v>25</v>
      </c>
    </row>
    <row r="76" spans="1:7" ht="13.5">
      <c r="A76" s="2856">
        <v>4</v>
      </c>
      <c r="B76" s="3504"/>
      <c r="C76" s="2830" t="s">
        <v>2649</v>
      </c>
      <c r="D76" s="2830" t="s">
        <v>2650</v>
      </c>
      <c r="E76" s="2856">
        <v>0.15</v>
      </c>
      <c r="F76" s="2856">
        <v>20</v>
      </c>
    </row>
    <row r="77" spans="1:7" ht="24">
      <c r="A77" s="2856">
        <v>5</v>
      </c>
      <c r="B77" s="3504"/>
      <c r="C77" s="2830" t="s">
        <v>2651</v>
      </c>
      <c r="D77" s="2830" t="s">
        <v>2652</v>
      </c>
      <c r="E77" s="2856">
        <v>0.15</v>
      </c>
      <c r="F77" s="2856">
        <v>20</v>
      </c>
    </row>
    <row r="78" spans="1:7" ht="24">
      <c r="A78" s="2856">
        <v>6</v>
      </c>
      <c r="B78" s="3504"/>
      <c r="C78" s="2830" t="s">
        <v>2653</v>
      </c>
      <c r="D78" s="2830" t="s">
        <v>2654</v>
      </c>
      <c r="E78" s="2856">
        <v>0.15</v>
      </c>
      <c r="F78" s="2856">
        <v>20</v>
      </c>
    </row>
    <row r="79" spans="1:7" ht="24">
      <c r="A79" s="2856">
        <v>7</v>
      </c>
      <c r="B79" s="3504"/>
      <c r="C79" s="2830" t="s">
        <v>2655</v>
      </c>
      <c r="D79" s="2830" t="s">
        <v>2656</v>
      </c>
      <c r="E79" s="2856">
        <v>0.15</v>
      </c>
      <c r="F79" s="2856">
        <v>20</v>
      </c>
    </row>
    <row r="80" spans="1:7" ht="24">
      <c r="A80" s="2856">
        <v>8</v>
      </c>
      <c r="B80" s="3504"/>
      <c r="C80" s="2830" t="s">
        <v>2657</v>
      </c>
      <c r="D80" s="2830" t="s">
        <v>2658</v>
      </c>
      <c r="E80" s="2856">
        <v>0.1</v>
      </c>
      <c r="F80" s="2856">
        <v>15</v>
      </c>
    </row>
    <row r="81" spans="1:6" ht="24">
      <c r="A81" s="2856">
        <v>9</v>
      </c>
      <c r="B81" s="3504"/>
      <c r="C81" s="2830" t="s">
        <v>2659</v>
      </c>
      <c r="D81" s="2830" t="s">
        <v>2660</v>
      </c>
      <c r="E81" s="2856">
        <v>0.1</v>
      </c>
      <c r="F81" s="2856">
        <v>15</v>
      </c>
    </row>
    <row r="82" spans="1:6" ht="24">
      <c r="A82" s="2856">
        <v>10</v>
      </c>
      <c r="B82" s="3504"/>
      <c r="C82" s="2830" t="s">
        <v>2661</v>
      </c>
      <c r="D82" s="2830" t="s">
        <v>2662</v>
      </c>
      <c r="E82" s="2856">
        <v>0.1</v>
      </c>
      <c r="F82" s="2856">
        <v>15</v>
      </c>
    </row>
    <row r="83" spans="1:6" ht="24">
      <c r="A83" s="2856">
        <v>11</v>
      </c>
      <c r="B83" s="3504"/>
      <c r="C83" s="2830" t="s">
        <v>2663</v>
      </c>
      <c r="D83" s="2830" t="s">
        <v>2664</v>
      </c>
      <c r="E83" s="2856">
        <v>0.1</v>
      </c>
      <c r="F83" s="2856">
        <v>15</v>
      </c>
    </row>
    <row r="84" spans="1:6" ht="24">
      <c r="A84" s="2856">
        <v>12</v>
      </c>
      <c r="B84" s="3504"/>
      <c r="C84" s="2830" t="s">
        <v>2665</v>
      </c>
      <c r="D84" s="2830" t="s">
        <v>2666</v>
      </c>
      <c r="E84" s="2856">
        <v>0.1</v>
      </c>
      <c r="F84" s="2856">
        <v>15</v>
      </c>
    </row>
    <row r="85" spans="1:6" ht="13.5">
      <c r="A85" s="2856">
        <v>13</v>
      </c>
      <c r="B85" s="3504"/>
      <c r="C85" s="2830" t="s">
        <v>2667</v>
      </c>
      <c r="D85" s="2830" t="s">
        <v>2668</v>
      </c>
      <c r="E85" s="2856">
        <v>0.1</v>
      </c>
      <c r="F85" s="2856">
        <v>15</v>
      </c>
    </row>
    <row r="86" spans="1:6" ht="13.5">
      <c r="A86" s="2856">
        <v>14</v>
      </c>
      <c r="B86" s="3504"/>
      <c r="C86" s="2830" t="s">
        <v>2669</v>
      </c>
      <c r="D86" s="2830" t="s">
        <v>2670</v>
      </c>
      <c r="E86" s="2856">
        <v>0.1</v>
      </c>
      <c r="F86" s="2856">
        <v>15</v>
      </c>
    </row>
    <row r="87" spans="1:6" ht="13.5">
      <c r="A87" s="2856">
        <v>15</v>
      </c>
      <c r="B87" s="3504"/>
      <c r="C87" s="2830" t="s">
        <v>2671</v>
      </c>
      <c r="D87" s="2830" t="s">
        <v>2672</v>
      </c>
      <c r="E87" s="2856">
        <v>0.1</v>
      </c>
      <c r="F87" s="2856">
        <v>15</v>
      </c>
    </row>
    <row r="88" spans="1:6" ht="24">
      <c r="A88" s="2856">
        <v>16</v>
      </c>
      <c r="B88" s="3504"/>
      <c r="C88" s="2830" t="s">
        <v>2673</v>
      </c>
      <c r="D88" s="2830" t="s">
        <v>2674</v>
      </c>
      <c r="E88" s="2856">
        <v>0.1</v>
      </c>
      <c r="F88" s="2856">
        <v>15</v>
      </c>
    </row>
    <row r="89" spans="1:6" ht="24">
      <c r="A89" s="2856">
        <v>17</v>
      </c>
      <c r="B89" s="3513"/>
      <c r="C89" s="2830" t="s">
        <v>2675</v>
      </c>
      <c r="D89" s="2830" t="s">
        <v>2676</v>
      </c>
      <c r="E89" s="2856">
        <v>0.1</v>
      </c>
      <c r="F89" s="2856">
        <v>15</v>
      </c>
    </row>
    <row r="90" spans="1:6" ht="13.5">
      <c r="A90" s="2856">
        <v>18</v>
      </c>
      <c r="B90" s="3509" t="s">
        <v>2677</v>
      </c>
      <c r="C90" s="2830" t="s">
        <v>2678</v>
      </c>
      <c r="D90" s="2830" t="s">
        <v>2679</v>
      </c>
      <c r="E90" s="2856">
        <v>0.2</v>
      </c>
      <c r="F90" s="2856">
        <v>25</v>
      </c>
    </row>
    <row r="91" spans="1:6" ht="24">
      <c r="A91" s="2856">
        <v>19</v>
      </c>
      <c r="B91" s="3504"/>
      <c r="C91" s="2830" t="s">
        <v>2680</v>
      </c>
      <c r="D91" s="2830" t="s">
        <v>2681</v>
      </c>
      <c r="E91" s="2856">
        <v>0.2</v>
      </c>
      <c r="F91" s="2856">
        <v>25</v>
      </c>
    </row>
    <row r="92" spans="1:6" ht="13.5">
      <c r="A92" s="2856">
        <v>20</v>
      </c>
      <c r="B92" s="3504"/>
      <c r="C92" s="2830" t="s">
        <v>2682</v>
      </c>
      <c r="D92" s="2830" t="s">
        <v>2683</v>
      </c>
      <c r="E92" s="2856">
        <v>0.15</v>
      </c>
      <c r="F92" s="2856">
        <v>20</v>
      </c>
    </row>
    <row r="93" spans="1:6" ht="13.5">
      <c r="A93" s="2856">
        <v>21</v>
      </c>
      <c r="B93" s="3504"/>
      <c r="C93" s="2830" t="s">
        <v>2684</v>
      </c>
      <c r="D93" s="2830" t="s">
        <v>2685</v>
      </c>
      <c r="E93" s="2856">
        <v>0.15</v>
      </c>
      <c r="F93" s="2856">
        <v>20</v>
      </c>
    </row>
    <row r="94" spans="1:6" ht="13.5">
      <c r="A94" s="2856">
        <v>22</v>
      </c>
      <c r="B94" s="3504"/>
      <c r="C94" s="2830" t="s">
        <v>2686</v>
      </c>
      <c r="D94" s="2830" t="s">
        <v>2687</v>
      </c>
      <c r="E94" s="2856">
        <v>0.15</v>
      </c>
      <c r="F94" s="2856">
        <v>20</v>
      </c>
    </row>
    <row r="95" spans="1:6" ht="36">
      <c r="A95" s="2856">
        <v>23</v>
      </c>
      <c r="B95" s="3504"/>
      <c r="C95" s="2830" t="s">
        <v>2688</v>
      </c>
      <c r="D95" s="2830" t="s">
        <v>2689</v>
      </c>
      <c r="E95" s="2856">
        <v>0.15</v>
      </c>
      <c r="F95" s="2856">
        <v>20</v>
      </c>
    </row>
    <row r="96" spans="1:6" ht="13.5">
      <c r="A96" s="2856">
        <v>24</v>
      </c>
      <c r="B96" s="3504"/>
      <c r="C96" s="2830" t="s">
        <v>2690</v>
      </c>
      <c r="D96" s="2830" t="s">
        <v>2691</v>
      </c>
      <c r="E96" s="2856">
        <v>0.1</v>
      </c>
      <c r="F96" s="2856">
        <v>15</v>
      </c>
    </row>
    <row r="97" spans="1:6" ht="13.5">
      <c r="A97" s="2856">
        <v>25</v>
      </c>
      <c r="B97" s="3504"/>
      <c r="C97" s="2830" t="s">
        <v>2692</v>
      </c>
      <c r="D97" s="2830" t="s">
        <v>2693</v>
      </c>
      <c r="E97" s="2856">
        <v>0.1</v>
      </c>
      <c r="F97" s="2856">
        <v>15</v>
      </c>
    </row>
    <row r="98" spans="1:6" ht="24">
      <c r="A98" s="2856">
        <v>26</v>
      </c>
      <c r="B98" s="3504"/>
      <c r="C98" s="2830" t="s">
        <v>2694</v>
      </c>
      <c r="D98" s="2830" t="s">
        <v>2695</v>
      </c>
      <c r="E98" s="2856">
        <v>0.1</v>
      </c>
      <c r="F98" s="2856">
        <v>15</v>
      </c>
    </row>
    <row r="99" spans="1:6" ht="24">
      <c r="A99" s="2856">
        <v>27</v>
      </c>
      <c r="B99" s="3504"/>
      <c r="C99" s="2830" t="s">
        <v>2696</v>
      </c>
      <c r="D99" s="2830" t="s">
        <v>2697</v>
      </c>
      <c r="E99" s="2856">
        <v>0.1</v>
      </c>
      <c r="F99" s="2856">
        <v>15</v>
      </c>
    </row>
    <row r="100" spans="1:6" ht="13.5">
      <c r="A100" s="2856">
        <v>28</v>
      </c>
      <c r="B100" s="3504"/>
      <c r="C100" s="2830" t="s">
        <v>2698</v>
      </c>
      <c r="D100" s="2830" t="s">
        <v>2699</v>
      </c>
      <c r="E100" s="2856">
        <v>0.1</v>
      </c>
      <c r="F100" s="2856">
        <v>15</v>
      </c>
    </row>
    <row r="101" spans="1:6" ht="13.5">
      <c r="A101" s="2856">
        <v>29</v>
      </c>
      <c r="B101" s="3504"/>
      <c r="C101" s="2830" t="s">
        <v>2700</v>
      </c>
      <c r="D101" s="2830" t="s">
        <v>2701</v>
      </c>
      <c r="E101" s="2856">
        <v>0.1</v>
      </c>
      <c r="F101" s="2856">
        <v>15</v>
      </c>
    </row>
    <row r="102" spans="1:6" ht="13.5">
      <c r="A102" s="2856">
        <v>30</v>
      </c>
      <c r="B102" s="3504"/>
      <c r="C102" s="2830" t="s">
        <v>2702</v>
      </c>
      <c r="D102" s="2830" t="s">
        <v>2703</v>
      </c>
      <c r="E102" s="2856">
        <v>0.1</v>
      </c>
      <c r="F102" s="2856">
        <v>15</v>
      </c>
    </row>
    <row r="103" spans="1:6" ht="24">
      <c r="A103" s="2856">
        <v>31</v>
      </c>
      <c r="B103" s="3504"/>
      <c r="C103" s="2830" t="s">
        <v>2704</v>
      </c>
      <c r="D103" s="2830" t="s">
        <v>2705</v>
      </c>
      <c r="E103" s="2856">
        <v>0.1</v>
      </c>
      <c r="F103" s="2856">
        <v>15</v>
      </c>
    </row>
    <row r="104" spans="1:6" ht="24">
      <c r="A104" s="2856">
        <v>32</v>
      </c>
      <c r="B104" s="3504"/>
      <c r="C104" s="2830" t="s">
        <v>2706</v>
      </c>
      <c r="D104" s="2830" t="s">
        <v>2707</v>
      </c>
      <c r="E104" s="2856">
        <v>0.1</v>
      </c>
      <c r="F104" s="2856">
        <v>15</v>
      </c>
    </row>
    <row r="105" spans="1:6" ht="24">
      <c r="A105" s="2856">
        <v>33</v>
      </c>
      <c r="B105" s="3504"/>
      <c r="C105" s="2830" t="s">
        <v>2708</v>
      </c>
      <c r="D105" s="2830" t="s">
        <v>2709</v>
      </c>
      <c r="E105" s="2856">
        <v>0.1</v>
      </c>
      <c r="F105" s="2856">
        <v>15</v>
      </c>
    </row>
    <row r="106" spans="1:6" ht="24">
      <c r="A106" s="2856">
        <v>34</v>
      </c>
      <c r="B106" s="3513"/>
      <c r="C106" s="2830" t="s">
        <v>2710</v>
      </c>
      <c r="D106" s="2830" t="s">
        <v>2711</v>
      </c>
      <c r="E106" s="2856">
        <v>0.1</v>
      </c>
      <c r="F106" s="2856">
        <v>15</v>
      </c>
    </row>
    <row r="107" spans="1:6" ht="24">
      <c r="A107" s="2856">
        <v>35</v>
      </c>
      <c r="B107" s="3509" t="s">
        <v>2712</v>
      </c>
      <c r="C107" s="2856" t="s">
        <v>2713</v>
      </c>
      <c r="D107" s="2830" t="s">
        <v>2714</v>
      </c>
      <c r="E107" s="2856">
        <v>0.15</v>
      </c>
      <c r="F107" s="2856">
        <v>20</v>
      </c>
    </row>
    <row r="108" spans="1:6" ht="13.5">
      <c r="A108" s="2856">
        <v>36</v>
      </c>
      <c r="B108" s="3504"/>
      <c r="C108" s="2856" t="s">
        <v>2715</v>
      </c>
      <c r="D108" s="2830" t="s">
        <v>2716</v>
      </c>
      <c r="E108" s="2856">
        <v>0.15</v>
      </c>
      <c r="F108" s="2856">
        <v>20</v>
      </c>
    </row>
    <row r="109" spans="1:6" ht="13.5">
      <c r="A109" s="2856">
        <v>37</v>
      </c>
      <c r="B109" s="3504"/>
      <c r="C109" s="2856" t="s">
        <v>2717</v>
      </c>
      <c r="D109" s="2830" t="s">
        <v>2718</v>
      </c>
      <c r="E109" s="2856">
        <v>0.15</v>
      </c>
      <c r="F109" s="2856">
        <v>20</v>
      </c>
    </row>
    <row r="110" spans="1:6" ht="13.5">
      <c r="A110" s="2856">
        <v>38</v>
      </c>
      <c r="B110" s="3504"/>
      <c r="C110" s="2856" t="s">
        <v>2719</v>
      </c>
      <c r="D110" s="2830" t="s">
        <v>2720</v>
      </c>
      <c r="E110" s="2856">
        <v>0.1</v>
      </c>
      <c r="F110" s="2856">
        <v>15</v>
      </c>
    </row>
    <row r="111" spans="1:6" ht="24">
      <c r="A111" s="2856">
        <v>39</v>
      </c>
      <c r="B111" s="3504"/>
      <c r="C111" s="2856" t="s">
        <v>2721</v>
      </c>
      <c r="D111" s="2830" t="s">
        <v>2722</v>
      </c>
      <c r="E111" s="2856">
        <v>0.1</v>
      </c>
      <c r="F111" s="2856">
        <v>15</v>
      </c>
    </row>
    <row r="112" spans="1:6" ht="24">
      <c r="A112" s="2856">
        <v>40</v>
      </c>
      <c r="B112" s="3513"/>
      <c r="C112" s="2856" t="s">
        <v>2723</v>
      </c>
      <c r="D112" s="2830" t="s">
        <v>2724</v>
      </c>
      <c r="E112" s="2856">
        <v>0.1</v>
      </c>
      <c r="F112" s="2856">
        <v>15</v>
      </c>
    </row>
    <row r="113" spans="1:6" ht="13.5">
      <c r="A113" s="2856">
        <v>41</v>
      </c>
      <c r="B113" s="3514" t="s">
        <v>2725</v>
      </c>
      <c r="C113" s="2856" t="s">
        <v>2726</v>
      </c>
      <c r="D113" s="2830" t="s">
        <v>2727</v>
      </c>
      <c r="E113" s="2856">
        <v>0.1</v>
      </c>
      <c r="F113" s="2856">
        <v>15</v>
      </c>
    </row>
    <row r="114" spans="1:6" ht="13.5">
      <c r="A114" s="2856">
        <v>42</v>
      </c>
      <c r="B114" s="3514"/>
      <c r="C114" s="2856" t="s">
        <v>2728</v>
      </c>
      <c r="D114" s="2830" t="s">
        <v>2729</v>
      </c>
      <c r="E114" s="2856">
        <v>0.1</v>
      </c>
      <c r="F114" s="2856">
        <v>15</v>
      </c>
    </row>
    <row r="115" spans="1:6" ht="24">
      <c r="A115" s="2856">
        <v>43</v>
      </c>
      <c r="B115" s="3514"/>
      <c r="C115" s="2856" t="s">
        <v>2730</v>
      </c>
      <c r="D115" s="2830" t="s">
        <v>2731</v>
      </c>
      <c r="E115" s="2856">
        <v>0.1</v>
      </c>
      <c r="F115" s="2856">
        <v>15</v>
      </c>
    </row>
    <row r="116" spans="1:6" ht="13.5">
      <c r="A116" s="2856">
        <v>44</v>
      </c>
      <c r="B116" s="3509" t="s">
        <v>2732</v>
      </c>
      <c r="C116" s="2856" t="s">
        <v>2733</v>
      </c>
      <c r="D116" s="2830" t="s">
        <v>2734</v>
      </c>
      <c r="E116" s="2856">
        <v>0.1</v>
      </c>
      <c r="F116" s="2856">
        <v>15</v>
      </c>
    </row>
    <row r="117" spans="1:6" ht="24">
      <c r="A117" s="2856">
        <v>45</v>
      </c>
      <c r="B117" s="3513"/>
      <c r="C117" s="2830" t="s">
        <v>2735</v>
      </c>
      <c r="D117" s="2830" t="s">
        <v>2736</v>
      </c>
      <c r="E117" s="2856">
        <v>0.1</v>
      </c>
      <c r="F117" s="2856">
        <v>15</v>
      </c>
    </row>
    <row r="118" spans="1:6" ht="24">
      <c r="A118" s="2856">
        <v>46</v>
      </c>
      <c r="B118" s="3509" t="s">
        <v>2737</v>
      </c>
      <c r="C118" s="2856" t="s">
        <v>2738</v>
      </c>
      <c r="D118" s="2830" t="s">
        <v>2739</v>
      </c>
      <c r="E118" s="2856">
        <v>0.1</v>
      </c>
      <c r="F118" s="2856">
        <v>15</v>
      </c>
    </row>
    <row r="119" spans="1:6" ht="24">
      <c r="A119" s="2856">
        <v>47</v>
      </c>
      <c r="B119" s="3513"/>
      <c r="C119" s="2856" t="s">
        <v>2740</v>
      </c>
      <c r="D119" s="2830" t="s">
        <v>2741</v>
      </c>
      <c r="E119" s="2856">
        <v>0.1</v>
      </c>
      <c r="F119" s="2856">
        <v>15</v>
      </c>
    </row>
    <row r="120" spans="1:6" ht="13.5">
      <c r="A120" s="2856">
        <v>48</v>
      </c>
      <c r="B120" s="3509" t="s">
        <v>2742</v>
      </c>
      <c r="C120" s="2856" t="s">
        <v>2743</v>
      </c>
      <c r="D120" s="2830" t="s">
        <v>2744</v>
      </c>
      <c r="E120" s="2856">
        <v>0.1</v>
      </c>
      <c r="F120" s="2856">
        <v>15</v>
      </c>
    </row>
    <row r="121" spans="1:6" ht="13.5">
      <c r="A121" s="2856">
        <v>49</v>
      </c>
      <c r="B121" s="3513"/>
      <c r="C121" s="2856" t="s">
        <v>2745</v>
      </c>
      <c r="D121" s="2830" t="s">
        <v>2746</v>
      </c>
      <c r="E121" s="2856">
        <v>0.1</v>
      </c>
      <c r="F121" s="2856">
        <v>15</v>
      </c>
    </row>
    <row r="122" spans="1:6" ht="24">
      <c r="A122" s="2856">
        <v>50</v>
      </c>
      <c r="B122" s="3514" t="s">
        <v>2747</v>
      </c>
      <c r="C122" s="2856" t="s">
        <v>2748</v>
      </c>
      <c r="D122" s="2830" t="s">
        <v>2749</v>
      </c>
      <c r="E122" s="2856">
        <v>0.1</v>
      </c>
      <c r="F122" s="2856">
        <v>15</v>
      </c>
    </row>
    <row r="123" spans="1:6" ht="24">
      <c r="A123" s="2856">
        <v>51</v>
      </c>
      <c r="B123" s="3514"/>
      <c r="C123" s="2856" t="s">
        <v>2750</v>
      </c>
      <c r="D123" s="2830" t="s">
        <v>2751</v>
      </c>
      <c r="E123" s="2856">
        <v>0.1</v>
      </c>
      <c r="F123" s="2856">
        <v>15</v>
      </c>
    </row>
    <row r="124" spans="1:6" ht="24">
      <c r="A124" s="2856">
        <v>52</v>
      </c>
      <c r="B124" s="3514" t="s">
        <v>2752</v>
      </c>
      <c r="C124" s="2856" t="s">
        <v>2753</v>
      </c>
      <c r="D124" s="2830" t="s">
        <v>2754</v>
      </c>
      <c r="E124" s="2856">
        <v>0.1</v>
      </c>
      <c r="F124" s="2856">
        <v>15</v>
      </c>
    </row>
    <row r="125" spans="1:6" ht="24">
      <c r="A125" s="2856">
        <v>53</v>
      </c>
      <c r="B125" s="3514"/>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514" t="s">
        <v>2760</v>
      </c>
      <c r="C127" s="2856" t="s">
        <v>2761</v>
      </c>
      <c r="D127" s="2830" t="s">
        <v>2762</v>
      </c>
      <c r="E127" s="2856">
        <v>0.1</v>
      </c>
      <c r="F127" s="2856">
        <v>15</v>
      </c>
    </row>
    <row r="128" spans="1:6" ht="13.5">
      <c r="A128" s="2856">
        <v>56</v>
      </c>
      <c r="B128" s="3514"/>
      <c r="C128" s="2856" t="s">
        <v>2763</v>
      </c>
      <c r="D128" s="2830" t="s">
        <v>2764</v>
      </c>
      <c r="E128" s="2856">
        <v>0.1</v>
      </c>
      <c r="F128" s="2856">
        <v>15</v>
      </c>
    </row>
    <row r="129" spans="1:6" ht="24">
      <c r="A129" s="2856">
        <v>57</v>
      </c>
      <c r="B129" s="3514"/>
      <c r="C129" s="2856" t="s">
        <v>2765</v>
      </c>
      <c r="D129" s="2830" t="s">
        <v>2766</v>
      </c>
      <c r="E129" s="2856">
        <v>0.1</v>
      </c>
      <c r="F129" s="2856">
        <v>15</v>
      </c>
    </row>
    <row r="130" spans="1:6" ht="24">
      <c r="A130" s="2856">
        <v>58</v>
      </c>
      <c r="B130" s="3514" t="s">
        <v>2767</v>
      </c>
      <c r="C130" s="2856" t="s">
        <v>2768</v>
      </c>
      <c r="D130" s="2830" t="s">
        <v>2769</v>
      </c>
      <c r="E130" s="2856">
        <v>0.1</v>
      </c>
      <c r="F130" s="2856">
        <v>15</v>
      </c>
    </row>
    <row r="131" spans="1:6" ht="13.5">
      <c r="A131" s="2856">
        <v>59</v>
      </c>
      <c r="B131" s="3514"/>
      <c r="C131" s="2856" t="s">
        <v>2770</v>
      </c>
      <c r="D131" s="2830" t="s">
        <v>2771</v>
      </c>
      <c r="E131" s="2856">
        <v>0.1</v>
      </c>
      <c r="F131" s="2856">
        <v>15</v>
      </c>
    </row>
    <row r="132" spans="1:6" ht="13.5">
      <c r="A132" s="2856">
        <v>60</v>
      </c>
      <c r="B132" s="3509" t="s">
        <v>2772</v>
      </c>
      <c r="C132" s="2856" t="s">
        <v>2773</v>
      </c>
      <c r="D132" s="2830" t="s">
        <v>2774</v>
      </c>
      <c r="E132" s="2856">
        <v>0.1</v>
      </c>
      <c r="F132" s="2856">
        <v>15</v>
      </c>
    </row>
    <row r="133" spans="1:6" ht="13.5">
      <c r="A133" s="2856">
        <v>61</v>
      </c>
      <c r="B133" s="3513"/>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514" t="s">
        <v>2780</v>
      </c>
      <c r="C135" s="2856" t="s">
        <v>2781</v>
      </c>
      <c r="D135" s="2830" t="s">
        <v>2782</v>
      </c>
      <c r="E135" s="2856">
        <v>0.1</v>
      </c>
      <c r="F135" s="2856">
        <v>15</v>
      </c>
    </row>
    <row r="136" spans="1:6" ht="13.5">
      <c r="A136" s="2856">
        <v>64</v>
      </c>
      <c r="B136" s="3514"/>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97" zoomScale="85" zoomScaleNormal="85" workbookViewId="0">
      <selection activeCell="B135" activeCellId="1" sqref="B102 B135"/>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6"/>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SUMPRODUCT((A95:A184=ROUNDDOWN('基准地价修正-商业'!G3,1))*(B94:M94='基准地价修正-商业'!G2)*(B95:M184))</f>
        <v>0.89239999999999997</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SUMPRODUCT((A371:A460=ROUNDDOWN('基准地价修正-商业'!G3,1))*(B370:M370='基准地价修正-商业'!G2)*(B371:M460))</f>
        <v>0.84889999999999999</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109575</v>
      </c>
      <c r="C2" s="2" t="s">
        <v>106</v>
      </c>
      <c r="D2" s="190"/>
      <c r="E2" s="190"/>
      <c r="F2" s="190"/>
      <c r="G2" s="190"/>
    </row>
    <row r="3" spans="1:7" s="191" customFormat="1" ht="18" customHeight="1" thickBot="1">
      <c r="A3" s="194" t="s">
        <v>58</v>
      </c>
      <c r="B3" s="195">
        <f ca="1">ROUND(B2*10000/'数据-汇总表'!E3,0)</f>
        <v>11076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1979</v>
      </c>
      <c r="D10" s="794">
        <f>'数据-汇总表'!E6</f>
        <v>98928.560000000012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1979</v>
      </c>
      <c r="D19" s="203">
        <f>'数据-汇总表'!E3</f>
        <v>98928.560000000012</v>
      </c>
      <c r="E19" s="202">
        <f>'数据-取费表'!B31</f>
        <v>200</v>
      </c>
      <c r="F19" s="222"/>
      <c r="G19" s="1" t="s">
        <v>436</v>
      </c>
    </row>
    <row r="20" spans="1:7" s="205" customFormat="1" ht="13.5" customHeight="1">
      <c r="A20" s="730" t="s">
        <v>419</v>
      </c>
      <c r="B20" s="201" t="s">
        <v>77</v>
      </c>
      <c r="C20" s="223">
        <f>ROUND((C5+C19)*F20,0)</f>
        <v>452</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1810</v>
      </c>
      <c r="D22" s="226">
        <f ca="1">C26</f>
        <v>1.1999999999999999E-3</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157</v>
      </c>
      <c r="D24" s="229"/>
      <c r="E24" s="229"/>
      <c r="F24" s="230"/>
      <c r="G24" s="231" t="s">
        <v>82</v>
      </c>
    </row>
    <row r="25" spans="1:7" s="205" customFormat="1" ht="24">
      <c r="A25" s="733" t="s">
        <v>348</v>
      </c>
      <c r="B25" s="206" t="s">
        <v>420</v>
      </c>
      <c r="C25" s="1041">
        <f ca="1">ROUND(IF('数据-取费表'!B22&lt;=1,C20*F22*'数据-取费表'!B23/2,C20*(POWER((1+F22),'数据-取费表'!B23/2)-1)),0)</f>
        <v>18</v>
      </c>
      <c r="D25" s="229"/>
      <c r="E25" s="232"/>
      <c r="F25" s="230"/>
      <c r="G25" s="233" t="s">
        <v>83</v>
      </c>
    </row>
    <row r="26" spans="1:7" s="205" customFormat="1">
      <c r="A26" s="733" t="s">
        <v>350</v>
      </c>
      <c r="B26" s="206" t="s">
        <v>422</v>
      </c>
      <c r="C26" s="229">
        <f ca="1">ROUND(IF('数据-取费表'!B22&lt;=1,F21*F22*'数据-取费表'!B23/2,F21*(POWER((1+F22),'数据-取费表'!B23/2)-1)),4)</f>
        <v>1.1999999999999999E-3</v>
      </c>
      <c r="D26" s="229"/>
      <c r="E26" s="232"/>
      <c r="F26" s="230"/>
      <c r="G26" s="234"/>
    </row>
    <row r="27" spans="1:7" s="205" customFormat="1" ht="24.75">
      <c r="A27" s="730" t="s">
        <v>342</v>
      </c>
      <c r="B27" s="235" t="s">
        <v>85</v>
      </c>
      <c r="C27" s="236">
        <f>C28</f>
        <v>4608</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4608</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32392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66926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60698</v>
      </c>
      <c r="D34" s="208"/>
      <c r="E34" s="211"/>
      <c r="F34" s="248">
        <f>IF('数据-取费表'!B24=0,1,'数据-取费表'!N16)</f>
        <v>1</v>
      </c>
      <c r="G34" s="210" t="s">
        <v>89</v>
      </c>
    </row>
    <row r="35" spans="1:7" ht="13.5" customHeight="1">
      <c r="A35" s="733" t="s">
        <v>351</v>
      </c>
      <c r="B35" s="206" t="s">
        <v>33</v>
      </c>
      <c r="C35" s="211">
        <f>ROUND(C34*F35,0)</f>
        <v>3035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1979</v>
      </c>
      <c r="D37" s="208">
        <f>'数据-汇总表'!E3</f>
        <v>98928.560000000012</v>
      </c>
      <c r="E37" s="240">
        <f>'数据-取费表'!B35</f>
        <v>200</v>
      </c>
      <c r="F37" s="250"/>
      <c r="G37" s="252" t="s">
        <v>92</v>
      </c>
    </row>
    <row r="38" spans="1:7" ht="13.5" customHeight="1">
      <c r="A38" s="733" t="s">
        <v>354</v>
      </c>
      <c r="B38" s="206" t="s">
        <v>36</v>
      </c>
      <c r="C38" s="211">
        <f>ROUND(C34*F38,0)</f>
        <v>1214</v>
      </c>
      <c r="D38" s="211"/>
      <c r="E38" s="211"/>
      <c r="F38" s="250">
        <f>'数据-取费表'!B36</f>
        <v>0.02</v>
      </c>
      <c r="G38" s="210" t="s">
        <v>90</v>
      </c>
    </row>
    <row r="39" spans="1:7" s="205" customFormat="1" ht="13.5" customHeight="1">
      <c r="A39" s="730" t="s">
        <v>338</v>
      </c>
      <c r="B39" s="201" t="s">
        <v>77</v>
      </c>
      <c r="C39" s="223">
        <f>ROUND(C33*F20,0)</f>
        <v>1339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2655</v>
      </c>
      <c r="D41" s="226">
        <f ca="1">C44</f>
        <v>1.1999999999999999E-3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2603</v>
      </c>
      <c r="D42" s="229"/>
      <c r="E42" s="229"/>
      <c r="F42" s="230"/>
      <c r="G42" s="3426" t="s">
        <v>94</v>
      </c>
    </row>
    <row r="43" spans="1:7" ht="13.5" customHeight="1">
      <c r="A43" s="733" t="s">
        <v>347</v>
      </c>
      <c r="B43" s="206" t="s">
        <v>426</v>
      </c>
      <c r="C43" s="229">
        <f ca="1">ROUND(IF('数据-取费表'!B22&lt;=1,C39*F22*'数据-取费表'!B21/2,C39*(POWER((1+F22),'数据-取费表'!B21/2)-1)),0)</f>
        <v>52</v>
      </c>
      <c r="D43" s="229"/>
      <c r="E43" s="229"/>
      <c r="F43" s="230"/>
      <c r="G43" s="3427"/>
    </row>
    <row r="44" spans="1:7" ht="13.5" customHeight="1">
      <c r="A44" s="733" t="s">
        <v>348</v>
      </c>
      <c r="B44" s="206" t="s">
        <v>428</v>
      </c>
      <c r="C44" s="229">
        <f ca="1">ROUND(IF('数据-取费表'!B22&lt;=1,C40*F22*'数据-取费表'!B21/2,C40*(POWER((1+F22),'数据-取费表'!B21/2)-1)),4)</f>
        <v>1.1999999999999999E-3</v>
      </c>
      <c r="D44" s="229"/>
      <c r="E44" s="229"/>
      <c r="F44" s="230"/>
      <c r="G44" s="3428"/>
    </row>
    <row r="45" spans="1:7" s="205" customFormat="1" ht="13.5" customHeight="1">
      <c r="A45" s="730" t="s">
        <v>341</v>
      </c>
      <c r="B45" s="235" t="s">
        <v>85</v>
      </c>
      <c r="C45" s="236">
        <f>C46</f>
        <v>13653</v>
      </c>
      <c r="D45" s="226">
        <f>C47</f>
        <v>6.0000000000000001E-3</v>
      </c>
      <c r="E45" s="227" t="s">
        <v>102</v>
      </c>
      <c r="F45" s="237"/>
      <c r="G45" s="238" t="s">
        <v>434</v>
      </c>
    </row>
    <row r="46" spans="1:7" s="205" customFormat="1" ht="13.5" customHeight="1">
      <c r="A46" s="733" t="s">
        <v>349</v>
      </c>
      <c r="B46" s="239" t="s">
        <v>427</v>
      </c>
      <c r="C46" s="240">
        <f>ROUND((C33+C39)*F27,0)</f>
        <v>13653</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92992</v>
      </c>
      <c r="D49" s="223"/>
      <c r="E49" s="223"/>
      <c r="F49" s="255"/>
      <c r="G49" s="225" t="s">
        <v>435</v>
      </c>
    </row>
    <row r="50" spans="1:7" s="249" customFormat="1" ht="24">
      <c r="A50" s="730" t="s">
        <v>344</v>
      </c>
      <c r="B50" s="201" t="s">
        <v>97</v>
      </c>
      <c r="C50" s="223"/>
      <c r="D50" s="223"/>
      <c r="E50" s="223"/>
      <c r="F50" s="255">
        <f>IF('数据-取费表'!B24=0,'数据-取费表'!N16,1)</f>
        <v>0.83</v>
      </c>
      <c r="G50" s="238" t="s">
        <v>98</v>
      </c>
    </row>
    <row r="51" spans="1:7" ht="16.5" customHeight="1">
      <c r="A51" s="730" t="s">
        <v>345</v>
      </c>
      <c r="B51" s="201" t="s">
        <v>105</v>
      </c>
      <c r="C51" s="223">
        <f ca="1">ROUND(C49*F50,0)</f>
        <v>77183</v>
      </c>
      <c r="D51" s="223"/>
      <c r="E51" s="223"/>
      <c r="F51" s="255"/>
      <c r="G51" s="225" t="s">
        <v>37</v>
      </c>
    </row>
    <row r="52" spans="1:7" s="199" customFormat="1" ht="16.5" thickBot="1">
      <c r="A52" s="256" t="s">
        <v>38</v>
      </c>
      <c r="B52" s="257"/>
      <c r="C52" s="258">
        <f ca="1">C31+C51</f>
        <v>109575</v>
      </c>
      <c r="D52" s="257"/>
      <c r="E52" s="257"/>
      <c r="F52" s="257"/>
      <c r="G52" s="259"/>
    </row>
    <row r="55" spans="1:7" ht="15">
      <c r="B55" s="261" t="s">
        <v>39</v>
      </c>
      <c r="C55" s="262"/>
    </row>
    <row r="56" spans="1:7">
      <c r="B56" s="264" t="s">
        <v>40</v>
      </c>
      <c r="C56" s="265">
        <f ca="1">ROUND(C51/C52,3)</f>
        <v>0.70399999999999996</v>
      </c>
    </row>
    <row r="57" spans="1:7">
      <c r="B57" s="264" t="s">
        <v>41</v>
      </c>
      <c r="C57" s="266">
        <f ca="1">1-C56</f>
        <v>0.29600000000000004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7" t="s">
        <v>2830</v>
      </c>
      <c r="B1" s="3517"/>
      <c r="C1" s="3517"/>
      <c r="D1" s="3517"/>
      <c r="E1" s="3517"/>
      <c r="F1" s="3517"/>
      <c r="G1" s="3518"/>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15"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516"/>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19" t="s">
        <v>3172</v>
      </c>
      <c r="B1" s="3519"/>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520" t="s">
        <v>3223</v>
      </c>
      <c r="B1" s="3520"/>
      <c r="C1" s="3520"/>
      <c r="D1" s="3520"/>
      <c r="E1" s="3520"/>
      <c r="F1" s="3521"/>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7"/>
      <c r="B3" s="3207"/>
      <c r="C3" s="3207"/>
      <c r="D3" s="800" t="s">
        <v>925</v>
      </c>
      <c r="E3" s="800" t="s">
        <v>931</v>
      </c>
      <c r="F3" s="800" t="s">
        <v>925</v>
      </c>
      <c r="G3" s="800" t="s">
        <v>926</v>
      </c>
      <c r="H3" s="800" t="s">
        <v>925</v>
      </c>
      <c r="I3" s="800" t="s">
        <v>926</v>
      </c>
    </row>
    <row r="4" spans="1:9" ht="15">
      <c r="A4" s="1402" t="str">
        <f>项目基本情况!S2</f>
        <v>北京市房地产</v>
      </c>
      <c r="B4" s="800">
        <f>项目基本情况!C17</f>
        <v>98928.560000000012</v>
      </c>
      <c r="C4" s="800">
        <f>项目基本情况!C18</f>
        <v>19470.62</v>
      </c>
      <c r="D4" s="800">
        <f ca="1">结果表!D118</f>
        <v>369066</v>
      </c>
      <c r="E4" s="800">
        <f ca="1">结果表!E118</f>
        <v>37306</v>
      </c>
      <c r="F4" s="800">
        <f ca="1">结果表!F118</f>
        <v>92844</v>
      </c>
      <c r="G4" s="800">
        <f ca="1">结果表!G118</f>
        <v>9385</v>
      </c>
      <c r="H4" s="800">
        <f ca="1">结果表!H118</f>
        <v>461910</v>
      </c>
      <c r="I4" s="800">
        <f ca="1">结果表!I118</f>
        <v>46691</v>
      </c>
    </row>
    <row r="5" spans="1:9" ht="30" customHeight="1">
      <c r="A5" s="3207" t="s">
        <v>927</v>
      </c>
      <c r="B5" s="3207"/>
      <c r="C5" s="3207"/>
      <c r="D5" s="3207" t="str">
        <f ca="1">结果表!D119</f>
        <v>叁拾陆亿玖仟零陆拾陆万元整</v>
      </c>
      <c r="E5" s="3207"/>
      <c r="F5" s="3207" t="str">
        <f ca="1">结果表!F119</f>
        <v>玖亿贰仟捌佰肆拾肆万元整</v>
      </c>
      <c r="G5" s="3207"/>
      <c r="H5" s="3207" t="str">
        <f ca="1">结果表!H119</f>
        <v>肆拾陆亿壹仟玖佰壹拾万元整</v>
      </c>
      <c r="I5" s="3207"/>
    </row>
    <row r="6" spans="1:9" ht="15.75">
      <c r="A6" s="3208" t="str">
        <f>结果表!A120</f>
        <v>估价师知悉的法定优先受偿款</v>
      </c>
      <c r="B6" s="3208"/>
      <c r="C6" s="3208"/>
      <c r="D6" s="3208">
        <f>结果表!D120</f>
        <v>0</v>
      </c>
      <c r="E6" s="3208"/>
      <c r="F6" s="3208"/>
      <c r="G6" s="3208"/>
      <c r="H6" s="3208"/>
      <c r="I6" s="3208"/>
    </row>
    <row r="7" spans="1:9" ht="15">
      <c r="A7" s="3207" t="s">
        <v>927</v>
      </c>
      <c r="B7" s="3207"/>
      <c r="C7" s="3207"/>
      <c r="D7" s="3209" t="str">
        <f>结果表!D121</f>
        <v>零元整</v>
      </c>
      <c r="E7" s="3210"/>
      <c r="F7" s="3210"/>
      <c r="G7" s="3210"/>
      <c r="H7" s="3210"/>
      <c r="I7" s="3211"/>
    </row>
    <row r="8" spans="1:9" ht="15.75">
      <c r="A8" s="3208" t="str">
        <f>结果表!A122</f>
        <v>房地产抵押价值</v>
      </c>
      <c r="B8" s="3208"/>
      <c r="C8" s="3208"/>
      <c r="D8" s="3208">
        <f ca="1">结果表!D122</f>
        <v>461910</v>
      </c>
      <c r="E8" s="3208"/>
      <c r="F8" s="3208"/>
      <c r="G8" s="3208"/>
      <c r="H8" s="3208"/>
      <c r="I8" s="3208"/>
    </row>
    <row r="9" spans="1:9" ht="15">
      <c r="A9" s="3207" t="s">
        <v>927</v>
      </c>
      <c r="B9" s="3207"/>
      <c r="C9" s="3207"/>
      <c r="D9" s="3207" t="str">
        <f ca="1">结果表!D123</f>
        <v>肆拾陆亿壹仟玖佰壹拾万元整</v>
      </c>
      <c r="E9" s="3207"/>
      <c r="F9" s="3207"/>
      <c r="G9" s="3207"/>
      <c r="H9" s="3207"/>
      <c r="I9" s="3207"/>
    </row>
    <row r="10" spans="1:9" ht="15.75">
      <c r="A10" s="3208" t="str">
        <f>结果表!A124</f>
        <v/>
      </c>
      <c r="B10" s="3208"/>
      <c r="C10" s="3208"/>
      <c r="D10" s="3208" t="str">
        <f>结果表!D124</f>
        <v>——</v>
      </c>
      <c r="E10" s="3208"/>
      <c r="F10" s="3208"/>
      <c r="G10" s="3208"/>
      <c r="H10" s="3208"/>
      <c r="I10" s="3208"/>
    </row>
    <row r="11" spans="1:9" ht="15">
      <c r="A11" s="3207" t="s">
        <v>927</v>
      </c>
      <c r="B11" s="3207"/>
      <c r="C11" s="3207"/>
      <c r="D11" s="3207" t="e">
        <f>结果表!D125</f>
        <v>#VALUE!</v>
      </c>
      <c r="E11" s="3207"/>
      <c r="F11" s="3207"/>
      <c r="G11" s="3207"/>
      <c r="H11" s="3207"/>
      <c r="I11" s="3207"/>
    </row>
    <row r="12" spans="1:9" ht="15.75">
      <c r="A12" s="3208" t="str">
        <f>结果表!A126</f>
        <v>抵押净值</v>
      </c>
      <c r="B12" s="3208"/>
      <c r="C12" s="3208"/>
      <c r="D12" s="3208">
        <f ca="1">结果表!D126</f>
        <v>275253</v>
      </c>
      <c r="E12" s="3208"/>
      <c r="F12" s="3208"/>
      <c r="G12" s="3208"/>
      <c r="H12" s="3208"/>
      <c r="I12" s="3208"/>
    </row>
    <row r="13" spans="1:9" ht="15.75" thickBot="1">
      <c r="A13" s="3212" t="s">
        <v>927</v>
      </c>
      <c r="B13" s="3212"/>
      <c r="C13" s="3212"/>
      <c r="D13" s="3212" t="str">
        <f ca="1">结果表!D127</f>
        <v>贰拾柒亿伍仟贰佰伍拾叁万元整</v>
      </c>
      <c r="E13" s="3212"/>
      <c r="F13" s="3212"/>
      <c r="G13" s="3212"/>
      <c r="H13" s="3212"/>
      <c r="I13" s="3212"/>
    </row>
    <row r="14" spans="1:9" ht="15" thickTop="1">
      <c r="A14" s="3213" t="s">
        <v>932</v>
      </c>
      <c r="B14" s="3213"/>
      <c r="C14" s="3213"/>
      <c r="D14" s="3213"/>
      <c r="E14" s="3213"/>
      <c r="F14" s="3213"/>
      <c r="G14" s="3213"/>
      <c r="H14" s="3213"/>
      <c r="I14" s="3213"/>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3" sqref="E10:E13"/>
    </sheetView>
  </sheetViews>
  <sheetFormatPr defaultRowHeight="13.5"/>
  <cols>
    <col min="1" max="1" width="13.875" customWidth="1"/>
    <col min="11" max="17" width="0" hidden="1" customWidth="1"/>
    <col min="25" max="30" width="0" hidden="1" customWidth="1"/>
  </cols>
  <sheetData>
    <row r="1" spans="1:30">
      <c r="A1" s="2936">
        <f>'基准地价修正-商业'!G23</f>
        <v>45600</v>
      </c>
      <c r="B1" s="2928" t="s">
        <v>3372</v>
      </c>
      <c r="C1" s="2929"/>
      <c r="D1" s="2929"/>
      <c r="E1" s="2929"/>
      <c r="F1" s="2929"/>
      <c r="G1" s="2929"/>
      <c r="H1" s="2929"/>
      <c r="I1" s="2929"/>
      <c r="J1" s="2895"/>
      <c r="K1" s="2929" t="s">
        <v>454</v>
      </c>
      <c r="L1" s="2929"/>
      <c r="M1" s="2929"/>
      <c r="N1" s="2929"/>
      <c r="O1" s="2929"/>
      <c r="P1" s="2929"/>
      <c r="Q1" s="2895"/>
      <c r="R1" s="3522" t="s">
        <v>456</v>
      </c>
      <c r="S1" s="3523"/>
      <c r="T1" s="3523"/>
      <c r="U1" s="3523"/>
      <c r="V1" s="3523"/>
      <c r="W1" s="3523"/>
      <c r="X1" s="2895"/>
      <c r="Y1" s="3522" t="s">
        <v>457</v>
      </c>
      <c r="Z1" s="3523"/>
      <c r="AA1" s="3523"/>
      <c r="AB1" s="3523"/>
      <c r="AC1" s="3523"/>
      <c r="AD1" s="3523"/>
    </row>
    <row r="2" spans="1:30" s="2009" customFormat="1" ht="14.25" thickBot="1">
      <c r="B2" s="2880"/>
      <c r="C2" s="2881"/>
      <c r="D2" s="2010" t="s">
        <v>2801</v>
      </c>
      <c r="E2" s="2011" t="s">
        <v>2802</v>
      </c>
      <c r="F2" s="2011" t="s">
        <v>2803</v>
      </c>
      <c r="G2" s="2011" t="s">
        <v>2804</v>
      </c>
      <c r="H2" s="2011" t="s">
        <v>2805</v>
      </c>
      <c r="I2" s="2011" t="s">
        <v>2622</v>
      </c>
      <c r="J2" s="2882"/>
      <c r="K2" s="2010" t="s">
        <v>2801</v>
      </c>
      <c r="L2" s="2011" t="s">
        <v>2802</v>
      </c>
      <c r="M2" s="2011" t="s">
        <v>2803</v>
      </c>
      <c r="N2" s="2011" t="s">
        <v>2804</v>
      </c>
      <c r="O2" s="2011" t="s">
        <v>2806</v>
      </c>
      <c r="P2" s="2011" t="s">
        <v>2622</v>
      </c>
      <c r="Q2" s="2882"/>
      <c r="R2" s="2010" t="s">
        <v>2801</v>
      </c>
      <c r="S2" s="2011" t="s">
        <v>2802</v>
      </c>
      <c r="T2" s="2011" t="s">
        <v>2803</v>
      </c>
      <c r="U2" s="2011" t="s">
        <v>2807</v>
      </c>
      <c r="V2" s="2011" t="s">
        <v>2808</v>
      </c>
      <c r="W2" s="2011" t="s">
        <v>2622</v>
      </c>
      <c r="X2" s="2882"/>
      <c r="Y2" s="2010" t="s">
        <v>2801</v>
      </c>
      <c r="Z2" s="2011" t="s">
        <v>2802</v>
      </c>
      <c r="AA2" s="2011" t="s">
        <v>2803</v>
      </c>
      <c r="AB2" s="2011" t="s">
        <v>2809</v>
      </c>
      <c r="AC2" s="2011" t="s">
        <v>2808</v>
      </c>
      <c r="AD2" s="2011" t="s">
        <v>2622</v>
      </c>
    </row>
    <row r="3" spans="1:30" s="2885" customFormat="1" ht="12.75">
      <c r="A3" s="2883" t="s">
        <v>2810</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3368</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3377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3376</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3369</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3365</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3361</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3360</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3358</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3357</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3356</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3354</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3345</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2811</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2812</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2813</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2814</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3375</v>
      </c>
    </row>
    <row r="24" spans="1:30">
      <c r="I24" s="1404" t="s">
        <v>2816</v>
      </c>
    </row>
    <row r="26" spans="1:30" s="2008" customFormat="1" ht="12.75">
      <c r="B26" s="2928" t="s">
        <v>3373</v>
      </c>
      <c r="C26" s="2929"/>
      <c r="D26" s="2929"/>
      <c r="E26" s="2929"/>
      <c r="F26" s="2929"/>
      <c r="G26" s="2929"/>
      <c r="H26" s="2929"/>
      <c r="I26" s="2929"/>
      <c r="J26" s="2895"/>
      <c r="K26" s="2929" t="s">
        <v>2817</v>
      </c>
      <c r="L26" s="2929"/>
      <c r="M26" s="2929"/>
      <c r="N26" s="2929"/>
      <c r="O26" s="2929"/>
      <c r="P26" s="2929"/>
      <c r="Q26" s="2895"/>
      <c r="R26" s="3522" t="s">
        <v>2818</v>
      </c>
      <c r="S26" s="3523"/>
      <c r="T26" s="3523"/>
      <c r="U26" s="3523"/>
      <c r="V26" s="3523"/>
      <c r="W26" s="3523"/>
      <c r="X26" s="2895"/>
      <c r="Y26" s="3522" t="s">
        <v>2819</v>
      </c>
      <c r="Z26" s="3523"/>
      <c r="AA26" s="3523"/>
      <c r="AB26" s="3523"/>
      <c r="AC26" s="3523"/>
      <c r="AD26" s="3523"/>
    </row>
    <row r="27" spans="1:30" s="2009" customFormat="1" ht="14.25" thickBot="1">
      <c r="B27" s="2880"/>
      <c r="C27" s="2881"/>
      <c r="D27" s="2010" t="s">
        <v>2820</v>
      </c>
      <c r="E27" s="2011" t="s">
        <v>2821</v>
      </c>
      <c r="F27" s="2011" t="s">
        <v>2822</v>
      </c>
      <c r="G27" s="2011" t="s">
        <v>2823</v>
      </c>
      <c r="H27" s="2011"/>
      <c r="I27" s="2011" t="s">
        <v>2824</v>
      </c>
      <c r="J27" s="2882"/>
      <c r="K27" s="2010" t="s">
        <v>2820</v>
      </c>
      <c r="L27" s="2011" t="s">
        <v>2821</v>
      </c>
      <c r="M27" s="2011" t="s">
        <v>2822</v>
      </c>
      <c r="N27" s="2011" t="s">
        <v>2823</v>
      </c>
      <c r="O27" s="2011"/>
      <c r="P27" s="2011" t="s">
        <v>2824</v>
      </c>
      <c r="Q27" s="2882"/>
      <c r="R27" s="2010" t="s">
        <v>2820</v>
      </c>
      <c r="S27" s="2011" t="s">
        <v>2821</v>
      </c>
      <c r="T27" s="2011" t="s">
        <v>2822</v>
      </c>
      <c r="U27" s="2011" t="s">
        <v>2823</v>
      </c>
      <c r="V27" s="2011"/>
      <c r="W27" s="2011" t="s">
        <v>2824</v>
      </c>
      <c r="X27" s="2882"/>
      <c r="Y27" s="2010" t="s">
        <v>2820</v>
      </c>
      <c r="Z27" s="2011" t="s">
        <v>2821</v>
      </c>
      <c r="AA27" s="2011" t="s">
        <v>2822</v>
      </c>
      <c r="AB27" s="2011" t="s">
        <v>2823</v>
      </c>
      <c r="AC27" s="2011"/>
      <c r="AD27" s="2011" t="s">
        <v>2824</v>
      </c>
    </row>
    <row r="28" spans="1:30" s="2885" customFormat="1" ht="12.75">
      <c r="A28" s="2883" t="s">
        <v>2825</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3368</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3370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3363</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3371</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3364</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3362</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3360</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3359</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3357</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3356</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3355</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3345</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2826</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2827</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2828</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2829</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2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2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2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2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2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2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2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2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2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2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2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2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2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2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2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2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2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45600</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2300</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4" t="s">
        <v>949</v>
      </c>
      <c r="B1" s="3214"/>
      <c r="C1" s="3214"/>
      <c r="D1" s="3214"/>
    </row>
    <row r="2" spans="1:4" ht="18">
      <c r="A2" s="3215" t="s">
        <v>933</v>
      </c>
      <c r="B2" s="3215"/>
      <c r="C2" s="3215"/>
      <c r="D2" s="321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5" t="s">
        <v>939</v>
      </c>
      <c r="B6" s="3215"/>
      <c r="C6" s="3215"/>
      <c r="D6" s="321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6" t="s">
        <v>942</v>
      </c>
      <c r="B11" s="3217"/>
      <c r="C11" s="3217"/>
      <c r="D11" s="3217"/>
    </row>
    <row r="12" spans="1:4" ht="15.7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7" t="str">
        <f>IF(项目基本情况!B8="抵押","4.本次评估估价师所知悉的法定优先受偿款情况说明如下：","——")</f>
        <v>4.本次评估估价师所知悉的法定优先受偿款情况说明如下：</v>
      </c>
      <c r="B14" s="3218"/>
      <c r="C14" s="3218"/>
      <c r="D14" s="3218"/>
    </row>
    <row r="15" spans="1:4" ht="42" customHeight="1">
      <c r="A15" s="32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20" t="s">
        <v>943</v>
      </c>
      <c r="B16" s="3220"/>
      <c r="C16" s="3220"/>
      <c r="D16" s="3220"/>
    </row>
    <row r="17" spans="1:4" ht="144" customHeight="1">
      <c r="A17" s="3220" t="s">
        <v>944</v>
      </c>
      <c r="B17" s="3220"/>
      <c r="C17" s="3220"/>
      <c r="D17" s="3220"/>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7"/>
      <c r="C20" s="3217"/>
      <c r="D20" s="3217"/>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9">
        <v>42551</v>
      </c>
      <c r="D31" s="32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8" t="s">
        <v>956</v>
      </c>
      <c r="B15" s="3223" t="s">
        <v>109</v>
      </c>
      <c r="C15" s="3224"/>
    </row>
    <row r="16" spans="1:7" ht="13.5">
      <c r="A16" s="3229"/>
      <c r="B16" s="3223" t="s">
        <v>42</v>
      </c>
      <c r="C16" s="3224"/>
    </row>
    <row r="17" spans="1:3" ht="13.5">
      <c r="A17" s="3229"/>
      <c r="B17" s="3226" t="s">
        <v>957</v>
      </c>
      <c r="C17" s="1428" t="s">
        <v>956</v>
      </c>
    </row>
    <row r="18" spans="1:3" ht="13.5">
      <c r="A18" s="3229"/>
      <c r="B18" s="3226"/>
      <c r="C18" s="1428" t="s">
        <v>958</v>
      </c>
    </row>
    <row r="19" spans="1:3" ht="13.5">
      <c r="A19" s="3229"/>
      <c r="B19" s="3226"/>
      <c r="C19" s="1428" t="s">
        <v>959</v>
      </c>
    </row>
    <row r="20" spans="1:3" ht="13.5">
      <c r="A20" s="3230"/>
      <c r="B20" s="3225" t="s">
        <v>960</v>
      </c>
      <c r="C20" s="3224"/>
    </row>
    <row r="21" spans="1:3" ht="13.5">
      <c r="A21" s="1429" t="s">
        <v>961</v>
      </c>
      <c r="B21" s="1430"/>
      <c r="C21" s="1431"/>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8" t="s">
        <v>967</v>
      </c>
    </row>
    <row r="26" spans="1:3" ht="13.5">
      <c r="A26" s="3227"/>
      <c r="B26" s="3226"/>
      <c r="C26" s="1428" t="s">
        <v>968</v>
      </c>
    </row>
    <row r="27" spans="1:3" ht="13.5">
      <c r="A27" s="3227"/>
      <c r="B27" s="3226"/>
      <c r="C27" s="1428" t="s">
        <v>969</v>
      </c>
    </row>
    <row r="28" spans="1:3" ht="13.5">
      <c r="A28" s="3227"/>
      <c r="B28" s="3226"/>
      <c r="C28" s="1428" t="s">
        <v>970</v>
      </c>
    </row>
    <row r="29" spans="1:3" ht="13.5">
      <c r="A29" s="3227"/>
      <c r="B29" s="3226"/>
      <c r="C29" s="1428" t="s">
        <v>971</v>
      </c>
    </row>
    <row r="30" spans="1:3" ht="13.5">
      <c r="A30" s="3227"/>
      <c r="B30" s="3226"/>
      <c r="C30" s="1428" t="s">
        <v>972</v>
      </c>
    </row>
    <row r="31" spans="1:3" ht="13.5">
      <c r="A31" s="3227"/>
      <c r="B31" s="3226"/>
      <c r="C31" s="1428" t="s">
        <v>973</v>
      </c>
    </row>
    <row r="32" spans="1:3" ht="13.5">
      <c r="A32" s="3227"/>
      <c r="B32" s="3226"/>
      <c r="C32" s="1428" t="s">
        <v>974</v>
      </c>
    </row>
    <row r="33" spans="1:3" ht="13.5">
      <c r="A33" s="3227"/>
      <c r="B33" s="322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45602</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1" t="s">
        <v>2158</v>
      </c>
      <c r="B17" s="3231"/>
      <c r="C17" s="3231"/>
      <c r="D17" s="3231"/>
      <c r="E17" s="3231"/>
      <c r="F17" s="3231"/>
      <c r="G17" s="3231"/>
      <c r="H17" s="3231"/>
    </row>
    <row r="18" spans="1:8" ht="24" customHeight="1">
      <c r="A18" s="3232" t="s">
        <v>2159</v>
      </c>
      <c r="B18" s="3232"/>
      <c r="C18" s="3232"/>
      <c r="D18" s="2159"/>
      <c r="E18" s="3233" t="s">
        <v>2160</v>
      </c>
      <c r="F18" s="3232"/>
      <c r="G18" s="3232"/>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土地比较法-住宅、综合</vt:lpstr>
      <vt:lpstr>基准地价修正-办公</vt:lpstr>
      <vt:lpstr>基准地价修正-商业</vt:lpstr>
      <vt:lpstr>基准地价（汇总）</vt:lpstr>
      <vt:lpstr>收益法-商业</vt:lpstr>
      <vt:lpstr>收益法 (元)</vt:lpstr>
      <vt:lpstr>收益法-酒店模型</vt:lpstr>
      <vt:lpstr>比较法-住宅</vt:lpstr>
      <vt:lpstr>比较法-商业</vt:lpstr>
      <vt:lpstr>比较法-工业</vt:lpstr>
      <vt:lpstr>比较法-车位</vt:lpstr>
      <vt:lpstr>比较法-仓储</vt:lpstr>
      <vt:lpstr>收益法-办公</vt:lpstr>
      <vt:lpstr>收益法（汇总）</vt:lpstr>
      <vt:lpstr>土地案例</vt:lpstr>
      <vt:lpstr>土地比较法-工业</vt:lpstr>
      <vt:lpstr>典型户型修正</vt:lpstr>
      <vt:lpstr>租赁台账</vt:lpstr>
      <vt:lpstr>市场租金</vt:lpstr>
      <vt:lpstr>大宗案例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2024-11-06T06:56:58Z</dcterms:modified>
</cp:coreProperties>
</file>